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7215" windowHeight="9150" tabRatio="723" firstSheet="8" activeTab="9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Ref1" sheetId="15" r:id="rId7"/>
    <sheet name="Tabula Ref2" sheetId="16" r:id="rId8"/>
    <sheet name="Tabula RefULG 1" sheetId="19" r:id="rId9"/>
    <sheet name="Tabula RefULG 2" sheetId="20" r:id="rId10"/>
    <sheet name="Verwarming Tabula 2zone" sheetId="7" r:id="rId11"/>
    <sheet name="Verwarming Tabula 2zone Ref1" sheetId="17" r:id="rId12"/>
    <sheet name="Verwarming Tabula 2zone Ref2" sheetId="18" r:id="rId13"/>
    <sheet name="Verwarming Tabula 2zone RefULG1" sheetId="21" r:id="rId14"/>
    <sheet name="Verwarming Tabula 2zone RefULG2" sheetId="22" r:id="rId15"/>
    <sheet name="PropertiesGB_Theoretical" sheetId="8" r:id="rId16"/>
    <sheet name="Sheet8" sheetId="9" r:id="rId17"/>
    <sheet name="Sheet9" sheetId="10" r:id="rId18"/>
  </sheet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2zone'!$A$1:$H$37,'Gebouwgegevens Tabula 2zone'!$K$3:$U$32,'Gebouwgegevens Tabula 2zone'!$W$3:$AH$51</definedName>
    <definedName name="_xlnm.Print_Area" localSheetId="2">'Tabula data'!$A$1:$D$34,'Tabula data'!$F$1:$Q$37,'Tabula data'!$A$37:$D$52</definedName>
    <definedName name="_xlnm.Print_Area" localSheetId="6">'Tabula Ref1'!$A$1:$H$37,'Tabula Ref1'!$J$3:$T$32,'Tabula Ref1'!$V$3:$AG$51</definedName>
    <definedName name="_xlnm.Print_Area" localSheetId="7">'Tabula Ref2'!$A$1:$H$37,'Tabula Ref2'!$J$3:$T$32,'Tabula Ref2'!$V$3:$AG$51</definedName>
    <definedName name="_xlnm.Print_Area" localSheetId="8">'Tabula RefULG 1'!$A$1:$H$37,'Tabula RefULG 1'!$K$3:$U$32,'Tabula RefULG 1'!$W$3:$AH$51</definedName>
    <definedName name="_xlnm.Print_Area" localSheetId="9">'Tabula RefULG 2'!$A$1:$H$37,'Tabula RefULG 2'!$K$3:$U$32,'Tabula RefULG 2'!$W$3:$AH$51</definedName>
  </definedNames>
  <calcPr calcId="145621"/>
</workbook>
</file>

<file path=xl/calcChain.xml><?xml version="1.0" encoding="utf-8"?>
<calcChain xmlns="http://schemas.openxmlformats.org/spreadsheetml/2006/main">
  <c r="AP24" i="19" l="1"/>
  <c r="AP24" i="20" l="1"/>
  <c r="AP22" i="20"/>
  <c r="AP23" i="20"/>
  <c r="AP21" i="20"/>
  <c r="AP20" i="20"/>
  <c r="AP19" i="20"/>
  <c r="AP48" i="20"/>
  <c r="AP40" i="20"/>
  <c r="AP39" i="20"/>
  <c r="AP38" i="20"/>
  <c r="AP37" i="20"/>
  <c r="AP30" i="20"/>
  <c r="AA23" i="20"/>
  <c r="AG42" i="20"/>
  <c r="AA42" i="20"/>
  <c r="AA29" i="20"/>
  <c r="B139" i="17"/>
  <c r="AP9" i="20"/>
  <c r="AG13" i="20"/>
  <c r="AG5" i="20"/>
  <c r="AP50" i="20"/>
  <c r="AP49" i="20" s="1"/>
  <c r="AE37" i="20"/>
  <c r="AG37" i="20"/>
  <c r="AD38" i="20"/>
  <c r="H28" i="17"/>
  <c r="AG29" i="20"/>
  <c r="AO19" i="16"/>
  <c r="AA55" i="20"/>
  <c r="DG33" i="19"/>
  <c r="DG32" i="19"/>
  <c r="DG27" i="19"/>
  <c r="AP48" i="19"/>
  <c r="AP23" i="19"/>
  <c r="AP19" i="19"/>
  <c r="AP20" i="19"/>
  <c r="AP12" i="19"/>
  <c r="AP11" i="19"/>
  <c r="AP10" i="19"/>
  <c r="AP21" i="19"/>
  <c r="AA5" i="19"/>
  <c r="AG52" i="19"/>
  <c r="AG5" i="19"/>
  <c r="AG13" i="19"/>
  <c r="AG21" i="19"/>
  <c r="AG27" i="19"/>
  <c r="AA27" i="19"/>
  <c r="AP50" i="19"/>
  <c r="AP49" i="19" s="1"/>
  <c r="AA52" i="19"/>
  <c r="AP38" i="19" s="1"/>
  <c r="AA21" i="19"/>
  <c r="AP37" i="19"/>
  <c r="AP40" i="19"/>
  <c r="AP9" i="19"/>
  <c r="AP30" i="19"/>
  <c r="B139" i="7" l="1"/>
  <c r="DU79" i="6" l="1"/>
  <c r="DU78" i="6"/>
  <c r="DU77" i="6"/>
  <c r="DU76" i="6"/>
  <c r="DU75" i="6"/>
  <c r="DU73" i="6"/>
  <c r="DU72" i="6"/>
  <c r="DU71" i="6"/>
  <c r="DU70" i="6"/>
  <c r="DU68" i="6"/>
  <c r="DU67" i="6"/>
  <c r="DU66" i="6"/>
  <c r="DU65" i="6"/>
  <c r="DU63" i="6"/>
  <c r="DU62" i="6"/>
  <c r="DU61" i="6"/>
  <c r="DU59" i="6"/>
  <c r="DU58" i="6"/>
  <c r="DU57" i="6"/>
  <c r="DU56" i="6"/>
  <c r="DU55" i="6"/>
  <c r="DU54" i="6"/>
  <c r="DU53" i="6"/>
  <c r="DU52" i="6"/>
  <c r="DU51" i="6"/>
  <c r="DU50" i="6"/>
  <c r="DU49" i="6"/>
  <c r="DU48" i="6"/>
  <c r="DU47" i="6"/>
  <c r="DU46" i="6"/>
  <c r="DU45" i="6"/>
  <c r="DU44" i="6"/>
  <c r="DU42" i="6"/>
  <c r="DU41" i="6"/>
  <c r="DU40" i="6"/>
  <c r="DU39" i="6"/>
  <c r="DU38" i="6"/>
  <c r="DU37" i="6"/>
  <c r="DU36" i="6"/>
  <c r="DU35" i="6"/>
  <c r="DU34" i="6"/>
  <c r="DU33" i="6"/>
  <c r="DU32" i="6"/>
  <c r="DU30" i="6"/>
  <c r="DU29" i="6"/>
  <c r="DU28" i="6"/>
  <c r="DU27" i="6"/>
  <c r="DU24" i="6"/>
  <c r="DU23" i="6"/>
  <c r="DU22" i="6"/>
  <c r="DU21" i="6"/>
  <c r="DU20" i="6"/>
  <c r="DU19" i="6"/>
  <c r="DU18" i="6"/>
  <c r="DU17" i="6"/>
  <c r="DU16" i="6"/>
  <c r="DU15" i="6"/>
  <c r="DU14" i="6"/>
  <c r="DU13" i="6"/>
  <c r="DU12" i="6"/>
  <c r="DU11" i="6"/>
  <c r="DU10" i="6"/>
  <c r="DU9" i="6"/>
  <c r="DU8" i="6"/>
  <c r="DU7" i="6"/>
  <c r="DU6" i="6"/>
  <c r="DU5" i="6"/>
  <c r="DA78" i="19" l="1"/>
  <c r="DA79" i="19"/>
  <c r="DA77" i="19"/>
  <c r="DA78" i="6" l="1"/>
  <c r="DA79" i="6"/>
  <c r="DA77" i="6"/>
  <c r="DA27" i="6"/>
  <c r="DG79" i="6" l="1"/>
  <c r="DG78" i="6"/>
  <c r="DG77" i="6"/>
  <c r="DG76" i="6"/>
  <c r="DG75" i="6"/>
  <c r="DG73" i="6"/>
  <c r="DG71" i="6"/>
  <c r="DG70" i="6"/>
  <c r="DG68" i="6"/>
  <c r="DG67" i="6"/>
  <c r="DG66" i="6"/>
  <c r="DG65" i="6"/>
  <c r="DG63" i="6"/>
  <c r="DG62" i="6"/>
  <c r="DG61" i="6"/>
  <c r="B133" i="22" l="1"/>
  <c r="B130" i="22"/>
  <c r="B137" i="22" s="1"/>
  <c r="F109" i="22"/>
  <c r="E109" i="22"/>
  <c r="D109" i="22"/>
  <c r="H109" i="22" s="1"/>
  <c r="C109" i="22"/>
  <c r="G109" i="22" s="1"/>
  <c r="F108" i="22"/>
  <c r="E108" i="22"/>
  <c r="D108" i="22"/>
  <c r="H108" i="22" s="1"/>
  <c r="C108" i="22"/>
  <c r="G108" i="22" s="1"/>
  <c r="F92" i="22"/>
  <c r="E92" i="22"/>
  <c r="D92" i="22"/>
  <c r="C92" i="22"/>
  <c r="F91" i="22"/>
  <c r="D91" i="22"/>
  <c r="C91" i="22"/>
  <c r="F90" i="22"/>
  <c r="D90" i="22"/>
  <c r="C90" i="22"/>
  <c r="F89" i="22"/>
  <c r="D89" i="22"/>
  <c r="C89" i="22"/>
  <c r="F88" i="22"/>
  <c r="D88" i="22"/>
  <c r="C88" i="22"/>
  <c r="F87" i="22"/>
  <c r="E87" i="22"/>
  <c r="D87" i="22"/>
  <c r="C87" i="22"/>
  <c r="F86" i="22"/>
  <c r="E86" i="22"/>
  <c r="D86" i="22"/>
  <c r="C86" i="22"/>
  <c r="F85" i="22"/>
  <c r="E85" i="22"/>
  <c r="D85" i="22"/>
  <c r="C85" i="22"/>
  <c r="F84" i="22"/>
  <c r="E84" i="22"/>
  <c r="D84" i="22"/>
  <c r="C84" i="22"/>
  <c r="B66" i="22"/>
  <c r="B54" i="22"/>
  <c r="B51" i="22"/>
  <c r="F34" i="22"/>
  <c r="E34" i="22"/>
  <c r="D34" i="22"/>
  <c r="H34" i="22" s="1"/>
  <c r="C34" i="22"/>
  <c r="G34" i="22" s="1"/>
  <c r="F33" i="22"/>
  <c r="E33" i="22"/>
  <c r="D33" i="22"/>
  <c r="H33" i="22" s="1"/>
  <c r="C33" i="22"/>
  <c r="G33" i="22" s="1"/>
  <c r="K28" i="22"/>
  <c r="I28" i="22"/>
  <c r="J28" i="22" s="1"/>
  <c r="L28" i="22" s="1"/>
  <c r="E28" i="22"/>
  <c r="D28" i="22"/>
  <c r="C28" i="22"/>
  <c r="F22" i="22"/>
  <c r="E22" i="22"/>
  <c r="D22" i="22"/>
  <c r="C22" i="22"/>
  <c r="F21" i="22"/>
  <c r="E21" i="22"/>
  <c r="D21" i="22"/>
  <c r="C21" i="22"/>
  <c r="C19" i="22"/>
  <c r="B19" i="22"/>
  <c r="F19" i="22" s="1"/>
  <c r="D18" i="22"/>
  <c r="B18" i="22"/>
  <c r="D17" i="22"/>
  <c r="C17" i="22"/>
  <c r="B17" i="22"/>
  <c r="F17" i="22" s="1"/>
  <c r="B16" i="22"/>
  <c r="E15" i="22"/>
  <c r="C15" i="22"/>
  <c r="B15" i="22"/>
  <c r="F15" i="22" s="1"/>
  <c r="D14" i="22"/>
  <c r="B14" i="22"/>
  <c r="E14" i="22" s="1"/>
  <c r="E13" i="22"/>
  <c r="D13" i="22"/>
  <c r="C13" i="22"/>
  <c r="B13" i="22"/>
  <c r="F13" i="22" s="1"/>
  <c r="B12" i="22"/>
  <c r="B778" i="22"/>
  <c r="B777" i="22"/>
  <c r="B776" i="22"/>
  <c r="G768" i="22"/>
  <c r="B764" i="22"/>
  <c r="B761" i="22"/>
  <c r="B768" i="22" s="1"/>
  <c r="B770" i="22" s="1"/>
  <c r="B771" i="22" s="1"/>
  <c r="J750" i="22"/>
  <c r="I750" i="22"/>
  <c r="F750" i="22"/>
  <c r="E750" i="22"/>
  <c r="D750" i="22"/>
  <c r="H750" i="22" s="1"/>
  <c r="C750" i="22"/>
  <c r="G750" i="22" s="1"/>
  <c r="J749" i="22"/>
  <c r="I749" i="22"/>
  <c r="F749" i="22"/>
  <c r="E749" i="22"/>
  <c r="D749" i="22"/>
  <c r="H749" i="22" s="1"/>
  <c r="C749" i="22"/>
  <c r="G749" i="22" s="1"/>
  <c r="K749" i="22" s="1"/>
  <c r="J748" i="22"/>
  <c r="I748" i="22"/>
  <c r="F748" i="22"/>
  <c r="E748" i="22"/>
  <c r="D748" i="22"/>
  <c r="H748" i="22" s="1"/>
  <c r="C748" i="22"/>
  <c r="G748" i="22" s="1"/>
  <c r="K748" i="22" s="1"/>
  <c r="J747" i="22"/>
  <c r="I747" i="22"/>
  <c r="H747" i="22"/>
  <c r="F747" i="22"/>
  <c r="E747" i="22"/>
  <c r="D747" i="22"/>
  <c r="C747" i="22"/>
  <c r="G747" i="22" s="1"/>
  <c r="K747" i="22" s="1"/>
  <c r="J746" i="22"/>
  <c r="I746" i="22"/>
  <c r="F746" i="22"/>
  <c r="E746" i="22"/>
  <c r="D746" i="22"/>
  <c r="H746" i="22" s="1"/>
  <c r="C746" i="22"/>
  <c r="G746" i="22" s="1"/>
  <c r="K746" i="22" s="1"/>
  <c r="J745" i="22"/>
  <c r="I745" i="22"/>
  <c r="F745" i="22"/>
  <c r="E745" i="22"/>
  <c r="D745" i="22"/>
  <c r="H745" i="22" s="1"/>
  <c r="C745" i="22"/>
  <c r="G745" i="22" s="1"/>
  <c r="K745" i="22" s="1"/>
  <c r="J744" i="22"/>
  <c r="I744" i="22"/>
  <c r="H744" i="22"/>
  <c r="F744" i="22"/>
  <c r="E744" i="22"/>
  <c r="D744" i="22"/>
  <c r="C744" i="22"/>
  <c r="G744" i="22" s="1"/>
  <c r="K744" i="22" s="1"/>
  <c r="J743" i="22"/>
  <c r="I743" i="22"/>
  <c r="F743" i="22"/>
  <c r="E743" i="22"/>
  <c r="D743" i="22"/>
  <c r="H743" i="22" s="1"/>
  <c r="C743" i="22"/>
  <c r="G743" i="22" s="1"/>
  <c r="J742" i="22"/>
  <c r="I742" i="22"/>
  <c r="F742" i="22"/>
  <c r="E742" i="22"/>
  <c r="D742" i="22"/>
  <c r="H742" i="22" s="1"/>
  <c r="C742" i="22"/>
  <c r="G742" i="22" s="1"/>
  <c r="K742" i="22" s="1"/>
  <c r="J741" i="22"/>
  <c r="I741" i="22"/>
  <c r="F741" i="22"/>
  <c r="E741" i="22"/>
  <c r="D741" i="22"/>
  <c r="H741" i="22" s="1"/>
  <c r="C741" i="22"/>
  <c r="G741" i="22" s="1"/>
  <c r="K741" i="22" s="1"/>
  <c r="J740" i="22"/>
  <c r="I740" i="22"/>
  <c r="F740" i="22"/>
  <c r="E740" i="22"/>
  <c r="D740" i="22"/>
  <c r="H740" i="22" s="1"/>
  <c r="C740" i="22"/>
  <c r="G740" i="22" s="1"/>
  <c r="K740" i="22" s="1"/>
  <c r="J739" i="22"/>
  <c r="B752" i="22" s="1"/>
  <c r="B782" i="22" s="1"/>
  <c r="I739" i="22"/>
  <c r="H739" i="22"/>
  <c r="F739" i="22"/>
  <c r="E739" i="22"/>
  <c r="D739" i="22"/>
  <c r="C739" i="22"/>
  <c r="G739" i="22" s="1"/>
  <c r="K739" i="22" s="1"/>
  <c r="M731" i="22"/>
  <c r="N731" i="22" s="1"/>
  <c r="H731" i="22" s="1"/>
  <c r="L731" i="22"/>
  <c r="G731" i="22"/>
  <c r="F731" i="22"/>
  <c r="E731" i="22"/>
  <c r="D731" i="22"/>
  <c r="C731" i="22"/>
  <c r="I731" i="22" s="1"/>
  <c r="H717" i="22"/>
  <c r="G717" i="22"/>
  <c r="F717" i="22"/>
  <c r="E717" i="22"/>
  <c r="D717" i="22"/>
  <c r="C717" i="22"/>
  <c r="H716" i="22"/>
  <c r="G716" i="22"/>
  <c r="F716" i="22"/>
  <c r="E716" i="22"/>
  <c r="D716" i="22"/>
  <c r="C716" i="22"/>
  <c r="H715" i="22"/>
  <c r="G715" i="22"/>
  <c r="F715" i="22"/>
  <c r="E715" i="22"/>
  <c r="D715" i="22"/>
  <c r="C715" i="22"/>
  <c r="B703" i="22"/>
  <c r="B699" i="22"/>
  <c r="B698" i="22" s="1"/>
  <c r="B697" i="22"/>
  <c r="B692" i="22"/>
  <c r="B691" i="22"/>
  <c r="B685" i="22"/>
  <c r="B682" i="22"/>
  <c r="B689" i="22" s="1"/>
  <c r="G689" i="22" s="1"/>
  <c r="K661" i="22"/>
  <c r="J661" i="22"/>
  <c r="I661" i="22"/>
  <c r="F661" i="22"/>
  <c r="E661" i="22"/>
  <c r="D661" i="22"/>
  <c r="H661" i="22" s="1"/>
  <c r="C661" i="22"/>
  <c r="G661" i="22" s="1"/>
  <c r="J660" i="22"/>
  <c r="I660" i="22"/>
  <c r="F660" i="22"/>
  <c r="E660" i="22"/>
  <c r="D660" i="22"/>
  <c r="H660" i="22" s="1"/>
  <c r="C660" i="22"/>
  <c r="G660" i="22" s="1"/>
  <c r="K660" i="22" s="1"/>
  <c r="L652" i="22"/>
  <c r="I652" i="22"/>
  <c r="G652" i="22"/>
  <c r="B673" i="22" s="1"/>
  <c r="F652" i="22"/>
  <c r="M652" i="22" s="1"/>
  <c r="N652" i="22" s="1"/>
  <c r="H652" i="22" s="1"/>
  <c r="E652" i="22"/>
  <c r="D652" i="22"/>
  <c r="C652" i="22"/>
  <c r="H637" i="22"/>
  <c r="G637" i="22"/>
  <c r="F637" i="22"/>
  <c r="E637" i="22"/>
  <c r="D637" i="22"/>
  <c r="C637" i="22"/>
  <c r="H636" i="22"/>
  <c r="G636" i="22"/>
  <c r="F636" i="22"/>
  <c r="E636" i="22"/>
  <c r="D636" i="22"/>
  <c r="C636" i="22"/>
  <c r="B618" i="22"/>
  <c r="B620" i="22" s="1"/>
  <c r="B619" i="22" s="1"/>
  <c r="B610" i="22"/>
  <c r="B607" i="22"/>
  <c r="B606" i="22"/>
  <c r="B603" i="22"/>
  <c r="J583" i="22"/>
  <c r="I583" i="22"/>
  <c r="H583" i="22"/>
  <c r="F583" i="22"/>
  <c r="E583" i="22"/>
  <c r="D583" i="22"/>
  <c r="C583" i="22"/>
  <c r="G583" i="22" s="1"/>
  <c r="K583" i="22" s="1"/>
  <c r="J582" i="22"/>
  <c r="I582" i="22"/>
  <c r="F582" i="22"/>
  <c r="E582" i="22"/>
  <c r="D582" i="22"/>
  <c r="H582" i="22" s="1"/>
  <c r="C582" i="22"/>
  <c r="G582" i="22" s="1"/>
  <c r="J581" i="22"/>
  <c r="B594" i="22" s="1"/>
  <c r="I581" i="22"/>
  <c r="F581" i="22"/>
  <c r="E581" i="22"/>
  <c r="D581" i="22"/>
  <c r="H581" i="22" s="1"/>
  <c r="C581" i="22"/>
  <c r="G581" i="22" s="1"/>
  <c r="I573" i="22"/>
  <c r="L573" i="22" s="1"/>
  <c r="G573" i="22"/>
  <c r="F573" i="22"/>
  <c r="M573" i="22" s="1"/>
  <c r="E573" i="22"/>
  <c r="D573" i="22"/>
  <c r="C573" i="22"/>
  <c r="H559" i="22"/>
  <c r="G559" i="22"/>
  <c r="F559" i="22"/>
  <c r="E559" i="22"/>
  <c r="D559" i="22"/>
  <c r="C559" i="22"/>
  <c r="H558" i="22"/>
  <c r="G558" i="22"/>
  <c r="F558" i="22"/>
  <c r="E558" i="22"/>
  <c r="D558" i="22"/>
  <c r="C558" i="22"/>
  <c r="H557" i="22"/>
  <c r="G557" i="22"/>
  <c r="F557" i="22"/>
  <c r="E557" i="22"/>
  <c r="D557" i="22"/>
  <c r="C557" i="22"/>
  <c r="B539" i="22"/>
  <c r="B541" i="22" s="1"/>
  <c r="B540" i="22" s="1"/>
  <c r="B531" i="22"/>
  <c r="B533" i="22" s="1"/>
  <c r="B534" i="22" s="1"/>
  <c r="B527" i="22"/>
  <c r="B528" i="22" s="1"/>
  <c r="B524" i="22"/>
  <c r="J504" i="22"/>
  <c r="I504" i="22"/>
  <c r="F504" i="22"/>
  <c r="E504" i="22"/>
  <c r="D504" i="22"/>
  <c r="H504" i="22" s="1"/>
  <c r="C504" i="22"/>
  <c r="G504" i="22" s="1"/>
  <c r="J503" i="22"/>
  <c r="I503" i="22"/>
  <c r="F503" i="22"/>
  <c r="E503" i="22"/>
  <c r="D503" i="22"/>
  <c r="H503" i="22" s="1"/>
  <c r="C503" i="22"/>
  <c r="G503" i="22" s="1"/>
  <c r="J502" i="22"/>
  <c r="I502" i="22"/>
  <c r="F502" i="22"/>
  <c r="E502" i="22"/>
  <c r="D502" i="22"/>
  <c r="H502" i="22" s="1"/>
  <c r="C502" i="22"/>
  <c r="G502" i="22" s="1"/>
  <c r="B516" i="22" s="1"/>
  <c r="B546" i="22" s="1"/>
  <c r="H483" i="22"/>
  <c r="G483" i="22"/>
  <c r="F483" i="22"/>
  <c r="E483" i="22"/>
  <c r="D483" i="22"/>
  <c r="C483" i="22"/>
  <c r="H482" i="22"/>
  <c r="G482" i="22"/>
  <c r="F482" i="22"/>
  <c r="E482" i="22"/>
  <c r="D482" i="22"/>
  <c r="C482" i="22"/>
  <c r="H481" i="22"/>
  <c r="G481" i="22"/>
  <c r="F481" i="22"/>
  <c r="E481" i="22"/>
  <c r="D481" i="22"/>
  <c r="C481" i="22"/>
  <c r="H480" i="22"/>
  <c r="G480" i="22"/>
  <c r="F480" i="22"/>
  <c r="E480" i="22"/>
  <c r="D480" i="22"/>
  <c r="C480" i="22"/>
  <c r="H479" i="22"/>
  <c r="G479" i="22"/>
  <c r="F479" i="22"/>
  <c r="E479" i="22"/>
  <c r="D479" i="22"/>
  <c r="C479" i="22"/>
  <c r="H478" i="22"/>
  <c r="B515" i="22" s="1"/>
  <c r="B545" i="22" s="1"/>
  <c r="G478" i="22"/>
  <c r="F478" i="22"/>
  <c r="E478" i="22"/>
  <c r="D478" i="22"/>
  <c r="C478" i="22"/>
  <c r="B463" i="22"/>
  <c r="B462" i="22" s="1"/>
  <c r="B461" i="22"/>
  <c r="B455" i="22"/>
  <c r="B456" i="22" s="1"/>
  <c r="G453" i="22"/>
  <c r="B449" i="22"/>
  <c r="B450" i="22" s="1"/>
  <c r="B446" i="22"/>
  <c r="B453" i="22" s="1"/>
  <c r="J428" i="22"/>
  <c r="I428" i="22"/>
  <c r="F428" i="22"/>
  <c r="E428" i="22"/>
  <c r="D428" i="22"/>
  <c r="H428" i="22" s="1"/>
  <c r="C428" i="22"/>
  <c r="G428" i="22" s="1"/>
  <c r="K428" i="22" s="1"/>
  <c r="J427" i="22"/>
  <c r="I427" i="22"/>
  <c r="F427" i="22"/>
  <c r="E427" i="22"/>
  <c r="D427" i="22"/>
  <c r="H427" i="22" s="1"/>
  <c r="C427" i="22"/>
  <c r="G427" i="22" s="1"/>
  <c r="K427" i="22" s="1"/>
  <c r="J426" i="22"/>
  <c r="I426" i="22"/>
  <c r="F426" i="22"/>
  <c r="E426" i="22"/>
  <c r="D426" i="22"/>
  <c r="H426" i="22" s="1"/>
  <c r="C426" i="22"/>
  <c r="G426" i="22" s="1"/>
  <c r="J425" i="22"/>
  <c r="I425" i="22"/>
  <c r="F425" i="22"/>
  <c r="E425" i="22"/>
  <c r="D425" i="22"/>
  <c r="H425" i="22" s="1"/>
  <c r="C425" i="22"/>
  <c r="G425" i="22" s="1"/>
  <c r="J424" i="22"/>
  <c r="I424" i="22"/>
  <c r="F424" i="22"/>
  <c r="E424" i="22"/>
  <c r="D424" i="22"/>
  <c r="H424" i="22" s="1"/>
  <c r="C424" i="22"/>
  <c r="G424" i="22" s="1"/>
  <c r="K424" i="22" s="1"/>
  <c r="H402" i="22"/>
  <c r="G402" i="22"/>
  <c r="F402" i="22"/>
  <c r="E402" i="22"/>
  <c r="D402" i="22"/>
  <c r="C402" i="22"/>
  <c r="H401" i="22"/>
  <c r="G401" i="22"/>
  <c r="F401" i="22"/>
  <c r="E401" i="22"/>
  <c r="D401" i="22"/>
  <c r="C401" i="22"/>
  <c r="H400" i="22"/>
  <c r="G400" i="22"/>
  <c r="F400" i="22"/>
  <c r="E400" i="22"/>
  <c r="D400" i="22"/>
  <c r="C400" i="22"/>
  <c r="B385" i="22"/>
  <c r="B384" i="22" s="1"/>
  <c r="B383" i="22"/>
  <c r="B371" i="22"/>
  <c r="B372" i="22" s="1"/>
  <c r="B368" i="22"/>
  <c r="B375" i="22" s="1"/>
  <c r="G375" i="22" s="1"/>
  <c r="J350" i="22"/>
  <c r="I350" i="22"/>
  <c r="F350" i="22"/>
  <c r="E350" i="22"/>
  <c r="D350" i="22"/>
  <c r="H350" i="22" s="1"/>
  <c r="C350" i="22"/>
  <c r="G350" i="22" s="1"/>
  <c r="J349" i="22"/>
  <c r="I349" i="22"/>
  <c r="F349" i="22"/>
  <c r="E349" i="22"/>
  <c r="D349" i="22"/>
  <c r="H349" i="22" s="1"/>
  <c r="C349" i="22"/>
  <c r="G349" i="22" s="1"/>
  <c r="K349" i="22" s="1"/>
  <c r="J348" i="22"/>
  <c r="I348" i="22"/>
  <c r="H348" i="22"/>
  <c r="F348" i="22"/>
  <c r="E348" i="22"/>
  <c r="D348" i="22"/>
  <c r="C348" i="22"/>
  <c r="G348" i="22" s="1"/>
  <c r="K348" i="22" s="1"/>
  <c r="J347" i="22"/>
  <c r="I347" i="22"/>
  <c r="F347" i="22"/>
  <c r="E347" i="22"/>
  <c r="D347" i="22"/>
  <c r="H347" i="22" s="1"/>
  <c r="C347" i="22"/>
  <c r="G347" i="22" s="1"/>
  <c r="K347" i="22" s="1"/>
  <c r="J346" i="22"/>
  <c r="I346" i="22"/>
  <c r="F346" i="22"/>
  <c r="E346" i="22"/>
  <c r="D346" i="22"/>
  <c r="H346" i="22" s="1"/>
  <c r="C346" i="22"/>
  <c r="G346" i="22" s="1"/>
  <c r="K346" i="22" s="1"/>
  <c r="H325" i="22"/>
  <c r="G325" i="22"/>
  <c r="F325" i="22"/>
  <c r="E325" i="22"/>
  <c r="D325" i="22"/>
  <c r="C325" i="22"/>
  <c r="H324" i="22"/>
  <c r="G324" i="22"/>
  <c r="F324" i="22"/>
  <c r="E324" i="22"/>
  <c r="D324" i="22"/>
  <c r="C324" i="22"/>
  <c r="H323" i="22"/>
  <c r="G323" i="22"/>
  <c r="F323" i="22"/>
  <c r="E323" i="22"/>
  <c r="D323" i="22"/>
  <c r="C323" i="22"/>
  <c r="H322" i="22"/>
  <c r="G322" i="22"/>
  <c r="F322" i="22"/>
  <c r="E322" i="22"/>
  <c r="D322" i="22"/>
  <c r="C322" i="22"/>
  <c r="B304" i="22"/>
  <c r="B306" i="22" s="1"/>
  <c r="B305" i="22" s="1"/>
  <c r="B292" i="22"/>
  <c r="B289" i="22"/>
  <c r="B296" i="22" s="1"/>
  <c r="G296" i="22" s="1"/>
  <c r="J270" i="22"/>
  <c r="I270" i="22"/>
  <c r="F270" i="22"/>
  <c r="E270" i="22"/>
  <c r="D270" i="22"/>
  <c r="H270" i="22" s="1"/>
  <c r="C270" i="22"/>
  <c r="G270" i="22" s="1"/>
  <c r="J269" i="22"/>
  <c r="I269" i="22"/>
  <c r="F269" i="22"/>
  <c r="E269" i="22"/>
  <c r="D269" i="22"/>
  <c r="H269" i="22" s="1"/>
  <c r="C269" i="22"/>
  <c r="G269" i="22" s="1"/>
  <c r="K269" i="22" s="1"/>
  <c r="J268" i="22"/>
  <c r="I268" i="22"/>
  <c r="F268" i="22"/>
  <c r="E268" i="22"/>
  <c r="D268" i="22"/>
  <c r="H268" i="22" s="1"/>
  <c r="C268" i="22"/>
  <c r="G268" i="22" s="1"/>
  <c r="K268" i="22" s="1"/>
  <c r="J267" i="22"/>
  <c r="I267" i="22"/>
  <c r="F267" i="22"/>
  <c r="E267" i="22"/>
  <c r="D267" i="22"/>
  <c r="H267" i="22" s="1"/>
  <c r="C267" i="22"/>
  <c r="G267" i="22" s="1"/>
  <c r="K267" i="22" s="1"/>
  <c r="H246" i="22"/>
  <c r="G246" i="22"/>
  <c r="F246" i="22"/>
  <c r="E246" i="22"/>
  <c r="D246" i="22"/>
  <c r="C246" i="22"/>
  <c r="H245" i="22"/>
  <c r="G245" i="22"/>
  <c r="F245" i="22"/>
  <c r="E245" i="22"/>
  <c r="D245" i="22"/>
  <c r="C245" i="22"/>
  <c r="H244" i="22"/>
  <c r="G244" i="22"/>
  <c r="F244" i="22"/>
  <c r="E244" i="22"/>
  <c r="D244" i="22"/>
  <c r="C244" i="22"/>
  <c r="H243" i="22"/>
  <c r="B280" i="22" s="1"/>
  <c r="G243" i="22"/>
  <c r="F243" i="22"/>
  <c r="E243" i="22"/>
  <c r="D243" i="22"/>
  <c r="C243" i="22"/>
  <c r="B227" i="22"/>
  <c r="B226" i="22"/>
  <c r="B225" i="22"/>
  <c r="B213" i="22"/>
  <c r="B210" i="22"/>
  <c r="B217" i="22" s="1"/>
  <c r="J190" i="22"/>
  <c r="I190" i="22"/>
  <c r="F190" i="22"/>
  <c r="E190" i="22"/>
  <c r="D190" i="22"/>
  <c r="H190" i="22" s="1"/>
  <c r="C190" i="22"/>
  <c r="G190" i="22" s="1"/>
  <c r="J189" i="22"/>
  <c r="I189" i="22"/>
  <c r="F189" i="22"/>
  <c r="E189" i="22"/>
  <c r="D189" i="22"/>
  <c r="H189" i="22" s="1"/>
  <c r="C189" i="22"/>
  <c r="G189" i="22" s="1"/>
  <c r="J188" i="22"/>
  <c r="I188" i="22"/>
  <c r="F188" i="22"/>
  <c r="E188" i="22"/>
  <c r="D188" i="22"/>
  <c r="H188" i="22" s="1"/>
  <c r="C188" i="22"/>
  <c r="G188" i="22" s="1"/>
  <c r="K188" i="22" s="1"/>
  <c r="G180" i="22"/>
  <c r="F180" i="22"/>
  <c r="M180" i="22" s="1"/>
  <c r="N180" i="22" s="1"/>
  <c r="H180" i="22" s="1"/>
  <c r="E180" i="22"/>
  <c r="D180" i="22"/>
  <c r="C180" i="22"/>
  <c r="I180" i="22" s="1"/>
  <c r="L180" i="22" s="1"/>
  <c r="H165" i="22"/>
  <c r="G165" i="22"/>
  <c r="F165" i="22"/>
  <c r="E165" i="22"/>
  <c r="D165" i="22"/>
  <c r="C165" i="22"/>
  <c r="H164" i="22"/>
  <c r="G164" i="22"/>
  <c r="F164" i="22"/>
  <c r="E164" i="22"/>
  <c r="D164" i="22"/>
  <c r="C164" i="22"/>
  <c r="B145" i="22"/>
  <c r="B147" i="22" s="1"/>
  <c r="B146" i="22" s="1"/>
  <c r="B127" i="22"/>
  <c r="B68" i="22"/>
  <c r="B67" i="22" s="1"/>
  <c r="G58" i="22"/>
  <c r="B58" i="22"/>
  <c r="B60" i="22" s="1"/>
  <c r="B61" i="22" s="1"/>
  <c r="B48" i="22"/>
  <c r="B22" i="22"/>
  <c r="B21" i="22"/>
  <c r="V12" i="22"/>
  <c r="V11" i="22"/>
  <c r="V10" i="22"/>
  <c r="V9" i="22"/>
  <c r="V8" i="22"/>
  <c r="V7" i="22"/>
  <c r="B127" i="21"/>
  <c r="B48" i="21"/>
  <c r="B133" i="21"/>
  <c r="B130" i="21"/>
  <c r="B137" i="21" s="1"/>
  <c r="B139" i="21" s="1"/>
  <c r="F109" i="21"/>
  <c r="E109" i="21"/>
  <c r="D109" i="21"/>
  <c r="H109" i="21" s="1"/>
  <c r="C109" i="21"/>
  <c r="G109" i="21" s="1"/>
  <c r="F108" i="21"/>
  <c r="E108" i="21"/>
  <c r="D108" i="21"/>
  <c r="H108" i="21" s="1"/>
  <c r="C108" i="21"/>
  <c r="G108" i="21" s="1"/>
  <c r="F92" i="21"/>
  <c r="E92" i="21"/>
  <c r="D92" i="21"/>
  <c r="C92" i="21"/>
  <c r="F91" i="21"/>
  <c r="D91" i="21"/>
  <c r="C91" i="21"/>
  <c r="F90" i="21"/>
  <c r="D90" i="21"/>
  <c r="C90" i="21"/>
  <c r="F89" i="21"/>
  <c r="D89" i="21"/>
  <c r="C89" i="21"/>
  <c r="F88" i="21"/>
  <c r="D88" i="21"/>
  <c r="C88" i="21"/>
  <c r="F87" i="21"/>
  <c r="E87" i="21"/>
  <c r="D87" i="21"/>
  <c r="C87" i="21"/>
  <c r="F86" i="21"/>
  <c r="E86" i="21"/>
  <c r="D86" i="21"/>
  <c r="C86" i="21"/>
  <c r="F85" i="21"/>
  <c r="E85" i="21"/>
  <c r="D85" i="21"/>
  <c r="C85" i="21"/>
  <c r="F84" i="21"/>
  <c r="E84" i="21"/>
  <c r="D84" i="21"/>
  <c r="C84" i="21"/>
  <c r="B66" i="21"/>
  <c r="B54" i="21"/>
  <c r="B51" i="21"/>
  <c r="B58" i="21" s="1"/>
  <c r="G58" i="21" s="1"/>
  <c r="F34" i="21"/>
  <c r="E34" i="21"/>
  <c r="D34" i="21"/>
  <c r="H34" i="21" s="1"/>
  <c r="C34" i="21"/>
  <c r="G34" i="21" s="1"/>
  <c r="F33" i="21"/>
  <c r="E33" i="21"/>
  <c r="D33" i="21"/>
  <c r="H33" i="21" s="1"/>
  <c r="C33" i="21"/>
  <c r="G33" i="21" s="1"/>
  <c r="K28" i="21"/>
  <c r="I28" i="21"/>
  <c r="E28" i="21"/>
  <c r="D28" i="21"/>
  <c r="C28" i="21"/>
  <c r="F22" i="21"/>
  <c r="E22" i="21"/>
  <c r="D22" i="21"/>
  <c r="C22" i="21"/>
  <c r="F21" i="21"/>
  <c r="E21" i="21"/>
  <c r="D21" i="21"/>
  <c r="C21" i="21"/>
  <c r="D19" i="21"/>
  <c r="C19" i="21"/>
  <c r="B19" i="21"/>
  <c r="F19" i="21" s="1"/>
  <c r="B18" i="21"/>
  <c r="B17" i="21"/>
  <c r="D16" i="21"/>
  <c r="B16" i="21"/>
  <c r="E15" i="21"/>
  <c r="D15" i="21"/>
  <c r="C15" i="21"/>
  <c r="B15" i="21"/>
  <c r="F15" i="21" s="1"/>
  <c r="B14" i="21"/>
  <c r="E14" i="21" s="1"/>
  <c r="E13" i="21"/>
  <c r="B13" i="21"/>
  <c r="E12" i="21"/>
  <c r="D12" i="21"/>
  <c r="B12" i="21"/>
  <c r="B776" i="21"/>
  <c r="B778" i="21" s="1"/>
  <c r="B777" i="21" s="1"/>
  <c r="G768" i="21"/>
  <c r="B764" i="21"/>
  <c r="B761" i="21"/>
  <c r="B768" i="21" s="1"/>
  <c r="B770" i="21" s="1"/>
  <c r="B771" i="21" s="1"/>
  <c r="J750" i="21"/>
  <c r="I750" i="21"/>
  <c r="F750" i="21"/>
  <c r="E750" i="21"/>
  <c r="D750" i="21"/>
  <c r="H750" i="21" s="1"/>
  <c r="C750" i="21"/>
  <c r="G750" i="21" s="1"/>
  <c r="K750" i="21" s="1"/>
  <c r="J749" i="21"/>
  <c r="I749" i="21"/>
  <c r="F749" i="21"/>
  <c r="E749" i="21"/>
  <c r="D749" i="21"/>
  <c r="H749" i="21" s="1"/>
  <c r="C749" i="21"/>
  <c r="G749" i="21" s="1"/>
  <c r="K749" i="21" s="1"/>
  <c r="J748" i="21"/>
  <c r="I748" i="21"/>
  <c r="F748" i="21"/>
  <c r="E748" i="21"/>
  <c r="D748" i="21"/>
  <c r="H748" i="21" s="1"/>
  <c r="C748" i="21"/>
  <c r="G748" i="21" s="1"/>
  <c r="K748" i="21" s="1"/>
  <c r="J747" i="21"/>
  <c r="I747" i="21"/>
  <c r="F747" i="21"/>
  <c r="E747" i="21"/>
  <c r="D747" i="21"/>
  <c r="H747" i="21" s="1"/>
  <c r="C747" i="21"/>
  <c r="G747" i="21" s="1"/>
  <c r="J746" i="21"/>
  <c r="I746" i="21"/>
  <c r="F746" i="21"/>
  <c r="E746" i="21"/>
  <c r="D746" i="21"/>
  <c r="H746" i="21" s="1"/>
  <c r="C746" i="21"/>
  <c r="G746" i="21" s="1"/>
  <c r="K746" i="21" s="1"/>
  <c r="J745" i="21"/>
  <c r="I745" i="21"/>
  <c r="F745" i="21"/>
  <c r="E745" i="21"/>
  <c r="D745" i="21"/>
  <c r="H745" i="21" s="1"/>
  <c r="C745" i="21"/>
  <c r="G745" i="21" s="1"/>
  <c r="J744" i="21"/>
  <c r="I744" i="21"/>
  <c r="F744" i="21"/>
  <c r="E744" i="21"/>
  <c r="D744" i="21"/>
  <c r="H744" i="21" s="1"/>
  <c r="C744" i="21"/>
  <c r="G744" i="21" s="1"/>
  <c r="K744" i="21" s="1"/>
  <c r="J743" i="21"/>
  <c r="I743" i="21"/>
  <c r="H743" i="21"/>
  <c r="F743" i="21"/>
  <c r="E743" i="21"/>
  <c r="D743" i="21"/>
  <c r="C743" i="21"/>
  <c r="G743" i="21" s="1"/>
  <c r="K743" i="21" s="1"/>
  <c r="J742" i="21"/>
  <c r="I742" i="21"/>
  <c r="F742" i="21"/>
  <c r="E742" i="21"/>
  <c r="D742" i="21"/>
  <c r="H742" i="21" s="1"/>
  <c r="C742" i="21"/>
  <c r="G742" i="21" s="1"/>
  <c r="K742" i="21" s="1"/>
  <c r="J741" i="21"/>
  <c r="I741" i="21"/>
  <c r="F741" i="21"/>
  <c r="E741" i="21"/>
  <c r="D741" i="21"/>
  <c r="H741" i="21" s="1"/>
  <c r="C741" i="21"/>
  <c r="G741" i="21" s="1"/>
  <c r="K741" i="21" s="1"/>
  <c r="J740" i="21"/>
  <c r="I740" i="21"/>
  <c r="F740" i="21"/>
  <c r="E740" i="21"/>
  <c r="D740" i="21"/>
  <c r="H740" i="21" s="1"/>
  <c r="C740" i="21"/>
  <c r="G740" i="21" s="1"/>
  <c r="K740" i="21" s="1"/>
  <c r="J739" i="21"/>
  <c r="I739" i="21"/>
  <c r="H739" i="21"/>
  <c r="F739" i="21"/>
  <c r="E739" i="21"/>
  <c r="D739" i="21"/>
  <c r="C739" i="21"/>
  <c r="G739" i="21" s="1"/>
  <c r="K739" i="21" s="1"/>
  <c r="L731" i="21"/>
  <c r="G731" i="21"/>
  <c r="F731" i="21"/>
  <c r="M731" i="21" s="1"/>
  <c r="E731" i="21"/>
  <c r="D731" i="21"/>
  <c r="C731" i="21"/>
  <c r="I731" i="21" s="1"/>
  <c r="H717" i="21"/>
  <c r="G717" i="21"/>
  <c r="F717" i="21"/>
  <c r="E717" i="21"/>
  <c r="D717" i="21"/>
  <c r="C717" i="21"/>
  <c r="H716" i="21"/>
  <c r="G716" i="21"/>
  <c r="F716" i="21"/>
  <c r="E716" i="21"/>
  <c r="D716" i="21"/>
  <c r="C716" i="21"/>
  <c r="H715" i="21"/>
  <c r="G715" i="21"/>
  <c r="F715" i="21"/>
  <c r="E715" i="21"/>
  <c r="D715" i="21"/>
  <c r="C715" i="21"/>
  <c r="B699" i="21"/>
  <c r="B698" i="21" s="1"/>
  <c r="B697" i="21"/>
  <c r="B685" i="21"/>
  <c r="B682" i="21"/>
  <c r="B689" i="21" s="1"/>
  <c r="G689" i="21" s="1"/>
  <c r="J661" i="21"/>
  <c r="I661" i="21"/>
  <c r="F661" i="21"/>
  <c r="E661" i="21"/>
  <c r="D661" i="21"/>
  <c r="H661" i="21" s="1"/>
  <c r="C661" i="21"/>
  <c r="G661" i="21" s="1"/>
  <c r="K661" i="21" s="1"/>
  <c r="J660" i="21"/>
  <c r="I660" i="21"/>
  <c r="F660" i="21"/>
  <c r="E660" i="21"/>
  <c r="D660" i="21"/>
  <c r="H660" i="21" s="1"/>
  <c r="C660" i="21"/>
  <c r="G660" i="21" s="1"/>
  <c r="K660" i="21" s="1"/>
  <c r="I652" i="21"/>
  <c r="L652" i="21" s="1"/>
  <c r="G652" i="21"/>
  <c r="F652" i="21"/>
  <c r="M652" i="21" s="1"/>
  <c r="E652" i="21"/>
  <c r="D652" i="21"/>
  <c r="C652" i="21"/>
  <c r="H637" i="21"/>
  <c r="G637" i="21"/>
  <c r="F637" i="21"/>
  <c r="E637" i="21"/>
  <c r="D637" i="21"/>
  <c r="C637" i="21"/>
  <c r="H636" i="21"/>
  <c r="B673" i="21" s="1"/>
  <c r="G636" i="21"/>
  <c r="F636" i="21"/>
  <c r="E636" i="21"/>
  <c r="D636" i="21"/>
  <c r="C636" i="21"/>
  <c r="B618" i="21"/>
  <c r="B620" i="21" s="1"/>
  <c r="B619" i="21" s="1"/>
  <c r="B610" i="21"/>
  <c r="B612" i="21" s="1"/>
  <c r="B613" i="21" s="1"/>
  <c r="B607" i="21"/>
  <c r="B606" i="21"/>
  <c r="B603" i="21"/>
  <c r="B594" i="21"/>
  <c r="B595" i="21" s="1"/>
  <c r="B625" i="21" s="1"/>
  <c r="J583" i="21"/>
  <c r="I583" i="21"/>
  <c r="H583" i="21"/>
  <c r="F583" i="21"/>
  <c r="E583" i="21"/>
  <c r="D583" i="21"/>
  <c r="C583" i="21"/>
  <c r="G583" i="21" s="1"/>
  <c r="K583" i="21" s="1"/>
  <c r="J582" i="21"/>
  <c r="I582" i="21"/>
  <c r="F582" i="21"/>
  <c r="E582" i="21"/>
  <c r="D582" i="21"/>
  <c r="H582" i="21" s="1"/>
  <c r="C582" i="21"/>
  <c r="G582" i="21" s="1"/>
  <c r="J581" i="21"/>
  <c r="I581" i="21"/>
  <c r="F581" i="21"/>
  <c r="E581" i="21"/>
  <c r="D581" i="21"/>
  <c r="H581" i="21" s="1"/>
  <c r="C581" i="21"/>
  <c r="G581" i="21" s="1"/>
  <c r="K581" i="21" s="1"/>
  <c r="I573" i="21"/>
  <c r="L573" i="21" s="1"/>
  <c r="G573" i="21"/>
  <c r="F573" i="21"/>
  <c r="M573" i="21" s="1"/>
  <c r="N573" i="21" s="1"/>
  <c r="H573" i="21" s="1"/>
  <c r="E573" i="21"/>
  <c r="D573" i="21"/>
  <c r="C573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B539" i="21"/>
  <c r="B541" i="21" s="1"/>
  <c r="B540" i="21" s="1"/>
  <c r="B531" i="21"/>
  <c r="B527" i="21"/>
  <c r="B528" i="21" s="1"/>
  <c r="B524" i="21"/>
  <c r="J504" i="21"/>
  <c r="I504" i="21"/>
  <c r="F504" i="21"/>
  <c r="E504" i="21"/>
  <c r="D504" i="21"/>
  <c r="H504" i="21" s="1"/>
  <c r="C504" i="21"/>
  <c r="G504" i="21" s="1"/>
  <c r="J503" i="21"/>
  <c r="I503" i="21"/>
  <c r="F503" i="21"/>
  <c r="E503" i="21"/>
  <c r="D503" i="21"/>
  <c r="H503" i="21" s="1"/>
  <c r="C503" i="21"/>
  <c r="G503" i="21" s="1"/>
  <c r="K503" i="21" s="1"/>
  <c r="J502" i="21"/>
  <c r="I502" i="21"/>
  <c r="F502" i="21"/>
  <c r="E502" i="21"/>
  <c r="D502" i="21"/>
  <c r="H502" i="21" s="1"/>
  <c r="C502" i="21"/>
  <c r="G502" i="21" s="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B515" i="21" s="1"/>
  <c r="B545" i="21" s="1"/>
  <c r="G478" i="21"/>
  <c r="F478" i="21"/>
  <c r="E478" i="21"/>
  <c r="D478" i="21"/>
  <c r="C478" i="21"/>
  <c r="B463" i="21"/>
  <c r="B462" i="21"/>
  <c r="B461" i="21"/>
  <c r="G453" i="21"/>
  <c r="B449" i="21"/>
  <c r="B450" i="21" s="1"/>
  <c r="B446" i="21"/>
  <c r="B453" i="21" s="1"/>
  <c r="B455" i="21" s="1"/>
  <c r="B456" i="21" s="1"/>
  <c r="J428" i="21"/>
  <c r="I428" i="21"/>
  <c r="F428" i="21"/>
  <c r="E428" i="21"/>
  <c r="D428" i="21"/>
  <c r="H428" i="21" s="1"/>
  <c r="C428" i="21"/>
  <c r="G428" i="21" s="1"/>
  <c r="K428" i="21" s="1"/>
  <c r="J427" i="21"/>
  <c r="I427" i="21"/>
  <c r="F427" i="21"/>
  <c r="E427" i="21"/>
  <c r="D427" i="21"/>
  <c r="H427" i="21" s="1"/>
  <c r="C427" i="21"/>
  <c r="G427" i="21" s="1"/>
  <c r="K427" i="21" s="1"/>
  <c r="J426" i="21"/>
  <c r="I426" i="21"/>
  <c r="H426" i="21"/>
  <c r="F426" i="21"/>
  <c r="E426" i="21"/>
  <c r="D426" i="21"/>
  <c r="C426" i="21"/>
  <c r="G426" i="21" s="1"/>
  <c r="K426" i="21" s="1"/>
  <c r="J425" i="21"/>
  <c r="I425" i="21"/>
  <c r="F425" i="21"/>
  <c r="E425" i="21"/>
  <c r="D425" i="21"/>
  <c r="H425" i="21" s="1"/>
  <c r="C425" i="21"/>
  <c r="G425" i="21" s="1"/>
  <c r="K425" i="21" s="1"/>
  <c r="J424" i="21"/>
  <c r="I424" i="21"/>
  <c r="F424" i="21"/>
  <c r="E424" i="21"/>
  <c r="D424" i="21"/>
  <c r="H424" i="21" s="1"/>
  <c r="C424" i="21"/>
  <c r="G424" i="21" s="1"/>
  <c r="K424" i="21" s="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B437" i="21" s="1"/>
  <c r="G400" i="21"/>
  <c r="F400" i="21"/>
  <c r="E400" i="21"/>
  <c r="D400" i="21"/>
  <c r="C400" i="21"/>
  <c r="B385" i="21"/>
  <c r="B384" i="21" s="1"/>
  <c r="B383" i="21"/>
  <c r="B377" i="21"/>
  <c r="B378" i="21" s="1"/>
  <c r="B371" i="21"/>
  <c r="B372" i="21" s="1"/>
  <c r="B368" i="21"/>
  <c r="B375" i="21" s="1"/>
  <c r="G375" i="21" s="1"/>
  <c r="J350" i="21"/>
  <c r="I350" i="21"/>
  <c r="F350" i="21"/>
  <c r="E350" i="21"/>
  <c r="D350" i="21"/>
  <c r="H350" i="21" s="1"/>
  <c r="C350" i="21"/>
  <c r="G350" i="21" s="1"/>
  <c r="K350" i="21" s="1"/>
  <c r="J349" i="21"/>
  <c r="I349" i="21"/>
  <c r="H349" i="21"/>
  <c r="F349" i="21"/>
  <c r="E349" i="21"/>
  <c r="D349" i="21"/>
  <c r="C349" i="21"/>
  <c r="G349" i="21" s="1"/>
  <c r="K349" i="21" s="1"/>
  <c r="J348" i="21"/>
  <c r="I348" i="21"/>
  <c r="F348" i="21"/>
  <c r="E348" i="21"/>
  <c r="D348" i="21"/>
  <c r="H348" i="21" s="1"/>
  <c r="C348" i="21"/>
  <c r="G348" i="21" s="1"/>
  <c r="K348" i="21" s="1"/>
  <c r="J347" i="21"/>
  <c r="I347" i="21"/>
  <c r="F347" i="21"/>
  <c r="E347" i="21"/>
  <c r="D347" i="21"/>
  <c r="H347" i="21" s="1"/>
  <c r="C347" i="21"/>
  <c r="G347" i="21" s="1"/>
  <c r="K347" i="21" s="1"/>
  <c r="J346" i="21"/>
  <c r="I346" i="21"/>
  <c r="F346" i="21"/>
  <c r="E346" i="21"/>
  <c r="D346" i="21"/>
  <c r="H346" i="21" s="1"/>
  <c r="C346" i="21"/>
  <c r="G346" i="21" s="1"/>
  <c r="K346" i="21" s="1"/>
  <c r="H325" i="21"/>
  <c r="G325" i="21"/>
  <c r="F325" i="21"/>
  <c r="E325" i="21"/>
  <c r="D325" i="21"/>
  <c r="C325" i="21"/>
  <c r="H324" i="21"/>
  <c r="G324" i="21"/>
  <c r="F324" i="21"/>
  <c r="E324" i="21"/>
  <c r="D324" i="21"/>
  <c r="C324" i="21"/>
  <c r="H323" i="21"/>
  <c r="G323" i="21"/>
  <c r="F323" i="21"/>
  <c r="E323" i="21"/>
  <c r="D323" i="21"/>
  <c r="C323" i="21"/>
  <c r="H322" i="21"/>
  <c r="B359" i="21" s="1"/>
  <c r="G322" i="21"/>
  <c r="F322" i="21"/>
  <c r="E322" i="21"/>
  <c r="D322" i="21"/>
  <c r="C322" i="21"/>
  <c r="B306" i="21"/>
  <c r="B305" i="21"/>
  <c r="B304" i="21"/>
  <c r="B298" i="21"/>
  <c r="B299" i="21" s="1"/>
  <c r="B292" i="21"/>
  <c r="B289" i="21"/>
  <c r="B296" i="21" s="1"/>
  <c r="G296" i="21" s="1"/>
  <c r="B281" i="21"/>
  <c r="B311" i="21" s="1"/>
  <c r="J270" i="21"/>
  <c r="I270" i="21"/>
  <c r="F270" i="21"/>
  <c r="E270" i="21"/>
  <c r="D270" i="21"/>
  <c r="H270" i="21" s="1"/>
  <c r="C270" i="21"/>
  <c r="G270" i="21" s="1"/>
  <c r="K270" i="21" s="1"/>
  <c r="J269" i="21"/>
  <c r="I269" i="21"/>
  <c r="F269" i="21"/>
  <c r="E269" i="21"/>
  <c r="D269" i="21"/>
  <c r="H269" i="21" s="1"/>
  <c r="C269" i="21"/>
  <c r="G269" i="21" s="1"/>
  <c r="K269" i="21" s="1"/>
  <c r="J268" i="21"/>
  <c r="I268" i="21"/>
  <c r="F268" i="21"/>
  <c r="E268" i="21"/>
  <c r="D268" i="21"/>
  <c r="H268" i="21" s="1"/>
  <c r="C268" i="21"/>
  <c r="G268" i="21" s="1"/>
  <c r="K268" i="21" s="1"/>
  <c r="J267" i="21"/>
  <c r="I267" i="21"/>
  <c r="H267" i="21"/>
  <c r="F267" i="21"/>
  <c r="E267" i="21"/>
  <c r="D267" i="21"/>
  <c r="C267" i="21"/>
  <c r="G267" i="21" s="1"/>
  <c r="K267" i="21" s="1"/>
  <c r="H246" i="21"/>
  <c r="G246" i="21"/>
  <c r="F246" i="21"/>
  <c r="E246" i="21"/>
  <c r="D246" i="21"/>
  <c r="C246" i="21"/>
  <c r="H245" i="21"/>
  <c r="G245" i="21"/>
  <c r="F245" i="21"/>
  <c r="E245" i="21"/>
  <c r="D245" i="21"/>
  <c r="C245" i="21"/>
  <c r="H244" i="21"/>
  <c r="G244" i="21"/>
  <c r="F244" i="21"/>
  <c r="E244" i="21"/>
  <c r="D244" i="21"/>
  <c r="C244" i="21"/>
  <c r="H243" i="21"/>
  <c r="B280" i="21" s="1"/>
  <c r="B310" i="21" s="1"/>
  <c r="G243" i="21"/>
  <c r="F243" i="21"/>
  <c r="E243" i="21"/>
  <c r="D243" i="21"/>
  <c r="C243" i="21"/>
  <c r="B227" i="21"/>
  <c r="B226" i="21" s="1"/>
  <c r="B225" i="21"/>
  <c r="B219" i="21"/>
  <c r="B220" i="21" s="1"/>
  <c r="B213" i="21"/>
  <c r="B210" i="21"/>
  <c r="B217" i="21" s="1"/>
  <c r="G217" i="21" s="1"/>
  <c r="J190" i="21"/>
  <c r="I190" i="21"/>
  <c r="F190" i="21"/>
  <c r="E190" i="21"/>
  <c r="D190" i="21"/>
  <c r="H190" i="21" s="1"/>
  <c r="C190" i="21"/>
  <c r="G190" i="21" s="1"/>
  <c r="K190" i="21" s="1"/>
  <c r="J189" i="21"/>
  <c r="I189" i="21"/>
  <c r="F189" i="21"/>
  <c r="E189" i="21"/>
  <c r="D189" i="21"/>
  <c r="H189" i="21" s="1"/>
  <c r="C189" i="21"/>
  <c r="G189" i="21" s="1"/>
  <c r="K189" i="21" s="1"/>
  <c r="J188" i="21"/>
  <c r="I188" i="21"/>
  <c r="F188" i="21"/>
  <c r="E188" i="21"/>
  <c r="D188" i="21"/>
  <c r="H188" i="21" s="1"/>
  <c r="C188" i="21"/>
  <c r="G188" i="21" s="1"/>
  <c r="M180" i="21"/>
  <c r="G180" i="21"/>
  <c r="F180" i="21"/>
  <c r="E180" i="21"/>
  <c r="D180" i="21"/>
  <c r="C180" i="21"/>
  <c r="I180" i="21" s="1"/>
  <c r="L180" i="21" s="1"/>
  <c r="H165" i="21"/>
  <c r="G165" i="21"/>
  <c r="F165" i="21"/>
  <c r="E165" i="21"/>
  <c r="D165" i="21"/>
  <c r="C165" i="21"/>
  <c r="H164" i="21"/>
  <c r="G164" i="21"/>
  <c r="F164" i="21"/>
  <c r="E164" i="21"/>
  <c r="D164" i="21"/>
  <c r="C164" i="21"/>
  <c r="B145" i="21"/>
  <c r="B147" i="21" s="1"/>
  <c r="B146" i="21" s="1"/>
  <c r="B68" i="21"/>
  <c r="B67" i="21" s="1"/>
  <c r="B22" i="21"/>
  <c r="B21" i="21"/>
  <c r="V12" i="21"/>
  <c r="V11" i="21"/>
  <c r="V10" i="21"/>
  <c r="V9" i="21"/>
  <c r="V8" i="21"/>
  <c r="V7" i="21"/>
  <c r="AP30" i="6"/>
  <c r="AP9" i="6"/>
  <c r="AP37" i="6"/>
  <c r="AP40" i="6"/>
  <c r="AP24" i="6"/>
  <c r="AP19" i="6"/>
  <c r="AP23" i="6"/>
  <c r="AP48" i="6"/>
  <c r="AP50" i="6" s="1"/>
  <c r="AP49" i="6" s="1"/>
  <c r="AP45" i="6"/>
  <c r="AP44" i="6"/>
  <c r="AP38" i="6"/>
  <c r="AP32" i="6"/>
  <c r="AP31" i="6"/>
  <c r="AP21" i="6"/>
  <c r="AP20" i="6"/>
  <c r="AP12" i="6"/>
  <c r="AP11" i="6"/>
  <c r="AP10" i="6"/>
  <c r="K109" i="21" l="1"/>
  <c r="K108" i="22"/>
  <c r="K33" i="22"/>
  <c r="K108" i="21"/>
  <c r="K34" i="22"/>
  <c r="F12" i="22"/>
  <c r="F16" i="22"/>
  <c r="D12" i="22"/>
  <c r="F14" i="22"/>
  <c r="D16" i="22"/>
  <c r="F18" i="22"/>
  <c r="E12" i="22"/>
  <c r="C14" i="22"/>
  <c r="D15" i="22"/>
  <c r="C18" i="22"/>
  <c r="D19" i="22"/>
  <c r="C12" i="22"/>
  <c r="C16" i="22"/>
  <c r="B624" i="22"/>
  <c r="B595" i="22"/>
  <c r="B625" i="22" s="1"/>
  <c r="B139" i="22"/>
  <c r="B140" i="22" s="1"/>
  <c r="G137" i="22"/>
  <c r="B201" i="22"/>
  <c r="B298" i="22"/>
  <c r="B299" i="22" s="1"/>
  <c r="B359" i="22"/>
  <c r="K189" i="22"/>
  <c r="B219" i="22"/>
  <c r="B220" i="22" s="1"/>
  <c r="G217" i="22"/>
  <c r="B310" i="22"/>
  <c r="B281" i="22"/>
  <c r="B311" i="22" s="1"/>
  <c r="K350" i="22"/>
  <c r="B377" i="22"/>
  <c r="B378" i="22" s="1"/>
  <c r="K503" i="22"/>
  <c r="G531" i="22"/>
  <c r="N573" i="22"/>
  <c r="H573" i="22" s="1"/>
  <c r="K581" i="22"/>
  <c r="B612" i="22"/>
  <c r="B613" i="22" s="1"/>
  <c r="G610" i="22"/>
  <c r="B753" i="22"/>
  <c r="B783" i="22" s="1"/>
  <c r="K190" i="22"/>
  <c r="K425" i="22"/>
  <c r="K502" i="22"/>
  <c r="K743" i="22"/>
  <c r="B674" i="22"/>
  <c r="B704" i="22" s="1"/>
  <c r="K109" i="22"/>
  <c r="K270" i="22"/>
  <c r="B437" i="22"/>
  <c r="K426" i="22"/>
  <c r="K504" i="22"/>
  <c r="K582" i="22"/>
  <c r="K750" i="22"/>
  <c r="K34" i="21"/>
  <c r="F14" i="21"/>
  <c r="F18" i="21"/>
  <c r="C18" i="21"/>
  <c r="F12" i="21"/>
  <c r="C13" i="21"/>
  <c r="D14" i="21"/>
  <c r="F16" i="21"/>
  <c r="C17" i="21"/>
  <c r="D18" i="21"/>
  <c r="F13" i="21"/>
  <c r="C14" i="21"/>
  <c r="F17" i="21"/>
  <c r="C12" i="21"/>
  <c r="D13" i="21"/>
  <c r="C16" i="21"/>
  <c r="D17" i="21"/>
  <c r="B140" i="21"/>
  <c r="G137" i="21"/>
  <c r="K502" i="21"/>
  <c r="B516" i="21"/>
  <c r="B546" i="21" s="1"/>
  <c r="B533" i="21"/>
  <c r="B534" i="21" s="1"/>
  <c r="G531" i="21"/>
  <c r="B674" i="21"/>
  <c r="B704" i="21" s="1"/>
  <c r="B703" i="21"/>
  <c r="B691" i="21"/>
  <c r="B692" i="21" s="1"/>
  <c r="N731" i="21"/>
  <c r="H731" i="21" s="1"/>
  <c r="B201" i="21"/>
  <c r="B360" i="21"/>
  <c r="B390" i="21" s="1"/>
  <c r="B389" i="21"/>
  <c r="B438" i="21"/>
  <c r="B468" i="21" s="1"/>
  <c r="B467" i="21"/>
  <c r="N180" i="21"/>
  <c r="H180" i="21" s="1"/>
  <c r="J28" i="21"/>
  <c r="L28" i="21" s="1"/>
  <c r="K33" i="21"/>
  <c r="B60" i="21"/>
  <c r="B61" i="21" s="1"/>
  <c r="K188" i="21"/>
  <c r="K504" i="21"/>
  <c r="K582" i="21"/>
  <c r="B624" i="21"/>
  <c r="N652" i="21"/>
  <c r="H652" i="21" s="1"/>
  <c r="B752" i="21"/>
  <c r="K745" i="21"/>
  <c r="K747" i="21"/>
  <c r="G610" i="21"/>
  <c r="B202" i="22" l="1"/>
  <c r="B232" i="22" s="1"/>
  <c r="B231" i="22"/>
  <c r="B360" i="22"/>
  <c r="B390" i="22" s="1"/>
  <c r="B389" i="22"/>
  <c r="B438" i="22"/>
  <c r="B468" i="22" s="1"/>
  <c r="B467" i="22"/>
  <c r="B202" i="21"/>
  <c r="B232" i="21" s="1"/>
  <c r="B231" i="21"/>
  <c r="B782" i="21"/>
  <c r="B753" i="21"/>
  <c r="B783" i="21" s="1"/>
  <c r="DG37" i="6"/>
  <c r="DG36" i="6"/>
  <c r="DG34" i="6"/>
  <c r="DG33" i="6"/>
  <c r="DG32" i="6"/>
  <c r="DG30" i="6"/>
  <c r="DG29" i="6"/>
  <c r="DG28" i="6"/>
  <c r="DG27" i="6"/>
  <c r="AG52" i="6" l="1"/>
  <c r="AF55" i="16"/>
  <c r="AG55" i="20"/>
  <c r="AE59" i="20"/>
  <c r="AD59" i="20"/>
  <c r="AE58" i="20"/>
  <c r="AD58" i="20"/>
  <c r="AE57" i="20"/>
  <c r="AD57" i="20"/>
  <c r="AE55" i="20"/>
  <c r="AD52" i="20"/>
  <c r="AG51" i="20"/>
  <c r="AE51" i="20"/>
  <c r="AE48" i="20"/>
  <c r="AD48" i="20"/>
  <c r="AE47" i="20"/>
  <c r="AD47" i="20"/>
  <c r="AE46" i="20"/>
  <c r="AD46" i="20"/>
  <c r="AE45" i="20"/>
  <c r="AD45" i="20"/>
  <c r="AE44" i="20"/>
  <c r="AD44" i="20"/>
  <c r="Q14" i="20" s="1"/>
  <c r="F28" i="22" s="1"/>
  <c r="M28" i="22" s="1"/>
  <c r="N28" i="22" s="1"/>
  <c r="H28" i="22" s="1"/>
  <c r="AE34" i="20"/>
  <c r="AD34" i="20"/>
  <c r="AE33" i="20"/>
  <c r="AD33" i="20"/>
  <c r="AE32" i="20"/>
  <c r="AD32" i="20"/>
  <c r="AE31" i="20"/>
  <c r="AD31" i="20"/>
  <c r="AE29" i="20"/>
  <c r="S26" i="20" s="1"/>
  <c r="AE27" i="20"/>
  <c r="AD27" i="20"/>
  <c r="AE26" i="20"/>
  <c r="AE23" i="20" s="1"/>
  <c r="AD26" i="20"/>
  <c r="AE25" i="20"/>
  <c r="AD25" i="20"/>
  <c r="Q27" i="20" s="1"/>
  <c r="I34" i="22" s="1"/>
  <c r="AG23" i="20"/>
  <c r="AE21" i="20"/>
  <c r="AD21" i="20"/>
  <c r="AE20" i="20"/>
  <c r="AD20" i="20"/>
  <c r="AE19" i="20"/>
  <c r="AD19" i="20"/>
  <c r="AA13" i="20" s="1"/>
  <c r="AE18" i="20"/>
  <c r="AE17" i="20"/>
  <c r="AD17" i="20"/>
  <c r="AE16" i="20"/>
  <c r="AD16" i="20"/>
  <c r="AE15" i="20"/>
  <c r="AD15" i="20"/>
  <c r="AE13" i="20"/>
  <c r="AE10" i="20"/>
  <c r="AD10" i="20"/>
  <c r="AA5" i="20" s="1"/>
  <c r="AE9" i="20"/>
  <c r="AD9" i="20"/>
  <c r="AE8" i="20"/>
  <c r="AA8" i="20"/>
  <c r="AE7" i="20"/>
  <c r="AD7" i="20"/>
  <c r="AE5" i="20"/>
  <c r="S15" i="20" s="1"/>
  <c r="T15" i="20" s="1"/>
  <c r="Q25" i="19"/>
  <c r="AD7" i="19"/>
  <c r="AE7" i="19"/>
  <c r="AE5" i="19" s="1"/>
  <c r="AA8" i="19"/>
  <c r="AE8" i="19"/>
  <c r="AD9" i="19"/>
  <c r="AE9" i="19"/>
  <c r="AD10" i="19"/>
  <c r="AE10" i="19"/>
  <c r="AD15" i="19"/>
  <c r="AA13" i="19" s="1"/>
  <c r="Q17" i="19" s="1"/>
  <c r="G84" i="21" s="1"/>
  <c r="AE15" i="19"/>
  <c r="AE16" i="19"/>
  <c r="AE13" i="19" s="1"/>
  <c r="AD17" i="19"/>
  <c r="AE17" i="19"/>
  <c r="AD18" i="19"/>
  <c r="AE18" i="19"/>
  <c r="AD19" i="19"/>
  <c r="AE19" i="19"/>
  <c r="AE21" i="19"/>
  <c r="AD23" i="19"/>
  <c r="Q28" i="19" s="1"/>
  <c r="I109" i="21" s="1"/>
  <c r="AE23" i="19"/>
  <c r="AD24" i="19"/>
  <c r="AE24" i="19"/>
  <c r="AD25" i="19"/>
  <c r="AE25" i="19"/>
  <c r="DG77" i="19"/>
  <c r="AD29" i="19"/>
  <c r="AE29" i="19"/>
  <c r="AE27" i="19" s="1"/>
  <c r="AD30" i="19"/>
  <c r="AE30" i="19"/>
  <c r="AD31" i="19"/>
  <c r="AE31" i="19"/>
  <c r="AD32" i="19"/>
  <c r="AE32" i="19"/>
  <c r="AE35" i="19"/>
  <c r="AG35" i="19"/>
  <c r="AD36" i="19"/>
  <c r="AG40" i="19"/>
  <c r="AD42" i="19"/>
  <c r="AA40" i="19" s="1"/>
  <c r="Q14" i="19" s="1"/>
  <c r="F28" i="21" s="1"/>
  <c r="M28" i="21" s="1"/>
  <c r="N28" i="21" s="1"/>
  <c r="H28" i="21" s="1"/>
  <c r="AE42" i="19"/>
  <c r="AE40" i="19" s="1"/>
  <c r="AD43" i="19"/>
  <c r="AE43" i="19"/>
  <c r="AD44" i="19"/>
  <c r="AE44" i="19"/>
  <c r="AD45" i="19"/>
  <c r="AE45" i="19"/>
  <c r="AD46" i="19"/>
  <c r="AE46" i="19"/>
  <c r="AE49" i="19"/>
  <c r="AD50" i="19"/>
  <c r="AD54" i="19"/>
  <c r="AE54" i="19"/>
  <c r="AE52" i="19" s="1"/>
  <c r="AG49" i="19" s="1"/>
  <c r="AD55" i="19"/>
  <c r="AE55" i="19"/>
  <c r="AD56" i="19"/>
  <c r="AE56" i="19"/>
  <c r="S16" i="19"/>
  <c r="T16" i="19" s="1"/>
  <c r="S10" i="19"/>
  <c r="T10" i="19" s="1"/>
  <c r="DA79" i="20"/>
  <c r="DA78" i="20"/>
  <c r="DA77" i="20"/>
  <c r="DA76" i="20"/>
  <c r="DA75" i="20"/>
  <c r="DA73" i="20"/>
  <c r="DA72" i="20"/>
  <c r="DA71" i="20"/>
  <c r="DA70" i="20"/>
  <c r="DA68" i="20"/>
  <c r="DA67" i="20"/>
  <c r="DA66" i="20"/>
  <c r="DA65" i="20"/>
  <c r="DA63" i="20"/>
  <c r="DA62" i="20"/>
  <c r="DA61" i="20"/>
  <c r="DA59" i="20"/>
  <c r="DA58" i="20"/>
  <c r="DA57" i="20"/>
  <c r="DA56" i="20"/>
  <c r="DA55" i="20"/>
  <c r="DA54" i="20"/>
  <c r="DA53" i="20"/>
  <c r="DA52" i="20"/>
  <c r="DA51" i="20"/>
  <c r="DA50" i="20"/>
  <c r="CE50" i="20"/>
  <c r="BQ50" i="20"/>
  <c r="DA49" i="20"/>
  <c r="CM49" i="20"/>
  <c r="CL49" i="20"/>
  <c r="CE49" i="20"/>
  <c r="BQ49" i="20"/>
  <c r="CL48" i="20" s="1"/>
  <c r="DA48" i="20"/>
  <c r="CM48" i="20"/>
  <c r="CE48" i="20"/>
  <c r="BQ48" i="20"/>
  <c r="CL47" i="20" s="1"/>
  <c r="DA47" i="20"/>
  <c r="CM47" i="20"/>
  <c r="CE47" i="20"/>
  <c r="CM46" i="20" s="1"/>
  <c r="BQ47" i="20"/>
  <c r="CL46" i="20" s="1"/>
  <c r="DA46" i="20"/>
  <c r="CE46" i="20"/>
  <c r="CM45" i="20" s="1"/>
  <c r="BQ46" i="20"/>
  <c r="DA45" i="20"/>
  <c r="CL45" i="20"/>
  <c r="CE45" i="20"/>
  <c r="CM44" i="20" s="1"/>
  <c r="BQ45" i="20"/>
  <c r="CL44" i="20" s="1"/>
  <c r="DA44" i="20"/>
  <c r="CE44" i="20"/>
  <c r="CM43" i="20" s="1"/>
  <c r="BQ44" i="20"/>
  <c r="CL43" i="20" s="1"/>
  <c r="CE43" i="20"/>
  <c r="CM42" i="20" s="1"/>
  <c r="BQ43" i="20"/>
  <c r="CL42" i="20" s="1"/>
  <c r="DA42" i="20"/>
  <c r="CE42" i="20"/>
  <c r="BQ42" i="20"/>
  <c r="C42" i="20"/>
  <c r="DA41" i="20"/>
  <c r="CM41" i="20"/>
  <c r="CL41" i="20"/>
  <c r="DA40" i="20"/>
  <c r="CE40" i="20"/>
  <c r="BQ40" i="20"/>
  <c r="CL39" i="20" s="1"/>
  <c r="AR40" i="20"/>
  <c r="DA39" i="20"/>
  <c r="CM39" i="20"/>
  <c r="CE39" i="20"/>
  <c r="BQ39" i="20"/>
  <c r="DA38" i="20"/>
  <c r="CM38" i="20"/>
  <c r="CL38" i="20"/>
  <c r="CE38" i="20"/>
  <c r="CM37" i="20" s="1"/>
  <c r="BQ38" i="20"/>
  <c r="CL37" i="20" s="1"/>
  <c r="DA37" i="20"/>
  <c r="CE37" i="20"/>
  <c r="CM36" i="20" s="1"/>
  <c r="BQ37" i="20"/>
  <c r="O37" i="20"/>
  <c r="DA36" i="20"/>
  <c r="CL36" i="20"/>
  <c r="G36" i="20"/>
  <c r="B36" i="20" s="1"/>
  <c r="DA35" i="20"/>
  <c r="CE35" i="20"/>
  <c r="BQ35" i="20"/>
  <c r="DA34" i="20"/>
  <c r="CM34" i="20"/>
  <c r="CL34" i="20"/>
  <c r="CE34" i="20"/>
  <c r="BQ34" i="20"/>
  <c r="DA33" i="20"/>
  <c r="CM33" i="20"/>
  <c r="CL33" i="20"/>
  <c r="CE33" i="20"/>
  <c r="BQ33" i="20"/>
  <c r="CL32" i="20" s="1"/>
  <c r="DA32" i="20"/>
  <c r="CM32" i="20"/>
  <c r="CE32" i="20"/>
  <c r="CM31" i="20" s="1"/>
  <c r="BQ32" i="20"/>
  <c r="CL31" i="20"/>
  <c r="CE31" i="20"/>
  <c r="CM30" i="20" s="1"/>
  <c r="BQ31" i="20"/>
  <c r="DA30" i="20"/>
  <c r="CL30" i="20"/>
  <c r="CE30" i="20"/>
  <c r="BQ30" i="20"/>
  <c r="AZ30" i="20"/>
  <c r="CK29" i="20" s="1"/>
  <c r="DG61" i="20"/>
  <c r="DA29" i="20"/>
  <c r="CM29" i="20"/>
  <c r="CL29" i="20"/>
  <c r="AZ48" i="20"/>
  <c r="CK47" i="20" s="1"/>
  <c r="DA28" i="20"/>
  <c r="CE28" i="20"/>
  <c r="CM27" i="20" s="1"/>
  <c r="BQ28" i="20"/>
  <c r="DA27" i="20"/>
  <c r="CL27" i="20"/>
  <c r="CE27" i="20"/>
  <c r="CM26" i="20" s="1"/>
  <c r="BQ27" i="20"/>
  <c r="U26" i="20"/>
  <c r="CL26" i="20"/>
  <c r="CE26" i="20"/>
  <c r="BQ26" i="20"/>
  <c r="O26" i="20"/>
  <c r="B26" i="20"/>
  <c r="CM25" i="20"/>
  <c r="CL25" i="20"/>
  <c r="O25" i="20"/>
  <c r="DA24" i="20"/>
  <c r="CE24" i="20"/>
  <c r="BQ24" i="20"/>
  <c r="Q24" i="20"/>
  <c r="G91" i="22" s="1"/>
  <c r="DA23" i="20"/>
  <c r="CM23" i="20"/>
  <c r="CL23" i="20"/>
  <c r="CE23" i="20"/>
  <c r="BQ23" i="20"/>
  <c r="CL22" i="20" s="1"/>
  <c r="AR23" i="20"/>
  <c r="Q23" i="20"/>
  <c r="G90" i="22" s="1"/>
  <c r="DA22" i="20"/>
  <c r="CM22" i="20"/>
  <c r="CE22" i="20"/>
  <c r="BQ22" i="20"/>
  <c r="CL21" i="20" s="1"/>
  <c r="Q22" i="20"/>
  <c r="G89" i="22" s="1"/>
  <c r="DA21" i="20"/>
  <c r="CM21" i="20"/>
  <c r="CE21" i="20"/>
  <c r="BQ21" i="20"/>
  <c r="CL20" i="20" s="1"/>
  <c r="Q21" i="20"/>
  <c r="G88" i="22" s="1"/>
  <c r="DA20" i="20"/>
  <c r="CM20" i="20"/>
  <c r="CE20" i="20"/>
  <c r="BQ20" i="20"/>
  <c r="CL19" i="20" s="1"/>
  <c r="DA19" i="20"/>
  <c r="CM19" i="20"/>
  <c r="CE19" i="20"/>
  <c r="CM18" i="20" s="1"/>
  <c r="BQ19" i="20"/>
  <c r="B19" i="20"/>
  <c r="DA18" i="20"/>
  <c r="CL18" i="20"/>
  <c r="DA17" i="20"/>
  <c r="CE17" i="20"/>
  <c r="BQ17" i="20"/>
  <c r="CL16" i="20" s="1"/>
  <c r="DA16" i="20"/>
  <c r="CM16" i="20"/>
  <c r="CE16" i="20"/>
  <c r="CM15" i="20" s="1"/>
  <c r="BQ16" i="20"/>
  <c r="U16" i="20"/>
  <c r="S16" i="20"/>
  <c r="T16" i="20" s="1"/>
  <c r="Q16" i="20"/>
  <c r="O16" i="20"/>
  <c r="F16" i="20"/>
  <c r="DA15" i="20"/>
  <c r="CL15" i="20"/>
  <c r="CE15" i="20"/>
  <c r="CM14" i="20" s="1"/>
  <c r="BQ15" i="20"/>
  <c r="DA14" i="20"/>
  <c r="CL14" i="20"/>
  <c r="CE14" i="20"/>
  <c r="CM13" i="20" s="1"/>
  <c r="BQ14" i="20"/>
  <c r="DA13" i="20"/>
  <c r="CL13" i="20"/>
  <c r="Q13" i="20"/>
  <c r="G19" i="22" s="1"/>
  <c r="H13" i="20"/>
  <c r="O24" i="20" s="1"/>
  <c r="E91" i="22" s="1"/>
  <c r="DA12" i="20"/>
  <c r="CE12" i="20"/>
  <c r="BQ12" i="20"/>
  <c r="CL11" i="20" s="1"/>
  <c r="Q12" i="20"/>
  <c r="G18" i="22" s="1"/>
  <c r="O12" i="20"/>
  <c r="E18" i="22" s="1"/>
  <c r="H12" i="20"/>
  <c r="DA11" i="20"/>
  <c r="CM11" i="20"/>
  <c r="CE11" i="20"/>
  <c r="CM10" i="20" s="1"/>
  <c r="BQ11" i="20"/>
  <c r="CL10" i="20" s="1"/>
  <c r="Q11" i="20"/>
  <c r="G17" i="22" s="1"/>
  <c r="H11" i="20"/>
  <c r="O22" i="20" s="1"/>
  <c r="DA10" i="20"/>
  <c r="CE10" i="20"/>
  <c r="CM9" i="20" s="1"/>
  <c r="BQ10" i="20"/>
  <c r="Q10" i="20"/>
  <c r="G16" i="22" s="1"/>
  <c r="H10" i="20"/>
  <c r="DA9" i="20"/>
  <c r="CL9" i="20"/>
  <c r="CE9" i="20"/>
  <c r="CM8" i="20" s="1"/>
  <c r="BQ9" i="20"/>
  <c r="H9" i="20"/>
  <c r="O13" i="20" s="1"/>
  <c r="E19" i="22" s="1"/>
  <c r="DA8" i="20"/>
  <c r="CL8" i="20"/>
  <c r="H8" i="20"/>
  <c r="B8" i="20"/>
  <c r="DA7" i="20"/>
  <c r="CE7" i="20"/>
  <c r="BQ7" i="20"/>
  <c r="H7" i="20"/>
  <c r="O11" i="20" s="1"/>
  <c r="B7" i="20"/>
  <c r="DA6" i="20"/>
  <c r="CM6" i="20"/>
  <c r="CL6" i="20"/>
  <c r="CE6" i="20"/>
  <c r="BQ6" i="20"/>
  <c r="CL5" i="20" s="1"/>
  <c r="H6" i="20"/>
  <c r="O10" i="20" s="1"/>
  <c r="B6" i="20"/>
  <c r="F18" i="20" s="1"/>
  <c r="DA5" i="20"/>
  <c r="CM5" i="20"/>
  <c r="CE5" i="20"/>
  <c r="BQ5" i="20"/>
  <c r="U25" i="20"/>
  <c r="CM4" i="20"/>
  <c r="CL4" i="20"/>
  <c r="CE4" i="20"/>
  <c r="BQ4" i="20"/>
  <c r="CL3" i="20" s="1"/>
  <c r="B4" i="20"/>
  <c r="CM3" i="20"/>
  <c r="DA76" i="19"/>
  <c r="DA75" i="19"/>
  <c r="DA73" i="19"/>
  <c r="DA72" i="19"/>
  <c r="DA71" i="19"/>
  <c r="DA70" i="19"/>
  <c r="DA68" i="19"/>
  <c r="DA67" i="19"/>
  <c r="DA66" i="19"/>
  <c r="DA65" i="19"/>
  <c r="DA63" i="19"/>
  <c r="DA62" i="19"/>
  <c r="DG61" i="19"/>
  <c r="DA61" i="19"/>
  <c r="DA59" i="19"/>
  <c r="DA58" i="19"/>
  <c r="DA57" i="19"/>
  <c r="DA56" i="19"/>
  <c r="DA55" i="19"/>
  <c r="DA54" i="19"/>
  <c r="DA53" i="19"/>
  <c r="DA52" i="19"/>
  <c r="DA51" i="19"/>
  <c r="DA50" i="19"/>
  <c r="CE50" i="19"/>
  <c r="BQ50" i="19"/>
  <c r="CL49" i="19" s="1"/>
  <c r="DA49" i="19"/>
  <c r="CM49" i="19"/>
  <c r="CE49" i="19"/>
  <c r="CM48" i="19" s="1"/>
  <c r="BQ49" i="19"/>
  <c r="DA48" i="19"/>
  <c r="CL48" i="19"/>
  <c r="CE48" i="19"/>
  <c r="BQ48" i="19"/>
  <c r="CL47" i="19" s="1"/>
  <c r="DA47" i="19"/>
  <c r="CM47" i="19"/>
  <c r="CE47" i="19"/>
  <c r="CM46" i="19" s="1"/>
  <c r="BQ47" i="19"/>
  <c r="CL46" i="19" s="1"/>
  <c r="DA46" i="19"/>
  <c r="CE46" i="19"/>
  <c r="BQ46" i="19"/>
  <c r="DA45" i="19"/>
  <c r="CM45" i="19"/>
  <c r="CL45" i="19"/>
  <c r="CE45" i="19"/>
  <c r="BQ45" i="19"/>
  <c r="CL44" i="19" s="1"/>
  <c r="DA44" i="19"/>
  <c r="CM44" i="19"/>
  <c r="CE44" i="19"/>
  <c r="CM43" i="19" s="1"/>
  <c r="BQ44" i="19"/>
  <c r="CL43" i="19" s="1"/>
  <c r="CE43" i="19"/>
  <c r="CM42" i="19" s="1"/>
  <c r="BQ43" i="19"/>
  <c r="DA42" i="19"/>
  <c r="CL42" i="19"/>
  <c r="CE42" i="19"/>
  <c r="BQ42" i="19"/>
  <c r="C42" i="19"/>
  <c r="DA41" i="19"/>
  <c r="CM41" i="19"/>
  <c r="CL41" i="19"/>
  <c r="DA40" i="19"/>
  <c r="CE40" i="19"/>
  <c r="BQ40" i="19"/>
  <c r="CL39" i="19" s="1"/>
  <c r="AR40" i="19"/>
  <c r="DA39" i="19"/>
  <c r="CM39" i="19"/>
  <c r="CE39" i="19"/>
  <c r="BQ39" i="19"/>
  <c r="CL38" i="19" s="1"/>
  <c r="DA38" i="19"/>
  <c r="CM38" i="19"/>
  <c r="CE38" i="19"/>
  <c r="CM37" i="19" s="1"/>
  <c r="BQ38" i="19"/>
  <c r="CL37" i="19" s="1"/>
  <c r="DA37" i="19"/>
  <c r="CE37" i="19"/>
  <c r="BQ37" i="19"/>
  <c r="O37" i="19"/>
  <c r="DA36" i="19"/>
  <c r="CM36" i="19"/>
  <c r="CL36" i="19"/>
  <c r="G36" i="19"/>
  <c r="B36" i="19"/>
  <c r="DA35" i="19"/>
  <c r="CE35" i="19"/>
  <c r="CM34" i="19" s="1"/>
  <c r="BQ35" i="19"/>
  <c r="DA34" i="19"/>
  <c r="CL34" i="19"/>
  <c r="CE34" i="19"/>
  <c r="BQ34" i="19"/>
  <c r="DA33" i="19"/>
  <c r="CM33" i="19"/>
  <c r="CL33" i="19"/>
  <c r="CE33" i="19"/>
  <c r="BQ33" i="19"/>
  <c r="CL32" i="19" s="1"/>
  <c r="DA32" i="19"/>
  <c r="CM32" i="19"/>
  <c r="CE32" i="19"/>
  <c r="CM31" i="19" s="1"/>
  <c r="BQ32" i="19"/>
  <c r="CL31" i="19" s="1"/>
  <c r="CE31" i="19"/>
  <c r="CM30" i="19" s="1"/>
  <c r="BQ31" i="19"/>
  <c r="DA30" i="19"/>
  <c r="CL30" i="19"/>
  <c r="CE30" i="19"/>
  <c r="BQ30" i="19"/>
  <c r="AZ30" i="19"/>
  <c r="CK29" i="19" s="1"/>
  <c r="DA29" i="19"/>
  <c r="CM29" i="19"/>
  <c r="CL29" i="19"/>
  <c r="DA28" i="19"/>
  <c r="CE28" i="19"/>
  <c r="BQ28" i="19"/>
  <c r="DA27" i="19"/>
  <c r="CM27" i="19"/>
  <c r="CL27" i="19"/>
  <c r="CE27" i="19"/>
  <c r="CM26" i="19" s="1"/>
  <c r="BQ27" i="19"/>
  <c r="CL26" i="19" s="1"/>
  <c r="CE26" i="19"/>
  <c r="CM25" i="19" s="1"/>
  <c r="BQ26" i="19"/>
  <c r="O26" i="19"/>
  <c r="B26" i="19"/>
  <c r="CL25" i="19"/>
  <c r="O25" i="19"/>
  <c r="DA24" i="19"/>
  <c r="CE24" i="19"/>
  <c r="BQ24" i="19"/>
  <c r="Q24" i="19"/>
  <c r="DA23" i="19"/>
  <c r="CM23" i="19"/>
  <c r="CL23" i="19"/>
  <c r="CE23" i="19"/>
  <c r="BQ23" i="19"/>
  <c r="CL22" i="19" s="1"/>
  <c r="AR23" i="19"/>
  <c r="Q23" i="19"/>
  <c r="G90" i="21" s="1"/>
  <c r="B23" i="19"/>
  <c r="DA22" i="19"/>
  <c r="CM22" i="19"/>
  <c r="CE22" i="19"/>
  <c r="BQ22" i="19"/>
  <c r="CL21" i="19" s="1"/>
  <c r="Q22" i="19"/>
  <c r="G89" i="21" s="1"/>
  <c r="DA21" i="19"/>
  <c r="CM21" i="19"/>
  <c r="CE21" i="19"/>
  <c r="BQ21" i="19"/>
  <c r="Q21" i="19"/>
  <c r="G88" i="21" s="1"/>
  <c r="DA20" i="19"/>
  <c r="CM20" i="19"/>
  <c r="CL20" i="19"/>
  <c r="CE20" i="19"/>
  <c r="BQ20" i="19"/>
  <c r="DA19" i="19"/>
  <c r="CM19" i="19"/>
  <c r="CL19" i="19"/>
  <c r="CE19" i="19"/>
  <c r="BQ19" i="19"/>
  <c r="B19" i="19"/>
  <c r="DA18" i="19"/>
  <c r="CM18" i="19"/>
  <c r="CL18" i="19"/>
  <c r="F18" i="19"/>
  <c r="DA17" i="19"/>
  <c r="CE17" i="19"/>
  <c r="BQ17" i="19"/>
  <c r="CL16" i="19" s="1"/>
  <c r="DA16" i="19"/>
  <c r="CM16" i="19"/>
  <c r="CE16" i="19"/>
  <c r="CM15" i="19" s="1"/>
  <c r="BQ16" i="19"/>
  <c r="Q16" i="19"/>
  <c r="O16" i="19"/>
  <c r="DA15" i="19"/>
  <c r="CL15" i="19"/>
  <c r="CE15" i="19"/>
  <c r="CM14" i="19" s="1"/>
  <c r="BQ15" i="19"/>
  <c r="DA14" i="19"/>
  <c r="CL14" i="19"/>
  <c r="CE14" i="19"/>
  <c r="BQ14" i="19"/>
  <c r="DA13" i="19"/>
  <c r="CM13" i="19"/>
  <c r="CL13" i="19"/>
  <c r="Q13" i="19"/>
  <c r="H13" i="19"/>
  <c r="O24" i="19" s="1"/>
  <c r="E91" i="21" s="1"/>
  <c r="DA12" i="19"/>
  <c r="CE12" i="19"/>
  <c r="BQ12" i="19"/>
  <c r="Q12" i="19"/>
  <c r="G18" i="21" s="1"/>
  <c r="H12" i="19"/>
  <c r="DA11" i="19"/>
  <c r="CM11" i="19"/>
  <c r="CL11" i="19"/>
  <c r="CE11" i="19"/>
  <c r="BQ11" i="19"/>
  <c r="CL10" i="19" s="1"/>
  <c r="Q11" i="19"/>
  <c r="G17" i="21" s="1"/>
  <c r="O11" i="19"/>
  <c r="H11" i="19"/>
  <c r="DA10" i="19"/>
  <c r="CM10" i="19"/>
  <c r="CE10" i="19"/>
  <c r="CM9" i="19" s="1"/>
  <c r="BQ10" i="19"/>
  <c r="CL9" i="19" s="1"/>
  <c r="Q10" i="19"/>
  <c r="H10" i="19"/>
  <c r="O21" i="19" s="1"/>
  <c r="DA9" i="19"/>
  <c r="CE9" i="19"/>
  <c r="BQ9" i="19"/>
  <c r="CL8" i="19" s="1"/>
  <c r="H9" i="19"/>
  <c r="O13" i="19" s="1"/>
  <c r="E19" i="21" s="1"/>
  <c r="DA8" i="19"/>
  <c r="CM8" i="19"/>
  <c r="H8" i="19"/>
  <c r="DA7" i="19"/>
  <c r="CE7" i="19"/>
  <c r="CM6" i="19" s="1"/>
  <c r="BQ7" i="19"/>
  <c r="H7" i="19"/>
  <c r="B7" i="19"/>
  <c r="DA6" i="19"/>
  <c r="CL6" i="19"/>
  <c r="CE6" i="19"/>
  <c r="BQ6" i="19"/>
  <c r="H6" i="19"/>
  <c r="O10" i="19" s="1"/>
  <c r="B6" i="19"/>
  <c r="B8" i="19" s="1"/>
  <c r="DA5" i="19"/>
  <c r="CM5" i="19"/>
  <c r="CL5" i="19"/>
  <c r="CE5" i="19"/>
  <c r="CM4" i="19" s="1"/>
  <c r="BQ5" i="19"/>
  <c r="CL4" i="19"/>
  <c r="CE4" i="19"/>
  <c r="BQ4" i="19"/>
  <c r="B4" i="19"/>
  <c r="O39" i="19" s="1"/>
  <c r="CM3" i="19"/>
  <c r="CL3" i="19"/>
  <c r="E17" i="22" l="1"/>
  <c r="DG17" i="20"/>
  <c r="DG5" i="20"/>
  <c r="U11" i="20"/>
  <c r="AP5" i="20"/>
  <c r="AP15" i="20" s="1"/>
  <c r="AP42" i="20"/>
  <c r="AP46" i="20" s="1"/>
  <c r="AP7" i="20"/>
  <c r="AP17" i="20" s="1"/>
  <c r="AP6" i="20"/>
  <c r="AP16" i="20" s="1"/>
  <c r="AP4" i="20"/>
  <c r="AP14" i="20" s="1"/>
  <c r="E16" i="22"/>
  <c r="DG6" i="20"/>
  <c r="DG22" i="20"/>
  <c r="DG18" i="20"/>
  <c r="DG19" i="20"/>
  <c r="DG23" i="20"/>
  <c r="DG20" i="20"/>
  <c r="DG12" i="20"/>
  <c r="S12" i="20"/>
  <c r="T12" i="20" s="1"/>
  <c r="DG16" i="20"/>
  <c r="DG24" i="20"/>
  <c r="U22" i="20"/>
  <c r="E89" i="22"/>
  <c r="E88" i="21"/>
  <c r="G4" i="19"/>
  <c r="AP42" i="19"/>
  <c r="AP46" i="19" s="1"/>
  <c r="AP5" i="19"/>
  <c r="AP15" i="19" s="1"/>
  <c r="AP4" i="19"/>
  <c r="AP14" i="19" s="1"/>
  <c r="E16" i="21"/>
  <c r="E17" i="21"/>
  <c r="AP45" i="20"/>
  <c r="AP44" i="20"/>
  <c r="R16" i="20"/>
  <c r="H22" i="22" s="1"/>
  <c r="G22" i="22"/>
  <c r="R24" i="19"/>
  <c r="H91" i="21" s="1"/>
  <c r="G91" i="21"/>
  <c r="R10" i="19"/>
  <c r="G16" i="21"/>
  <c r="R13" i="19"/>
  <c r="H19" i="21" s="1"/>
  <c r="G19" i="21"/>
  <c r="R16" i="19"/>
  <c r="H22" i="21" s="1"/>
  <c r="G22" i="21"/>
  <c r="R25" i="19"/>
  <c r="H92" i="21" s="1"/>
  <c r="G92" i="21"/>
  <c r="Q26" i="20"/>
  <c r="Q29" i="20"/>
  <c r="S25" i="20"/>
  <c r="T25" i="20" s="1"/>
  <c r="AE42" i="20"/>
  <c r="Q31" i="19"/>
  <c r="Q30" i="19"/>
  <c r="U9" i="19"/>
  <c r="U20" i="19"/>
  <c r="U24" i="19"/>
  <c r="U13" i="19"/>
  <c r="Q26" i="19"/>
  <c r="Q29" i="19"/>
  <c r="Q7" i="19"/>
  <c r="G13" i="21" s="1"/>
  <c r="S24" i="20"/>
  <c r="T24" i="20" s="1"/>
  <c r="U24" i="20"/>
  <c r="O29" i="20"/>
  <c r="F24" i="20"/>
  <c r="R10" i="20"/>
  <c r="U10" i="20"/>
  <c r="R22" i="20"/>
  <c r="H89" i="22" s="1"/>
  <c r="G4" i="20"/>
  <c r="F8" i="20" s="1"/>
  <c r="U13" i="20"/>
  <c r="S11" i="20"/>
  <c r="T11" i="20" s="1"/>
  <c r="O23" i="20"/>
  <c r="E90" i="22" s="1"/>
  <c r="S13" i="20"/>
  <c r="T13" i="20" s="1"/>
  <c r="U15" i="20"/>
  <c r="S22" i="20"/>
  <c r="T22" i="20" s="1"/>
  <c r="DG77" i="20"/>
  <c r="O39" i="20"/>
  <c r="S10" i="20"/>
  <c r="T10" i="20" s="1"/>
  <c r="R11" i="20"/>
  <c r="H17" i="22" s="1"/>
  <c r="R12" i="20"/>
  <c r="H18" i="22" s="1"/>
  <c r="U12" i="20"/>
  <c r="Q28" i="20"/>
  <c r="I109" i="22" s="1"/>
  <c r="R24" i="20"/>
  <c r="H91" i="22" s="1"/>
  <c r="T26" i="20"/>
  <c r="G35" i="20"/>
  <c r="Q31" i="20"/>
  <c r="Q30" i="20"/>
  <c r="C43" i="20"/>
  <c r="O14" i="20"/>
  <c r="B34" i="20"/>
  <c r="F10" i="20"/>
  <c r="F13" i="20"/>
  <c r="U20" i="20"/>
  <c r="U9" i="20"/>
  <c r="O21" i="20"/>
  <c r="R23" i="20"/>
  <c r="H90" i="22" s="1"/>
  <c r="G34" i="20"/>
  <c r="F11" i="20"/>
  <c r="B23" i="20"/>
  <c r="B24" i="20" s="1"/>
  <c r="R13" i="20"/>
  <c r="H19" i="22" s="1"/>
  <c r="R34" i="19"/>
  <c r="F20" i="19"/>
  <c r="F10" i="19"/>
  <c r="F6" i="19"/>
  <c r="F22" i="19"/>
  <c r="F21" i="19"/>
  <c r="S25" i="19"/>
  <c r="T25" i="19" s="1"/>
  <c r="S15" i="19"/>
  <c r="T15" i="19" s="1"/>
  <c r="F12" i="19"/>
  <c r="U15" i="19"/>
  <c r="U25" i="19"/>
  <c r="O29" i="19"/>
  <c r="G35" i="19"/>
  <c r="F24" i="19"/>
  <c r="F11" i="19"/>
  <c r="O22" i="19"/>
  <c r="E89" i="21" s="1"/>
  <c r="R11" i="19"/>
  <c r="H17" i="21" s="1"/>
  <c r="U11" i="19"/>
  <c r="U16" i="19"/>
  <c r="U10" i="19"/>
  <c r="F7" i="19"/>
  <c r="Q9" i="19"/>
  <c r="U21" i="19"/>
  <c r="R21" i="19"/>
  <c r="Q15" i="19"/>
  <c r="S21" i="19"/>
  <c r="T21" i="19" s="1"/>
  <c r="O23" i="19"/>
  <c r="E90" i="21" s="1"/>
  <c r="S24" i="19"/>
  <c r="T24" i="19" s="1"/>
  <c r="Q20" i="19"/>
  <c r="Q6" i="19"/>
  <c r="G12" i="21" s="1"/>
  <c r="Q18" i="19"/>
  <c r="G85" i="21" s="1"/>
  <c r="Q8" i="19"/>
  <c r="G14" i="21" s="1"/>
  <c r="C43" i="19"/>
  <c r="G34" i="19"/>
  <c r="B34" i="19"/>
  <c r="O14" i="19"/>
  <c r="F9" i="19"/>
  <c r="S20" i="19"/>
  <c r="T20" i="19" s="1"/>
  <c r="S9" i="19"/>
  <c r="T9" i="19" s="1"/>
  <c r="Q19" i="19"/>
  <c r="G86" i="21" s="1"/>
  <c r="B24" i="19"/>
  <c r="F17" i="19"/>
  <c r="F8" i="19"/>
  <c r="O12" i="19"/>
  <c r="E18" i="21" s="1"/>
  <c r="S11" i="19"/>
  <c r="T11" i="19" s="1"/>
  <c r="S13" i="19"/>
  <c r="T13" i="19" s="1"/>
  <c r="Q27" i="19"/>
  <c r="I34" i="21" s="1"/>
  <c r="U26" i="19"/>
  <c r="AP44" i="19" s="1"/>
  <c r="S26" i="19"/>
  <c r="F13" i="19"/>
  <c r="F16" i="19"/>
  <c r="AZ48" i="19"/>
  <c r="CK47" i="19" s="1"/>
  <c r="B35" i="19"/>
  <c r="B48" i="18"/>
  <c r="B127" i="18"/>
  <c r="B133" i="18"/>
  <c r="B130" i="18"/>
  <c r="B137" i="18" s="1"/>
  <c r="J109" i="18"/>
  <c r="I109" i="18"/>
  <c r="F109" i="18"/>
  <c r="E109" i="18"/>
  <c r="D109" i="18"/>
  <c r="H109" i="18" s="1"/>
  <c r="C109" i="18"/>
  <c r="G109" i="18" s="1"/>
  <c r="J108" i="18"/>
  <c r="I108" i="18"/>
  <c r="F108" i="18"/>
  <c r="E108" i="18"/>
  <c r="D108" i="18"/>
  <c r="H108" i="18" s="1"/>
  <c r="C108" i="18"/>
  <c r="G108" i="18" s="1"/>
  <c r="H92" i="18"/>
  <c r="G92" i="18"/>
  <c r="F92" i="18"/>
  <c r="E92" i="18"/>
  <c r="D92" i="18"/>
  <c r="C92" i="18"/>
  <c r="H91" i="18"/>
  <c r="G91" i="18"/>
  <c r="F91" i="18"/>
  <c r="E91" i="18"/>
  <c r="D91" i="18"/>
  <c r="C91" i="18"/>
  <c r="H90" i="18"/>
  <c r="G90" i="18"/>
  <c r="F90" i="18"/>
  <c r="E90" i="18"/>
  <c r="D90" i="18"/>
  <c r="C90" i="18"/>
  <c r="H89" i="18"/>
  <c r="G89" i="18"/>
  <c r="F89" i="18"/>
  <c r="E89" i="18"/>
  <c r="D89" i="18"/>
  <c r="C89" i="18"/>
  <c r="H88" i="18"/>
  <c r="G88" i="18"/>
  <c r="F88" i="18"/>
  <c r="E88" i="18"/>
  <c r="D88" i="18"/>
  <c r="C88" i="18"/>
  <c r="H87" i="18"/>
  <c r="G87" i="18"/>
  <c r="F87" i="18"/>
  <c r="E87" i="18"/>
  <c r="D87" i="18"/>
  <c r="C87" i="18"/>
  <c r="H86" i="18"/>
  <c r="G86" i="18"/>
  <c r="F86" i="18"/>
  <c r="E86" i="18"/>
  <c r="D86" i="18"/>
  <c r="C86" i="18"/>
  <c r="H85" i="18"/>
  <c r="G85" i="18"/>
  <c r="F85" i="18"/>
  <c r="E85" i="18"/>
  <c r="D85" i="18"/>
  <c r="C85" i="18"/>
  <c r="H84" i="18"/>
  <c r="G84" i="18"/>
  <c r="F84" i="18"/>
  <c r="E84" i="18"/>
  <c r="D84" i="18"/>
  <c r="C84" i="18"/>
  <c r="B66" i="18"/>
  <c r="B54" i="18"/>
  <c r="B51" i="18"/>
  <c r="B58" i="18" s="1"/>
  <c r="J34" i="18"/>
  <c r="I34" i="18"/>
  <c r="F34" i="18"/>
  <c r="E34" i="18"/>
  <c r="D34" i="18"/>
  <c r="H34" i="18" s="1"/>
  <c r="C34" i="18"/>
  <c r="G34" i="18" s="1"/>
  <c r="J33" i="18"/>
  <c r="I33" i="18"/>
  <c r="F33" i="18"/>
  <c r="E33" i="18"/>
  <c r="D33" i="18"/>
  <c r="H33" i="18" s="1"/>
  <c r="C33" i="18"/>
  <c r="G33" i="18" s="1"/>
  <c r="K33" i="18" s="1"/>
  <c r="K28" i="18"/>
  <c r="I28" i="18"/>
  <c r="G28" i="18"/>
  <c r="F28" i="18"/>
  <c r="M28" i="18" s="1"/>
  <c r="E28" i="18"/>
  <c r="D28" i="18"/>
  <c r="C28" i="18"/>
  <c r="H22" i="18"/>
  <c r="G22" i="18"/>
  <c r="F22" i="18"/>
  <c r="E22" i="18"/>
  <c r="D22" i="18"/>
  <c r="C22" i="18"/>
  <c r="H21" i="18"/>
  <c r="G21" i="18"/>
  <c r="F21" i="18"/>
  <c r="E21" i="18"/>
  <c r="D21" i="18"/>
  <c r="C21" i="18"/>
  <c r="H19" i="18"/>
  <c r="E19" i="18"/>
  <c r="D19" i="18"/>
  <c r="B19" i="18"/>
  <c r="F19" i="18" s="1"/>
  <c r="H18" i="18"/>
  <c r="G18" i="18"/>
  <c r="E18" i="18"/>
  <c r="D18" i="18"/>
  <c r="C18" i="18"/>
  <c r="B18" i="18"/>
  <c r="F18" i="18" s="1"/>
  <c r="B17" i="18"/>
  <c r="H17" i="18" s="1"/>
  <c r="E16" i="18"/>
  <c r="B16" i="18"/>
  <c r="G16" i="18" s="1"/>
  <c r="H15" i="18"/>
  <c r="E15" i="18"/>
  <c r="D15" i="18"/>
  <c r="B15" i="18"/>
  <c r="F15" i="18" s="1"/>
  <c r="H14" i="18"/>
  <c r="G14" i="18"/>
  <c r="E14" i="18"/>
  <c r="D14" i="18"/>
  <c r="C14" i="18"/>
  <c r="B14" i="18"/>
  <c r="F14" i="18" s="1"/>
  <c r="B13" i="18"/>
  <c r="H13" i="18" s="1"/>
  <c r="E12" i="18"/>
  <c r="B12" i="18"/>
  <c r="G12" i="18" s="1"/>
  <c r="B778" i="18"/>
  <c r="B777" i="18" s="1"/>
  <c r="B776" i="18"/>
  <c r="B764" i="18"/>
  <c r="B761" i="18"/>
  <c r="B768" i="18" s="1"/>
  <c r="G768" i="18" s="1"/>
  <c r="J750" i="18"/>
  <c r="I750" i="18"/>
  <c r="F750" i="18"/>
  <c r="E750" i="18"/>
  <c r="D750" i="18"/>
  <c r="H750" i="18" s="1"/>
  <c r="C750" i="18"/>
  <c r="G750" i="18" s="1"/>
  <c r="J749" i="18"/>
  <c r="I749" i="18"/>
  <c r="F749" i="18"/>
  <c r="E749" i="18"/>
  <c r="D749" i="18"/>
  <c r="H749" i="18" s="1"/>
  <c r="C749" i="18"/>
  <c r="G749" i="18" s="1"/>
  <c r="K749" i="18" s="1"/>
  <c r="J748" i="18"/>
  <c r="I748" i="18"/>
  <c r="F748" i="18"/>
  <c r="E748" i="18"/>
  <c r="D748" i="18"/>
  <c r="H748" i="18" s="1"/>
  <c r="C748" i="18"/>
  <c r="G748" i="18" s="1"/>
  <c r="J747" i="18"/>
  <c r="I747" i="18"/>
  <c r="F747" i="18"/>
  <c r="E747" i="18"/>
  <c r="D747" i="18"/>
  <c r="H747" i="18" s="1"/>
  <c r="C747" i="18"/>
  <c r="G747" i="18" s="1"/>
  <c r="K747" i="18" s="1"/>
  <c r="J746" i="18"/>
  <c r="I746" i="18"/>
  <c r="F746" i="18"/>
  <c r="E746" i="18"/>
  <c r="D746" i="18"/>
  <c r="H746" i="18" s="1"/>
  <c r="C746" i="18"/>
  <c r="G746" i="18" s="1"/>
  <c r="J745" i="18"/>
  <c r="I745" i="18"/>
  <c r="F745" i="18"/>
  <c r="E745" i="18"/>
  <c r="D745" i="18"/>
  <c r="H745" i="18" s="1"/>
  <c r="C745" i="18"/>
  <c r="G745" i="18" s="1"/>
  <c r="K745" i="18" s="1"/>
  <c r="J744" i="18"/>
  <c r="I744" i="18"/>
  <c r="F744" i="18"/>
  <c r="E744" i="18"/>
  <c r="D744" i="18"/>
  <c r="H744" i="18" s="1"/>
  <c r="C744" i="18"/>
  <c r="G744" i="18" s="1"/>
  <c r="J743" i="18"/>
  <c r="I743" i="18"/>
  <c r="F743" i="18"/>
  <c r="E743" i="18"/>
  <c r="D743" i="18"/>
  <c r="H743" i="18" s="1"/>
  <c r="C743" i="18"/>
  <c r="G743" i="18" s="1"/>
  <c r="J742" i="18"/>
  <c r="I742" i="18"/>
  <c r="F742" i="18"/>
  <c r="E742" i="18"/>
  <c r="D742" i="18"/>
  <c r="H742" i="18" s="1"/>
  <c r="C742" i="18"/>
  <c r="G742" i="18" s="1"/>
  <c r="J741" i="18"/>
  <c r="I741" i="18"/>
  <c r="F741" i="18"/>
  <c r="E741" i="18"/>
  <c r="D741" i="18"/>
  <c r="H741" i="18" s="1"/>
  <c r="C741" i="18"/>
  <c r="G741" i="18" s="1"/>
  <c r="K741" i="18" s="1"/>
  <c r="J740" i="18"/>
  <c r="I740" i="18"/>
  <c r="H740" i="18"/>
  <c r="F740" i="18"/>
  <c r="E740" i="18"/>
  <c r="D740" i="18"/>
  <c r="C740" i="18"/>
  <c r="G740" i="18" s="1"/>
  <c r="K740" i="18" s="1"/>
  <c r="J739" i="18"/>
  <c r="I739" i="18"/>
  <c r="F739" i="18"/>
  <c r="E739" i="18"/>
  <c r="D739" i="18"/>
  <c r="H739" i="18" s="1"/>
  <c r="C739" i="18"/>
  <c r="G739" i="18" s="1"/>
  <c r="M731" i="18"/>
  <c r="G731" i="18"/>
  <c r="F731" i="18"/>
  <c r="E731" i="18"/>
  <c r="D731" i="18"/>
  <c r="C731" i="18"/>
  <c r="I731" i="18" s="1"/>
  <c r="L731" i="18" s="1"/>
  <c r="H717" i="18"/>
  <c r="G717" i="18"/>
  <c r="F717" i="18"/>
  <c r="E717" i="18"/>
  <c r="D717" i="18"/>
  <c r="C717" i="18"/>
  <c r="H716" i="18"/>
  <c r="G716" i="18"/>
  <c r="F716" i="18"/>
  <c r="E716" i="18"/>
  <c r="D716" i="18"/>
  <c r="C716" i="18"/>
  <c r="H715" i="18"/>
  <c r="G715" i="18"/>
  <c r="F715" i="18"/>
  <c r="E715" i="18"/>
  <c r="D715" i="18"/>
  <c r="C715" i="18"/>
  <c r="B699" i="18"/>
  <c r="B698" i="18" s="1"/>
  <c r="B697" i="18"/>
  <c r="B685" i="18"/>
  <c r="B682" i="18"/>
  <c r="B689" i="18" s="1"/>
  <c r="J661" i="18"/>
  <c r="I661" i="18"/>
  <c r="F661" i="18"/>
  <c r="E661" i="18"/>
  <c r="D661" i="18"/>
  <c r="H661" i="18" s="1"/>
  <c r="C661" i="18"/>
  <c r="G661" i="18" s="1"/>
  <c r="K661" i="18" s="1"/>
  <c r="J660" i="18"/>
  <c r="I660" i="18"/>
  <c r="F660" i="18"/>
  <c r="E660" i="18"/>
  <c r="D660" i="18"/>
  <c r="H660" i="18" s="1"/>
  <c r="C660" i="18"/>
  <c r="G660" i="18" s="1"/>
  <c r="L652" i="18"/>
  <c r="G652" i="18"/>
  <c r="B673" i="18" s="1"/>
  <c r="B674" i="18" s="1"/>
  <c r="B704" i="18" s="1"/>
  <c r="F652" i="18"/>
  <c r="M652" i="18" s="1"/>
  <c r="E652" i="18"/>
  <c r="D652" i="18"/>
  <c r="C652" i="18"/>
  <c r="I652" i="18" s="1"/>
  <c r="H637" i="18"/>
  <c r="G637" i="18"/>
  <c r="F637" i="18"/>
  <c r="E637" i="18"/>
  <c r="D637" i="18"/>
  <c r="C637" i="18"/>
  <c r="H636" i="18"/>
  <c r="G636" i="18"/>
  <c r="F636" i="18"/>
  <c r="E636" i="18"/>
  <c r="D636" i="18"/>
  <c r="C636" i="18"/>
  <c r="B618" i="18"/>
  <c r="B620" i="18" s="1"/>
  <c r="B619" i="18" s="1"/>
  <c r="B610" i="18"/>
  <c r="B607" i="18"/>
  <c r="B606" i="18"/>
  <c r="B603" i="18"/>
  <c r="J583" i="18"/>
  <c r="I583" i="18"/>
  <c r="F583" i="18"/>
  <c r="E583" i="18"/>
  <c r="D583" i="18"/>
  <c r="H583" i="18" s="1"/>
  <c r="C583" i="18"/>
  <c r="G583" i="18" s="1"/>
  <c r="K583" i="18" s="1"/>
  <c r="J582" i="18"/>
  <c r="I582" i="18"/>
  <c r="F582" i="18"/>
  <c r="E582" i="18"/>
  <c r="D582" i="18"/>
  <c r="H582" i="18" s="1"/>
  <c r="C582" i="18"/>
  <c r="G582" i="18" s="1"/>
  <c r="K582" i="18" s="1"/>
  <c r="J581" i="18"/>
  <c r="I581" i="18"/>
  <c r="F581" i="18"/>
  <c r="E581" i="18"/>
  <c r="D581" i="18"/>
  <c r="H581" i="18" s="1"/>
  <c r="C581" i="18"/>
  <c r="G581" i="18" s="1"/>
  <c r="I573" i="18"/>
  <c r="L573" i="18" s="1"/>
  <c r="G573" i="18"/>
  <c r="F573" i="18"/>
  <c r="M573" i="18" s="1"/>
  <c r="E573" i="18"/>
  <c r="D573" i="18"/>
  <c r="C573" i="18"/>
  <c r="H559" i="18"/>
  <c r="G559" i="18"/>
  <c r="F559" i="18"/>
  <c r="E559" i="18"/>
  <c r="D559" i="18"/>
  <c r="C559" i="18"/>
  <c r="H558" i="18"/>
  <c r="G558" i="18"/>
  <c r="F558" i="18"/>
  <c r="E558" i="18"/>
  <c r="D558" i="18"/>
  <c r="C558" i="18"/>
  <c r="H557" i="18"/>
  <c r="B594" i="18" s="1"/>
  <c r="B624" i="18" s="1"/>
  <c r="G557" i="18"/>
  <c r="F557" i="18"/>
  <c r="E557" i="18"/>
  <c r="D557" i="18"/>
  <c r="C557" i="18"/>
  <c r="B541" i="18"/>
  <c r="B540" i="18"/>
  <c r="B539" i="18"/>
  <c r="G531" i="18"/>
  <c r="B527" i="18"/>
  <c r="B528" i="18" s="1"/>
  <c r="B524" i="18"/>
  <c r="B531" i="18" s="1"/>
  <c r="B533" i="18" s="1"/>
  <c r="B534" i="18" s="1"/>
  <c r="J504" i="18"/>
  <c r="I504" i="18"/>
  <c r="F504" i="18"/>
  <c r="E504" i="18"/>
  <c r="D504" i="18"/>
  <c r="H504" i="18" s="1"/>
  <c r="C504" i="18"/>
  <c r="G504" i="18" s="1"/>
  <c r="K504" i="18" s="1"/>
  <c r="J503" i="18"/>
  <c r="I503" i="18"/>
  <c r="F503" i="18"/>
  <c r="E503" i="18"/>
  <c r="D503" i="18"/>
  <c r="H503" i="18" s="1"/>
  <c r="C503" i="18"/>
  <c r="G503" i="18" s="1"/>
  <c r="K503" i="18" s="1"/>
  <c r="J502" i="18"/>
  <c r="I502" i="18"/>
  <c r="F502" i="18"/>
  <c r="E502" i="18"/>
  <c r="D502" i="18"/>
  <c r="H502" i="18" s="1"/>
  <c r="C502" i="18"/>
  <c r="G502" i="18" s="1"/>
  <c r="H483" i="18"/>
  <c r="G483" i="18"/>
  <c r="F483" i="18"/>
  <c r="E483" i="18"/>
  <c r="D483" i="18"/>
  <c r="C483" i="18"/>
  <c r="H482" i="18"/>
  <c r="G482" i="18"/>
  <c r="F482" i="18"/>
  <c r="E482" i="18"/>
  <c r="D482" i="18"/>
  <c r="C482" i="18"/>
  <c r="H481" i="18"/>
  <c r="G481" i="18"/>
  <c r="F481" i="18"/>
  <c r="E481" i="18"/>
  <c r="D481" i="18"/>
  <c r="C481" i="18"/>
  <c r="H480" i="18"/>
  <c r="G480" i="18"/>
  <c r="F480" i="18"/>
  <c r="E480" i="18"/>
  <c r="D480" i="18"/>
  <c r="C480" i="18"/>
  <c r="H479" i="18"/>
  <c r="G479" i="18"/>
  <c r="F479" i="18"/>
  <c r="E479" i="18"/>
  <c r="D479" i="18"/>
  <c r="C479" i="18"/>
  <c r="H478" i="18"/>
  <c r="B515" i="18" s="1"/>
  <c r="G478" i="18"/>
  <c r="F478" i="18"/>
  <c r="E478" i="18"/>
  <c r="D478" i="18"/>
  <c r="C478" i="18"/>
  <c r="B463" i="18"/>
  <c r="B462" i="18" s="1"/>
  <c r="B461" i="18"/>
  <c r="B449" i="18"/>
  <c r="B450" i="18" s="1"/>
  <c r="B446" i="18"/>
  <c r="B453" i="18" s="1"/>
  <c r="G453" i="18" s="1"/>
  <c r="J428" i="18"/>
  <c r="I428" i="18"/>
  <c r="F428" i="18"/>
  <c r="E428" i="18"/>
  <c r="D428" i="18"/>
  <c r="H428" i="18" s="1"/>
  <c r="C428" i="18"/>
  <c r="G428" i="18" s="1"/>
  <c r="K428" i="18" s="1"/>
  <c r="J427" i="18"/>
  <c r="I427" i="18"/>
  <c r="F427" i="18"/>
  <c r="E427" i="18"/>
  <c r="D427" i="18"/>
  <c r="H427" i="18" s="1"/>
  <c r="C427" i="18"/>
  <c r="G427" i="18" s="1"/>
  <c r="J426" i="18"/>
  <c r="I426" i="18"/>
  <c r="F426" i="18"/>
  <c r="E426" i="18"/>
  <c r="D426" i="18"/>
  <c r="H426" i="18" s="1"/>
  <c r="C426" i="18"/>
  <c r="G426" i="18" s="1"/>
  <c r="J425" i="18"/>
  <c r="I425" i="18"/>
  <c r="F425" i="18"/>
  <c r="E425" i="18"/>
  <c r="D425" i="18"/>
  <c r="H425" i="18" s="1"/>
  <c r="C425" i="18"/>
  <c r="G425" i="18" s="1"/>
  <c r="J424" i="18"/>
  <c r="I424" i="18"/>
  <c r="F424" i="18"/>
  <c r="E424" i="18"/>
  <c r="D424" i="18"/>
  <c r="H424" i="18" s="1"/>
  <c r="C424" i="18"/>
  <c r="G424" i="18" s="1"/>
  <c r="K424" i="18" s="1"/>
  <c r="H402" i="18"/>
  <c r="G402" i="18"/>
  <c r="F402" i="18"/>
  <c r="E402" i="18"/>
  <c r="D402" i="18"/>
  <c r="C402" i="18"/>
  <c r="H401" i="18"/>
  <c r="G401" i="18"/>
  <c r="F401" i="18"/>
  <c r="E401" i="18"/>
  <c r="D401" i="18"/>
  <c r="C401" i="18"/>
  <c r="H400" i="18"/>
  <c r="B437" i="18" s="1"/>
  <c r="G400" i="18"/>
  <c r="F400" i="18"/>
  <c r="E400" i="18"/>
  <c r="D400" i="18"/>
  <c r="C400" i="18"/>
  <c r="B385" i="18"/>
  <c r="B384" i="18" s="1"/>
  <c r="B383" i="18"/>
  <c r="B378" i="18"/>
  <c r="B377" i="18"/>
  <c r="B375" i="18"/>
  <c r="G375" i="18" s="1"/>
  <c r="B372" i="18"/>
  <c r="B371" i="18"/>
  <c r="B368" i="18"/>
  <c r="J350" i="18"/>
  <c r="I350" i="18"/>
  <c r="H350" i="18"/>
  <c r="F350" i="18"/>
  <c r="E350" i="18"/>
  <c r="D350" i="18"/>
  <c r="C350" i="18"/>
  <c r="G350" i="18" s="1"/>
  <c r="K350" i="18" s="1"/>
  <c r="J349" i="18"/>
  <c r="I349" i="18"/>
  <c r="F349" i="18"/>
  <c r="E349" i="18"/>
  <c r="D349" i="18"/>
  <c r="H349" i="18" s="1"/>
  <c r="C349" i="18"/>
  <c r="G349" i="18" s="1"/>
  <c r="K349" i="18" s="1"/>
  <c r="J348" i="18"/>
  <c r="I348" i="18"/>
  <c r="F348" i="18"/>
  <c r="E348" i="18"/>
  <c r="D348" i="18"/>
  <c r="H348" i="18" s="1"/>
  <c r="C348" i="18"/>
  <c r="G348" i="18" s="1"/>
  <c r="K348" i="18" s="1"/>
  <c r="J347" i="18"/>
  <c r="I347" i="18"/>
  <c r="F347" i="18"/>
  <c r="E347" i="18"/>
  <c r="D347" i="18"/>
  <c r="H347" i="18" s="1"/>
  <c r="C347" i="18"/>
  <c r="G347" i="18" s="1"/>
  <c r="K347" i="18" s="1"/>
  <c r="J346" i="18"/>
  <c r="I346" i="18"/>
  <c r="F346" i="18"/>
  <c r="E346" i="18"/>
  <c r="D346" i="18"/>
  <c r="H346" i="18" s="1"/>
  <c r="C346" i="18"/>
  <c r="G346" i="18" s="1"/>
  <c r="H325" i="18"/>
  <c r="G325" i="18"/>
  <c r="F325" i="18"/>
  <c r="E325" i="18"/>
  <c r="D325" i="18"/>
  <c r="C325" i="18"/>
  <c r="H324" i="18"/>
  <c r="G324" i="18"/>
  <c r="F324" i="18"/>
  <c r="E324" i="18"/>
  <c r="D324" i="18"/>
  <c r="C324" i="18"/>
  <c r="H323" i="18"/>
  <c r="G323" i="18"/>
  <c r="F323" i="18"/>
  <c r="E323" i="18"/>
  <c r="D323" i="18"/>
  <c r="C323" i="18"/>
  <c r="H322" i="18"/>
  <c r="B359" i="18" s="1"/>
  <c r="G322" i="18"/>
  <c r="F322" i="18"/>
  <c r="E322" i="18"/>
  <c r="D322" i="18"/>
  <c r="C322" i="18"/>
  <c r="B306" i="18"/>
  <c r="B305" i="18" s="1"/>
  <c r="B304" i="18"/>
  <c r="B292" i="18"/>
  <c r="B289" i="18"/>
  <c r="B296" i="18" s="1"/>
  <c r="B298" i="18" s="1"/>
  <c r="B299" i="18" s="1"/>
  <c r="J270" i="18"/>
  <c r="I270" i="18"/>
  <c r="F270" i="18"/>
  <c r="E270" i="18"/>
  <c r="D270" i="18"/>
  <c r="H270" i="18" s="1"/>
  <c r="C270" i="18"/>
  <c r="G270" i="18" s="1"/>
  <c r="J269" i="18"/>
  <c r="I269" i="18"/>
  <c r="F269" i="18"/>
  <c r="E269" i="18"/>
  <c r="D269" i="18"/>
  <c r="H269" i="18" s="1"/>
  <c r="C269" i="18"/>
  <c r="G269" i="18" s="1"/>
  <c r="K269" i="18" s="1"/>
  <c r="J268" i="18"/>
  <c r="I268" i="18"/>
  <c r="F268" i="18"/>
  <c r="E268" i="18"/>
  <c r="D268" i="18"/>
  <c r="H268" i="18" s="1"/>
  <c r="C268" i="18"/>
  <c r="G268" i="18" s="1"/>
  <c r="K268" i="18" s="1"/>
  <c r="J267" i="18"/>
  <c r="I267" i="18"/>
  <c r="F267" i="18"/>
  <c r="E267" i="18"/>
  <c r="D267" i="18"/>
  <c r="H267" i="18" s="1"/>
  <c r="C267" i="18"/>
  <c r="G267" i="18" s="1"/>
  <c r="H246" i="18"/>
  <c r="G246" i="18"/>
  <c r="F246" i="18"/>
  <c r="E246" i="18"/>
  <c r="D246" i="18"/>
  <c r="C246" i="18"/>
  <c r="H245" i="18"/>
  <c r="G245" i="18"/>
  <c r="F245" i="18"/>
  <c r="E245" i="18"/>
  <c r="D245" i="18"/>
  <c r="C245" i="18"/>
  <c r="H244" i="18"/>
  <c r="G244" i="18"/>
  <c r="F244" i="18"/>
  <c r="E244" i="18"/>
  <c r="D244" i="18"/>
  <c r="C244" i="18"/>
  <c r="H243" i="18"/>
  <c r="B280" i="18" s="1"/>
  <c r="B310" i="18" s="1"/>
  <c r="G243" i="18"/>
  <c r="F243" i="18"/>
  <c r="E243" i="18"/>
  <c r="D243" i="18"/>
  <c r="C243" i="18"/>
  <c r="B227" i="18"/>
  <c r="B226" i="18" s="1"/>
  <c r="B225" i="18"/>
  <c r="B219" i="18"/>
  <c r="B220" i="18" s="1"/>
  <c r="B213" i="18"/>
  <c r="B210" i="18"/>
  <c r="B217" i="18" s="1"/>
  <c r="G217" i="18" s="1"/>
  <c r="J190" i="18"/>
  <c r="I190" i="18"/>
  <c r="F190" i="18"/>
  <c r="E190" i="18"/>
  <c r="D190" i="18"/>
  <c r="H190" i="18" s="1"/>
  <c r="C190" i="18"/>
  <c r="G190" i="18" s="1"/>
  <c r="K190" i="18" s="1"/>
  <c r="J189" i="18"/>
  <c r="I189" i="18"/>
  <c r="F189" i="18"/>
  <c r="E189" i="18"/>
  <c r="D189" i="18"/>
  <c r="H189" i="18" s="1"/>
  <c r="C189" i="18"/>
  <c r="G189" i="18" s="1"/>
  <c r="J188" i="18"/>
  <c r="I188" i="18"/>
  <c r="H188" i="18"/>
  <c r="F188" i="18"/>
  <c r="E188" i="18"/>
  <c r="D188" i="18"/>
  <c r="C188" i="18"/>
  <c r="G188" i="18" s="1"/>
  <c r="K188" i="18" s="1"/>
  <c r="L180" i="18"/>
  <c r="G180" i="18"/>
  <c r="F180" i="18"/>
  <c r="M180" i="18" s="1"/>
  <c r="N180" i="18" s="1"/>
  <c r="H180" i="18" s="1"/>
  <c r="E180" i="18"/>
  <c r="D180" i="18"/>
  <c r="C180" i="18"/>
  <c r="I180" i="18" s="1"/>
  <c r="H165" i="18"/>
  <c r="G165" i="18"/>
  <c r="F165" i="18"/>
  <c r="E165" i="18"/>
  <c r="D165" i="18"/>
  <c r="C165" i="18"/>
  <c r="H164" i="18"/>
  <c r="B201" i="18" s="1"/>
  <c r="B202" i="18" s="1"/>
  <c r="B232" i="18" s="1"/>
  <c r="G164" i="18"/>
  <c r="F164" i="18"/>
  <c r="E164" i="18"/>
  <c r="D164" i="18"/>
  <c r="C164" i="18"/>
  <c r="B145" i="18"/>
  <c r="B147" i="18" s="1"/>
  <c r="B146" i="18" s="1"/>
  <c r="B68" i="18"/>
  <c r="B67" i="18" s="1"/>
  <c r="B22" i="18"/>
  <c r="B21" i="18"/>
  <c r="V12" i="18"/>
  <c r="V11" i="18"/>
  <c r="V10" i="18"/>
  <c r="V9" i="18"/>
  <c r="V8" i="18"/>
  <c r="V7" i="18"/>
  <c r="B127" i="17"/>
  <c r="B48" i="17"/>
  <c r="B133" i="17"/>
  <c r="B130" i="17"/>
  <c r="J109" i="17"/>
  <c r="I109" i="17"/>
  <c r="F109" i="17"/>
  <c r="E109" i="17"/>
  <c r="D109" i="17"/>
  <c r="H109" i="17" s="1"/>
  <c r="C109" i="17"/>
  <c r="G109" i="17" s="1"/>
  <c r="J108" i="17"/>
  <c r="I108" i="17"/>
  <c r="F108" i="17"/>
  <c r="E108" i="17"/>
  <c r="D108" i="17"/>
  <c r="H108" i="17" s="1"/>
  <c r="C108" i="17"/>
  <c r="G108" i="17" s="1"/>
  <c r="K108" i="17" s="1"/>
  <c r="H92" i="17"/>
  <c r="G92" i="17"/>
  <c r="F92" i="17"/>
  <c r="E92" i="17"/>
  <c r="D92" i="17"/>
  <c r="C92" i="17"/>
  <c r="H91" i="17"/>
  <c r="G91" i="17"/>
  <c r="F91" i="17"/>
  <c r="E91" i="17"/>
  <c r="D91" i="17"/>
  <c r="C91" i="17"/>
  <c r="H90" i="17"/>
  <c r="G90" i="17"/>
  <c r="F90" i="17"/>
  <c r="E90" i="17"/>
  <c r="D90" i="17"/>
  <c r="C90" i="17"/>
  <c r="H89" i="17"/>
  <c r="G89" i="17"/>
  <c r="F89" i="17"/>
  <c r="E89" i="17"/>
  <c r="D89" i="17"/>
  <c r="C89" i="17"/>
  <c r="H88" i="17"/>
  <c r="G88" i="17"/>
  <c r="F88" i="17"/>
  <c r="E88" i="17"/>
  <c r="D88" i="17"/>
  <c r="C88" i="17"/>
  <c r="H87" i="17"/>
  <c r="G87" i="17"/>
  <c r="F87" i="17"/>
  <c r="E87" i="17"/>
  <c r="D87" i="17"/>
  <c r="C87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B66" i="17"/>
  <c r="B54" i="17"/>
  <c r="B51" i="17"/>
  <c r="B58" i="17" s="1"/>
  <c r="J34" i="17"/>
  <c r="I34" i="17"/>
  <c r="F34" i="17"/>
  <c r="E34" i="17"/>
  <c r="D34" i="17"/>
  <c r="H34" i="17" s="1"/>
  <c r="C34" i="17"/>
  <c r="G34" i="17" s="1"/>
  <c r="J33" i="17"/>
  <c r="I33" i="17"/>
  <c r="F33" i="17"/>
  <c r="E33" i="17"/>
  <c r="D33" i="17"/>
  <c r="H33" i="17" s="1"/>
  <c r="C33" i="17"/>
  <c r="G33" i="17" s="1"/>
  <c r="K33" i="17" s="1"/>
  <c r="K28" i="17"/>
  <c r="I28" i="17"/>
  <c r="G28" i="17"/>
  <c r="F28" i="17"/>
  <c r="M28" i="17" s="1"/>
  <c r="E28" i="17"/>
  <c r="D28" i="17"/>
  <c r="C28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19" i="17"/>
  <c r="E19" i="17"/>
  <c r="D19" i="17"/>
  <c r="B19" i="17"/>
  <c r="F19" i="17" s="1"/>
  <c r="H18" i="17"/>
  <c r="G18" i="17"/>
  <c r="E18" i="17"/>
  <c r="D18" i="17"/>
  <c r="C18" i="17"/>
  <c r="B18" i="17"/>
  <c r="F18" i="17" s="1"/>
  <c r="B17" i="17"/>
  <c r="H17" i="17" s="1"/>
  <c r="E16" i="17"/>
  <c r="B16" i="17"/>
  <c r="G16" i="17" s="1"/>
  <c r="H15" i="17"/>
  <c r="E15" i="17"/>
  <c r="D15" i="17"/>
  <c r="B15" i="17"/>
  <c r="F15" i="17" s="1"/>
  <c r="H14" i="17"/>
  <c r="G14" i="17"/>
  <c r="E14" i="17"/>
  <c r="D14" i="17"/>
  <c r="C14" i="17"/>
  <c r="B14" i="17"/>
  <c r="F14" i="17" s="1"/>
  <c r="B13" i="17"/>
  <c r="H13" i="17" s="1"/>
  <c r="E12" i="17"/>
  <c r="B12" i="17"/>
  <c r="G12" i="17" s="1"/>
  <c r="B776" i="17"/>
  <c r="B778" i="17" s="1"/>
  <c r="B777" i="17" s="1"/>
  <c r="G768" i="17"/>
  <c r="B768" i="17"/>
  <c r="B770" i="17" s="1"/>
  <c r="B771" i="17" s="1"/>
  <c r="B764" i="17"/>
  <c r="B761" i="17"/>
  <c r="J750" i="17"/>
  <c r="I750" i="17"/>
  <c r="F750" i="17"/>
  <c r="E750" i="17"/>
  <c r="D750" i="17"/>
  <c r="H750" i="17" s="1"/>
  <c r="C750" i="17"/>
  <c r="G750" i="17" s="1"/>
  <c r="J749" i="17"/>
  <c r="I749" i="17"/>
  <c r="F749" i="17"/>
  <c r="E749" i="17"/>
  <c r="D749" i="17"/>
  <c r="H749" i="17" s="1"/>
  <c r="C749" i="17"/>
  <c r="G749" i="17" s="1"/>
  <c r="K749" i="17" s="1"/>
  <c r="J748" i="17"/>
  <c r="I748" i="17"/>
  <c r="F748" i="17"/>
  <c r="E748" i="17"/>
  <c r="D748" i="17"/>
  <c r="H748" i="17" s="1"/>
  <c r="C748" i="17"/>
  <c r="G748" i="17" s="1"/>
  <c r="K748" i="17" s="1"/>
  <c r="J747" i="17"/>
  <c r="I747" i="17"/>
  <c r="F747" i="17"/>
  <c r="E747" i="17"/>
  <c r="D747" i="17"/>
  <c r="H747" i="17" s="1"/>
  <c r="C747" i="17"/>
  <c r="G747" i="17" s="1"/>
  <c r="J746" i="17"/>
  <c r="I746" i="17"/>
  <c r="F746" i="17"/>
  <c r="E746" i="17"/>
  <c r="D746" i="17"/>
  <c r="H746" i="17" s="1"/>
  <c r="C746" i="17"/>
  <c r="G746" i="17" s="1"/>
  <c r="J745" i="17"/>
  <c r="I745" i="17"/>
  <c r="F745" i="17"/>
  <c r="E745" i="17"/>
  <c r="D745" i="17"/>
  <c r="H745" i="17" s="1"/>
  <c r="C745" i="17"/>
  <c r="G745" i="17" s="1"/>
  <c r="J744" i="17"/>
  <c r="I744" i="17"/>
  <c r="F744" i="17"/>
  <c r="E744" i="17"/>
  <c r="D744" i="17"/>
  <c r="H744" i="17" s="1"/>
  <c r="C744" i="17"/>
  <c r="G744" i="17" s="1"/>
  <c r="K744" i="17" s="1"/>
  <c r="J743" i="17"/>
  <c r="I743" i="17"/>
  <c r="F743" i="17"/>
  <c r="E743" i="17"/>
  <c r="D743" i="17"/>
  <c r="H743" i="17" s="1"/>
  <c r="C743" i="17"/>
  <c r="G743" i="17" s="1"/>
  <c r="J742" i="17"/>
  <c r="I742" i="17"/>
  <c r="F742" i="17"/>
  <c r="E742" i="17"/>
  <c r="D742" i="17"/>
  <c r="H742" i="17" s="1"/>
  <c r="C742" i="17"/>
  <c r="G742" i="17" s="1"/>
  <c r="K742" i="17" s="1"/>
  <c r="J741" i="17"/>
  <c r="I741" i="17"/>
  <c r="F741" i="17"/>
  <c r="E741" i="17"/>
  <c r="D741" i="17"/>
  <c r="H741" i="17" s="1"/>
  <c r="C741" i="17"/>
  <c r="G741" i="17" s="1"/>
  <c r="J740" i="17"/>
  <c r="I740" i="17"/>
  <c r="F740" i="17"/>
  <c r="E740" i="17"/>
  <c r="D740" i="17"/>
  <c r="H740" i="17" s="1"/>
  <c r="C740" i="17"/>
  <c r="G740" i="17" s="1"/>
  <c r="K740" i="17" s="1"/>
  <c r="J739" i="17"/>
  <c r="I739" i="17"/>
  <c r="F739" i="17"/>
  <c r="E739" i="17"/>
  <c r="D739" i="17"/>
  <c r="H739" i="17" s="1"/>
  <c r="C739" i="17"/>
  <c r="G739" i="17" s="1"/>
  <c r="L731" i="17"/>
  <c r="G731" i="17"/>
  <c r="F731" i="17"/>
  <c r="M731" i="17" s="1"/>
  <c r="N731" i="17" s="1"/>
  <c r="H731" i="17" s="1"/>
  <c r="E731" i="17"/>
  <c r="D731" i="17"/>
  <c r="C731" i="17"/>
  <c r="I731" i="17" s="1"/>
  <c r="H717" i="17"/>
  <c r="G717" i="17"/>
  <c r="F717" i="17"/>
  <c r="E717" i="17"/>
  <c r="D717" i="17"/>
  <c r="C717" i="17"/>
  <c r="H716" i="17"/>
  <c r="G716" i="17"/>
  <c r="F716" i="17"/>
  <c r="E716" i="17"/>
  <c r="D716" i="17"/>
  <c r="C716" i="17"/>
  <c r="H715" i="17"/>
  <c r="G715" i="17"/>
  <c r="F715" i="17"/>
  <c r="E715" i="17"/>
  <c r="D715" i="17"/>
  <c r="C715" i="17"/>
  <c r="B699" i="17"/>
  <c r="B698" i="17" s="1"/>
  <c r="B697" i="17"/>
  <c r="B691" i="17"/>
  <c r="B692" i="17" s="1"/>
  <c r="B685" i="17"/>
  <c r="B682" i="17"/>
  <c r="B689" i="17" s="1"/>
  <c r="G689" i="17" s="1"/>
  <c r="J661" i="17"/>
  <c r="I661" i="17"/>
  <c r="F661" i="17"/>
  <c r="E661" i="17"/>
  <c r="D661" i="17"/>
  <c r="H661" i="17" s="1"/>
  <c r="C661" i="17"/>
  <c r="G661" i="17" s="1"/>
  <c r="K661" i="17" s="1"/>
  <c r="J660" i="17"/>
  <c r="I660" i="17"/>
  <c r="F660" i="17"/>
  <c r="E660" i="17"/>
  <c r="D660" i="17"/>
  <c r="H660" i="17" s="1"/>
  <c r="C660" i="17"/>
  <c r="G660" i="17" s="1"/>
  <c r="K660" i="17" s="1"/>
  <c r="M652" i="17"/>
  <c r="N652" i="17" s="1"/>
  <c r="H652" i="17" s="1"/>
  <c r="I652" i="17"/>
  <c r="L652" i="17" s="1"/>
  <c r="G652" i="17"/>
  <c r="B673" i="17" s="1"/>
  <c r="F652" i="17"/>
  <c r="E652" i="17"/>
  <c r="D652" i="17"/>
  <c r="C652" i="17"/>
  <c r="H637" i="17"/>
  <c r="G637" i="17"/>
  <c r="F637" i="17"/>
  <c r="E637" i="17"/>
  <c r="D637" i="17"/>
  <c r="C637" i="17"/>
  <c r="H636" i="17"/>
  <c r="G636" i="17"/>
  <c r="F636" i="17"/>
  <c r="E636" i="17"/>
  <c r="D636" i="17"/>
  <c r="C636" i="17"/>
  <c r="B618" i="17"/>
  <c r="B620" i="17" s="1"/>
  <c r="B619" i="17" s="1"/>
  <c r="B607" i="17"/>
  <c r="B606" i="17"/>
  <c r="B603" i="17"/>
  <c r="B610" i="17" s="1"/>
  <c r="J583" i="17"/>
  <c r="I583" i="17"/>
  <c r="F583" i="17"/>
  <c r="E583" i="17"/>
  <c r="D583" i="17"/>
  <c r="H583" i="17" s="1"/>
  <c r="C583" i="17"/>
  <c r="G583" i="17" s="1"/>
  <c r="J582" i="17"/>
  <c r="I582" i="17"/>
  <c r="F582" i="17"/>
  <c r="E582" i="17"/>
  <c r="D582" i="17"/>
  <c r="H582" i="17" s="1"/>
  <c r="C582" i="17"/>
  <c r="G582" i="17" s="1"/>
  <c r="J581" i="17"/>
  <c r="B594" i="17" s="1"/>
  <c r="I581" i="17"/>
  <c r="F581" i="17"/>
  <c r="E581" i="17"/>
  <c r="D581" i="17"/>
  <c r="H581" i="17" s="1"/>
  <c r="C581" i="17"/>
  <c r="G581" i="17" s="1"/>
  <c r="N573" i="17"/>
  <c r="L573" i="17"/>
  <c r="I573" i="17"/>
  <c r="H573" i="17"/>
  <c r="G573" i="17"/>
  <c r="F573" i="17"/>
  <c r="M573" i="17" s="1"/>
  <c r="E573" i="17"/>
  <c r="D573" i="17"/>
  <c r="C573" i="17"/>
  <c r="H559" i="17"/>
  <c r="G559" i="17"/>
  <c r="F559" i="17"/>
  <c r="E559" i="17"/>
  <c r="D559" i="17"/>
  <c r="C559" i="17"/>
  <c r="H558" i="17"/>
  <c r="G558" i="17"/>
  <c r="F558" i="17"/>
  <c r="E558" i="17"/>
  <c r="D558" i="17"/>
  <c r="C558" i="17"/>
  <c r="H557" i="17"/>
  <c r="G557" i="17"/>
  <c r="F557" i="17"/>
  <c r="E557" i="17"/>
  <c r="D557" i="17"/>
  <c r="C557" i="17"/>
  <c r="B539" i="17"/>
  <c r="B541" i="17" s="1"/>
  <c r="B540" i="17" s="1"/>
  <c r="B531" i="17"/>
  <c r="B527" i="17"/>
  <c r="B528" i="17" s="1"/>
  <c r="B524" i="17"/>
  <c r="J504" i="17"/>
  <c r="I504" i="17"/>
  <c r="F504" i="17"/>
  <c r="E504" i="17"/>
  <c r="D504" i="17"/>
  <c r="H504" i="17" s="1"/>
  <c r="C504" i="17"/>
  <c r="G504" i="17" s="1"/>
  <c r="K504" i="17" s="1"/>
  <c r="J503" i="17"/>
  <c r="I503" i="17"/>
  <c r="F503" i="17"/>
  <c r="E503" i="17"/>
  <c r="D503" i="17"/>
  <c r="H503" i="17" s="1"/>
  <c r="C503" i="17"/>
  <c r="G503" i="17" s="1"/>
  <c r="J502" i="17"/>
  <c r="I502" i="17"/>
  <c r="F502" i="17"/>
  <c r="E502" i="17"/>
  <c r="D502" i="17"/>
  <c r="H502" i="17" s="1"/>
  <c r="C502" i="17"/>
  <c r="G502" i="17" s="1"/>
  <c r="K502" i="17" s="1"/>
  <c r="H483" i="17"/>
  <c r="G483" i="17"/>
  <c r="F483" i="17"/>
  <c r="E483" i="17"/>
  <c r="D483" i="17"/>
  <c r="C483" i="17"/>
  <c r="H482" i="17"/>
  <c r="G482" i="17"/>
  <c r="F482" i="17"/>
  <c r="E482" i="17"/>
  <c r="D482" i="17"/>
  <c r="C482" i="17"/>
  <c r="H481" i="17"/>
  <c r="G481" i="17"/>
  <c r="F481" i="17"/>
  <c r="E481" i="17"/>
  <c r="D481" i="17"/>
  <c r="C481" i="17"/>
  <c r="H480" i="17"/>
  <c r="G480" i="17"/>
  <c r="F480" i="17"/>
  <c r="E480" i="17"/>
  <c r="D480" i="17"/>
  <c r="C480" i="17"/>
  <c r="H479" i="17"/>
  <c r="G479" i="17"/>
  <c r="F479" i="17"/>
  <c r="E479" i="17"/>
  <c r="D479" i="17"/>
  <c r="C479" i="17"/>
  <c r="H478" i="17"/>
  <c r="B515" i="17" s="1"/>
  <c r="B545" i="17" s="1"/>
  <c r="G478" i="17"/>
  <c r="F478" i="17"/>
  <c r="E478" i="17"/>
  <c r="D478" i="17"/>
  <c r="C478" i="17"/>
  <c r="B463" i="17"/>
  <c r="B462" i="17"/>
  <c r="B461" i="17"/>
  <c r="B450" i="17"/>
  <c r="B449" i="17"/>
  <c r="B446" i="17"/>
  <c r="B453" i="17" s="1"/>
  <c r="B455" i="17" s="1"/>
  <c r="B456" i="17" s="1"/>
  <c r="J428" i="17"/>
  <c r="I428" i="17"/>
  <c r="F428" i="17"/>
  <c r="E428" i="17"/>
  <c r="D428" i="17"/>
  <c r="H428" i="17" s="1"/>
  <c r="C428" i="17"/>
  <c r="G428" i="17" s="1"/>
  <c r="J427" i="17"/>
  <c r="I427" i="17"/>
  <c r="F427" i="17"/>
  <c r="E427" i="17"/>
  <c r="D427" i="17"/>
  <c r="H427" i="17" s="1"/>
  <c r="C427" i="17"/>
  <c r="G427" i="17" s="1"/>
  <c r="K427" i="17" s="1"/>
  <c r="J426" i="17"/>
  <c r="I426" i="17"/>
  <c r="F426" i="17"/>
  <c r="E426" i="17"/>
  <c r="D426" i="17"/>
  <c r="H426" i="17" s="1"/>
  <c r="C426" i="17"/>
  <c r="G426" i="17" s="1"/>
  <c r="J425" i="17"/>
  <c r="I425" i="17"/>
  <c r="F425" i="17"/>
  <c r="E425" i="17"/>
  <c r="D425" i="17"/>
  <c r="H425" i="17" s="1"/>
  <c r="C425" i="17"/>
  <c r="G425" i="17" s="1"/>
  <c r="K425" i="17" s="1"/>
  <c r="J424" i="17"/>
  <c r="I424" i="17"/>
  <c r="F424" i="17"/>
  <c r="E424" i="17"/>
  <c r="D424" i="17"/>
  <c r="H424" i="17" s="1"/>
  <c r="C424" i="17"/>
  <c r="G424" i="17" s="1"/>
  <c r="H402" i="17"/>
  <c r="G402" i="17"/>
  <c r="F402" i="17"/>
  <c r="E402" i="17"/>
  <c r="D402" i="17"/>
  <c r="C402" i="17"/>
  <c r="H401" i="17"/>
  <c r="G401" i="17"/>
  <c r="F401" i="17"/>
  <c r="E401" i="17"/>
  <c r="D401" i="17"/>
  <c r="C401" i="17"/>
  <c r="H400" i="17"/>
  <c r="G400" i="17"/>
  <c r="F400" i="17"/>
  <c r="E400" i="17"/>
  <c r="D400" i="17"/>
  <c r="C400" i="17"/>
  <c r="B385" i="17"/>
  <c r="B384" i="17" s="1"/>
  <c r="B383" i="17"/>
  <c r="B377" i="17"/>
  <c r="B378" i="17" s="1"/>
  <c r="B375" i="17"/>
  <c r="G375" i="17" s="1"/>
  <c r="B371" i="17"/>
  <c r="B372" i="17" s="1"/>
  <c r="B368" i="17"/>
  <c r="J350" i="17"/>
  <c r="I350" i="17"/>
  <c r="F350" i="17"/>
  <c r="E350" i="17"/>
  <c r="D350" i="17"/>
  <c r="H350" i="17" s="1"/>
  <c r="C350" i="17"/>
  <c r="G350" i="17" s="1"/>
  <c r="K350" i="17" s="1"/>
  <c r="J349" i="17"/>
  <c r="I349" i="17"/>
  <c r="H349" i="17"/>
  <c r="F349" i="17"/>
  <c r="E349" i="17"/>
  <c r="D349" i="17"/>
  <c r="C349" i="17"/>
  <c r="G349" i="17" s="1"/>
  <c r="K349" i="17" s="1"/>
  <c r="J348" i="17"/>
  <c r="I348" i="17"/>
  <c r="F348" i="17"/>
  <c r="E348" i="17"/>
  <c r="D348" i="17"/>
  <c r="H348" i="17" s="1"/>
  <c r="C348" i="17"/>
  <c r="G348" i="17" s="1"/>
  <c r="J347" i="17"/>
  <c r="I347" i="17"/>
  <c r="F347" i="17"/>
  <c r="E347" i="17"/>
  <c r="D347" i="17"/>
  <c r="H347" i="17" s="1"/>
  <c r="C347" i="17"/>
  <c r="G347" i="17" s="1"/>
  <c r="K347" i="17" s="1"/>
  <c r="J346" i="17"/>
  <c r="I346" i="17"/>
  <c r="F346" i="17"/>
  <c r="E346" i="17"/>
  <c r="D346" i="17"/>
  <c r="H346" i="17" s="1"/>
  <c r="C346" i="17"/>
  <c r="G346" i="17" s="1"/>
  <c r="K346" i="17" s="1"/>
  <c r="H325" i="17"/>
  <c r="G325" i="17"/>
  <c r="F325" i="17"/>
  <c r="E325" i="17"/>
  <c r="D325" i="17"/>
  <c r="C325" i="17"/>
  <c r="H324" i="17"/>
  <c r="G324" i="17"/>
  <c r="F324" i="17"/>
  <c r="E324" i="17"/>
  <c r="D324" i="17"/>
  <c r="C324" i="17"/>
  <c r="H323" i="17"/>
  <c r="G323" i="17"/>
  <c r="F323" i="17"/>
  <c r="E323" i="17"/>
  <c r="D323" i="17"/>
  <c r="C323" i="17"/>
  <c r="H322" i="17"/>
  <c r="B359" i="17" s="1"/>
  <c r="G322" i="17"/>
  <c r="F322" i="17"/>
  <c r="E322" i="17"/>
  <c r="D322" i="17"/>
  <c r="C322" i="17"/>
  <c r="B306" i="17"/>
  <c r="B305" i="17"/>
  <c r="B304" i="17"/>
  <c r="G296" i="17"/>
  <c r="B292" i="17"/>
  <c r="B289" i="17"/>
  <c r="B296" i="17" s="1"/>
  <c r="B298" i="17" s="1"/>
  <c r="B299" i="17" s="1"/>
  <c r="B281" i="17"/>
  <c r="B311" i="17" s="1"/>
  <c r="J270" i="17"/>
  <c r="I270" i="17"/>
  <c r="F270" i="17"/>
  <c r="E270" i="17"/>
  <c r="D270" i="17"/>
  <c r="H270" i="17" s="1"/>
  <c r="C270" i="17"/>
  <c r="G270" i="17" s="1"/>
  <c r="J269" i="17"/>
  <c r="I269" i="17"/>
  <c r="F269" i="17"/>
  <c r="E269" i="17"/>
  <c r="D269" i="17"/>
  <c r="H269" i="17" s="1"/>
  <c r="C269" i="17"/>
  <c r="G269" i="17" s="1"/>
  <c r="K269" i="17" s="1"/>
  <c r="J268" i="17"/>
  <c r="I268" i="17"/>
  <c r="F268" i="17"/>
  <c r="E268" i="17"/>
  <c r="D268" i="17"/>
  <c r="H268" i="17" s="1"/>
  <c r="C268" i="17"/>
  <c r="G268" i="17" s="1"/>
  <c r="K268" i="17" s="1"/>
  <c r="J267" i="17"/>
  <c r="I267" i="17"/>
  <c r="F267" i="17"/>
  <c r="E267" i="17"/>
  <c r="D267" i="17"/>
  <c r="H267" i="17" s="1"/>
  <c r="C267" i="17"/>
  <c r="G267" i="17" s="1"/>
  <c r="H246" i="17"/>
  <c r="G246" i="17"/>
  <c r="F246" i="17"/>
  <c r="E246" i="17"/>
  <c r="D246" i="17"/>
  <c r="C246" i="17"/>
  <c r="H245" i="17"/>
  <c r="G245" i="17"/>
  <c r="F245" i="17"/>
  <c r="E245" i="17"/>
  <c r="D245" i="17"/>
  <c r="C245" i="17"/>
  <c r="H244" i="17"/>
  <c r="G244" i="17"/>
  <c r="F244" i="17"/>
  <c r="E244" i="17"/>
  <c r="D244" i="17"/>
  <c r="C244" i="17"/>
  <c r="H243" i="17"/>
  <c r="B280" i="17" s="1"/>
  <c r="B310" i="17" s="1"/>
  <c r="G243" i="17"/>
  <c r="F243" i="17"/>
  <c r="E243" i="17"/>
  <c r="D243" i="17"/>
  <c r="C243" i="17"/>
  <c r="B227" i="17"/>
  <c r="B226" i="17" s="1"/>
  <c r="B225" i="17"/>
  <c r="B213" i="17"/>
  <c r="B210" i="17"/>
  <c r="B217" i="17" s="1"/>
  <c r="G217" i="17" s="1"/>
  <c r="J190" i="17"/>
  <c r="I190" i="17"/>
  <c r="H190" i="17"/>
  <c r="F190" i="17"/>
  <c r="E190" i="17"/>
  <c r="D190" i="17"/>
  <c r="C190" i="17"/>
  <c r="G190" i="17" s="1"/>
  <c r="K190" i="17" s="1"/>
  <c r="J189" i="17"/>
  <c r="I189" i="17"/>
  <c r="F189" i="17"/>
  <c r="E189" i="17"/>
  <c r="D189" i="17"/>
  <c r="H189" i="17" s="1"/>
  <c r="C189" i="17"/>
  <c r="G189" i="17" s="1"/>
  <c r="K189" i="17" s="1"/>
  <c r="J188" i="17"/>
  <c r="B201" i="17" s="1"/>
  <c r="I188" i="17"/>
  <c r="F188" i="17"/>
  <c r="E188" i="17"/>
  <c r="D188" i="17"/>
  <c r="H188" i="17" s="1"/>
  <c r="C188" i="17"/>
  <c r="G188" i="17" s="1"/>
  <c r="L180" i="17"/>
  <c r="G180" i="17"/>
  <c r="F180" i="17"/>
  <c r="M180" i="17" s="1"/>
  <c r="N180" i="17" s="1"/>
  <c r="H180" i="17" s="1"/>
  <c r="E180" i="17"/>
  <c r="D180" i="17"/>
  <c r="C180" i="17"/>
  <c r="I180" i="17" s="1"/>
  <c r="H165" i="17"/>
  <c r="G165" i="17"/>
  <c r="F165" i="17"/>
  <c r="E165" i="17"/>
  <c r="D165" i="17"/>
  <c r="C165" i="17"/>
  <c r="H164" i="17"/>
  <c r="G164" i="17"/>
  <c r="F164" i="17"/>
  <c r="E164" i="17"/>
  <c r="D164" i="17"/>
  <c r="C164" i="17"/>
  <c r="B145" i="17"/>
  <c r="B147" i="17" s="1"/>
  <c r="B146" i="17" s="1"/>
  <c r="B68" i="17"/>
  <c r="B67" i="17" s="1"/>
  <c r="J28" i="17"/>
  <c r="B22" i="17"/>
  <c r="B21" i="17"/>
  <c r="V12" i="17"/>
  <c r="V11" i="17"/>
  <c r="V10" i="17"/>
  <c r="V9" i="17"/>
  <c r="V8" i="17"/>
  <c r="V7" i="17"/>
  <c r="AC52" i="16"/>
  <c r="AF51" i="16"/>
  <c r="AD51" i="16"/>
  <c r="AD48" i="16"/>
  <c r="AC48" i="16"/>
  <c r="AD47" i="16"/>
  <c r="AC47" i="16"/>
  <c r="AD46" i="16"/>
  <c r="AC46" i="16"/>
  <c r="AD45" i="16"/>
  <c r="AD42" i="16" s="1"/>
  <c r="AC45" i="16"/>
  <c r="Z42" i="16" s="1"/>
  <c r="P14" i="16" s="1"/>
  <c r="AD44" i="16"/>
  <c r="AC44" i="16"/>
  <c r="AF42" i="16"/>
  <c r="AC38" i="16"/>
  <c r="AF37" i="16"/>
  <c r="AD37" i="16"/>
  <c r="AD34" i="16"/>
  <c r="AC34" i="16"/>
  <c r="AD33" i="16"/>
  <c r="AC33" i="16"/>
  <c r="AD32" i="16"/>
  <c r="AC32" i="16"/>
  <c r="AD31" i="16"/>
  <c r="AD29" i="16" s="1"/>
  <c r="R26" i="16" s="1"/>
  <c r="S26" i="16" s="1"/>
  <c r="AC31" i="16"/>
  <c r="Z29" i="16"/>
  <c r="AD27" i="16"/>
  <c r="AC27" i="16"/>
  <c r="AD26" i="16"/>
  <c r="AC26" i="16"/>
  <c r="Z23" i="16" s="1"/>
  <c r="AD25" i="16"/>
  <c r="AF23" i="16" s="1"/>
  <c r="AC25" i="16"/>
  <c r="AD23" i="16"/>
  <c r="AD21" i="16"/>
  <c r="AC21" i="16"/>
  <c r="AD20" i="16"/>
  <c r="AF13" i="16" s="1"/>
  <c r="T20" i="16" s="1"/>
  <c r="AC20" i="16"/>
  <c r="AD19" i="16"/>
  <c r="AC19" i="16"/>
  <c r="AD18" i="16"/>
  <c r="AD17" i="16"/>
  <c r="AC17" i="16"/>
  <c r="AD16" i="16"/>
  <c r="AC16" i="16"/>
  <c r="Z13" i="16" s="1"/>
  <c r="AD15" i="16"/>
  <c r="AC15" i="16"/>
  <c r="AD13" i="16"/>
  <c r="AD10" i="16"/>
  <c r="AC10" i="16"/>
  <c r="AD9" i="16"/>
  <c r="AC9" i="16"/>
  <c r="AD8" i="16"/>
  <c r="Z8" i="16"/>
  <c r="AD7" i="16"/>
  <c r="AD5" i="16" s="1"/>
  <c r="AC7" i="16"/>
  <c r="AF5" i="16"/>
  <c r="Z5" i="16"/>
  <c r="P25" i="16" s="1"/>
  <c r="Q25" i="16" s="1"/>
  <c r="CZ79" i="16"/>
  <c r="CZ78" i="16"/>
  <c r="CZ77" i="16"/>
  <c r="CZ76" i="16"/>
  <c r="CZ75" i="16"/>
  <c r="CZ73" i="16"/>
  <c r="CZ72" i="16"/>
  <c r="CZ71" i="16"/>
  <c r="CZ70" i="16"/>
  <c r="CZ68" i="16"/>
  <c r="CZ67" i="16"/>
  <c r="CZ66" i="16"/>
  <c r="CZ65" i="16"/>
  <c r="CZ63" i="16"/>
  <c r="CZ62" i="16"/>
  <c r="CZ61" i="16"/>
  <c r="CZ59" i="16"/>
  <c r="AD59" i="16"/>
  <c r="AC59" i="16"/>
  <c r="CZ58" i="16"/>
  <c r="AD58" i="16"/>
  <c r="AC58" i="16"/>
  <c r="CZ57" i="16"/>
  <c r="AD57" i="16"/>
  <c r="AC57" i="16"/>
  <c r="CZ56" i="16"/>
  <c r="CZ55" i="16"/>
  <c r="AD55" i="16"/>
  <c r="Z55" i="16"/>
  <c r="P30" i="16" s="1"/>
  <c r="CZ54" i="16"/>
  <c r="CZ53" i="16"/>
  <c r="CZ52" i="16"/>
  <c r="CZ51" i="16"/>
  <c r="CZ50" i="16"/>
  <c r="CD50" i="16"/>
  <c r="CL49" i="16" s="1"/>
  <c r="BP50" i="16"/>
  <c r="CZ49" i="16"/>
  <c r="CK49" i="16"/>
  <c r="CD49" i="16"/>
  <c r="CL48" i="16" s="1"/>
  <c r="BP49" i="16"/>
  <c r="CZ48" i="16"/>
  <c r="CK48" i="16"/>
  <c r="CD48" i="16"/>
  <c r="CL47" i="16" s="1"/>
  <c r="BP48" i="16"/>
  <c r="CZ47" i="16"/>
  <c r="CK47" i="16"/>
  <c r="CD47" i="16"/>
  <c r="CL46" i="16" s="1"/>
  <c r="BP47" i="16"/>
  <c r="CZ46" i="16"/>
  <c r="CK46" i="16"/>
  <c r="CD46" i="16"/>
  <c r="CL45" i="16" s="1"/>
  <c r="BP46" i="16"/>
  <c r="CZ45" i="16"/>
  <c r="CK45" i="16"/>
  <c r="CD45" i="16"/>
  <c r="BP45" i="16"/>
  <c r="C45" i="16"/>
  <c r="CZ44" i="16"/>
  <c r="CL44" i="16"/>
  <c r="CK44" i="16"/>
  <c r="CD44" i="16"/>
  <c r="BP44" i="16"/>
  <c r="CK43" i="16" s="1"/>
  <c r="CL43" i="16"/>
  <c r="CD43" i="16"/>
  <c r="CL42" i="16" s="1"/>
  <c r="BP43" i="16"/>
  <c r="CZ42" i="16"/>
  <c r="CK42" i="16"/>
  <c r="CD42" i="16"/>
  <c r="BP42" i="16"/>
  <c r="C42" i="16"/>
  <c r="CZ41" i="16"/>
  <c r="CL41" i="16"/>
  <c r="CK41" i="16"/>
  <c r="CZ40" i="16"/>
  <c r="CD40" i="16"/>
  <c r="BP40" i="16"/>
  <c r="AQ40" i="16"/>
  <c r="CZ39" i="16"/>
  <c r="CL39" i="16"/>
  <c r="CK39" i="16"/>
  <c r="CD39" i="16"/>
  <c r="BP39" i="16"/>
  <c r="CZ38" i="16"/>
  <c r="CL38" i="16"/>
  <c r="CK38" i="16"/>
  <c r="CD38" i="16"/>
  <c r="BP38" i="16"/>
  <c r="CZ37" i="16"/>
  <c r="CL37" i="16"/>
  <c r="CK37" i="16"/>
  <c r="CD37" i="16"/>
  <c r="BP37" i="16"/>
  <c r="N37" i="16"/>
  <c r="CZ36" i="16"/>
  <c r="CL36" i="16"/>
  <c r="CK36" i="16"/>
  <c r="G36" i="16"/>
  <c r="B36" i="16"/>
  <c r="CZ35" i="16"/>
  <c r="CD35" i="16"/>
  <c r="BP35" i="16"/>
  <c r="CZ34" i="16"/>
  <c r="CL34" i="16"/>
  <c r="CK34" i="16"/>
  <c r="CD34" i="16"/>
  <c r="BP34" i="16"/>
  <c r="CZ33" i="16"/>
  <c r="CL33" i="16"/>
  <c r="CK33" i="16"/>
  <c r="CD33" i="16"/>
  <c r="BP33" i="16"/>
  <c r="CZ32" i="16"/>
  <c r="CL32" i="16"/>
  <c r="CK32" i="16"/>
  <c r="CD32" i="16"/>
  <c r="BP32" i="16"/>
  <c r="CL31" i="16"/>
  <c r="CK31" i="16"/>
  <c r="CD31" i="16"/>
  <c r="BP31" i="16"/>
  <c r="CZ30" i="16"/>
  <c r="CL30" i="16"/>
  <c r="CK30" i="16"/>
  <c r="CD30" i="16"/>
  <c r="BP30" i="16"/>
  <c r="CZ29" i="16"/>
  <c r="CL29" i="16"/>
  <c r="CK29" i="16"/>
  <c r="P29" i="16"/>
  <c r="CZ28" i="16"/>
  <c r="CD28" i="16"/>
  <c r="CL27" i="16" s="1"/>
  <c r="BP28" i="16"/>
  <c r="CZ27" i="16"/>
  <c r="CK27" i="16"/>
  <c r="CD27" i="16"/>
  <c r="CL26" i="16" s="1"/>
  <c r="BP27" i="16"/>
  <c r="CK26" i="16"/>
  <c r="CD26" i="16"/>
  <c r="CL25" i="16" s="1"/>
  <c r="BP26" i="16"/>
  <c r="P26" i="16"/>
  <c r="Q26" i="16" s="1"/>
  <c r="N26" i="16"/>
  <c r="AO48" i="16" s="1"/>
  <c r="AO50" i="16" s="1"/>
  <c r="AO49" i="16" s="1"/>
  <c r="AY49" i="16" s="1"/>
  <c r="CJ48" i="16" s="1"/>
  <c r="B26" i="16"/>
  <c r="CK25" i="16"/>
  <c r="N25" i="16"/>
  <c r="CZ24" i="16"/>
  <c r="CD24" i="16"/>
  <c r="BP24" i="16"/>
  <c r="CK23" i="16" s="1"/>
  <c r="P24" i="16"/>
  <c r="CZ23" i="16"/>
  <c r="CL23" i="16"/>
  <c r="CD23" i="16"/>
  <c r="BP23" i="16"/>
  <c r="AQ23" i="16"/>
  <c r="P23" i="16"/>
  <c r="CZ22" i="16"/>
  <c r="CL22" i="16"/>
  <c r="CK22" i="16"/>
  <c r="CD22" i="16"/>
  <c r="BP22" i="16"/>
  <c r="P22" i="16"/>
  <c r="CZ21" i="16"/>
  <c r="CL21" i="16"/>
  <c r="CK21" i="16"/>
  <c r="CD21" i="16"/>
  <c r="BP21" i="16"/>
  <c r="CK20" i="16" s="1"/>
  <c r="P21" i="16"/>
  <c r="CZ20" i="16"/>
  <c r="CL20" i="16"/>
  <c r="CD20" i="16"/>
  <c r="CL19" i="16" s="1"/>
  <c r="BP20" i="16"/>
  <c r="CZ19" i="16"/>
  <c r="CK19" i="16"/>
  <c r="CD19" i="16"/>
  <c r="BP19" i="16"/>
  <c r="CK18" i="16" s="1"/>
  <c r="B19" i="16"/>
  <c r="CZ18" i="16"/>
  <c r="CL18" i="16"/>
  <c r="CZ17" i="16"/>
  <c r="CD17" i="16"/>
  <c r="CL16" i="16" s="1"/>
  <c r="BP17" i="16"/>
  <c r="F17" i="16"/>
  <c r="CZ16" i="16"/>
  <c r="CK16" i="16"/>
  <c r="CD16" i="16"/>
  <c r="BP16" i="16"/>
  <c r="P16" i="16"/>
  <c r="N16" i="16"/>
  <c r="CZ15" i="16"/>
  <c r="CL15" i="16"/>
  <c r="CK15" i="16"/>
  <c r="CD15" i="16"/>
  <c r="BP15" i="16"/>
  <c r="CZ14" i="16"/>
  <c r="CL14" i="16"/>
  <c r="CK14" i="16"/>
  <c r="CD14" i="16"/>
  <c r="BP14" i="16"/>
  <c r="CK13" i="16" s="1"/>
  <c r="CZ13" i="16"/>
  <c r="CL13" i="16"/>
  <c r="P13" i="16"/>
  <c r="H13" i="16"/>
  <c r="CZ12" i="16"/>
  <c r="CD12" i="16"/>
  <c r="BP12" i="16"/>
  <c r="CK11" i="16" s="1"/>
  <c r="P12" i="16"/>
  <c r="N12" i="16"/>
  <c r="R12" i="16" s="1"/>
  <c r="S12" i="16" s="1"/>
  <c r="H12" i="16"/>
  <c r="N23" i="16" s="1"/>
  <c r="CZ11" i="16"/>
  <c r="CL11" i="16"/>
  <c r="CD11" i="16"/>
  <c r="CL10" i="16" s="1"/>
  <c r="BP11" i="16"/>
  <c r="CK10" i="16" s="1"/>
  <c r="P11" i="16"/>
  <c r="H11" i="16"/>
  <c r="N22" i="16" s="1"/>
  <c r="R22" i="16" s="1"/>
  <c r="S22" i="16" s="1"/>
  <c r="CZ10" i="16"/>
  <c r="CD10" i="16"/>
  <c r="BP10" i="16"/>
  <c r="CK9" i="16" s="1"/>
  <c r="P10" i="16"/>
  <c r="N10" i="16"/>
  <c r="H10" i="16"/>
  <c r="N21" i="16" s="1"/>
  <c r="CZ9" i="16"/>
  <c r="CL9" i="16"/>
  <c r="CD9" i="16"/>
  <c r="BP9" i="16"/>
  <c r="H9" i="16"/>
  <c r="CZ8" i="16"/>
  <c r="CL8" i="16"/>
  <c r="CK8" i="16"/>
  <c r="H8" i="16"/>
  <c r="CZ7" i="16"/>
  <c r="CD7" i="16"/>
  <c r="BP7" i="16"/>
  <c r="CK6" i="16" s="1"/>
  <c r="H7" i="16"/>
  <c r="F7" i="16" s="1"/>
  <c r="B7" i="16"/>
  <c r="B34" i="16" s="1"/>
  <c r="AO9" i="16" s="1"/>
  <c r="AY9" i="16" s="1"/>
  <c r="CJ8" i="16" s="1"/>
  <c r="CZ6" i="16"/>
  <c r="CL6" i="16"/>
  <c r="CD6" i="16"/>
  <c r="CL5" i="16" s="1"/>
  <c r="BP6" i="16"/>
  <c r="H6" i="16"/>
  <c r="B6" i="16"/>
  <c r="B23" i="16" s="1"/>
  <c r="B24" i="16" s="1"/>
  <c r="CZ5" i="16"/>
  <c r="CK5" i="16"/>
  <c r="CD5" i="16"/>
  <c r="CL4" i="16" s="1"/>
  <c r="BP5" i="16"/>
  <c r="T25" i="16"/>
  <c r="CK4" i="16"/>
  <c r="CD4" i="16"/>
  <c r="CL3" i="16" s="1"/>
  <c r="BP4" i="16"/>
  <c r="CK3" i="16" s="1"/>
  <c r="G4" i="16"/>
  <c r="F11" i="16" s="1"/>
  <c r="B4" i="16"/>
  <c r="AC52" i="15"/>
  <c r="AF51" i="15"/>
  <c r="AD51" i="15"/>
  <c r="AD48" i="15"/>
  <c r="AC48" i="15"/>
  <c r="AD47" i="15"/>
  <c r="AC47" i="15"/>
  <c r="AD46" i="15"/>
  <c r="AC46" i="15"/>
  <c r="AD45" i="15"/>
  <c r="AC45" i="15"/>
  <c r="Z42" i="15" s="1"/>
  <c r="AD44" i="15"/>
  <c r="AC44" i="15"/>
  <c r="AF42" i="15"/>
  <c r="AD42" i="15"/>
  <c r="AC38" i="15"/>
  <c r="AF37" i="15"/>
  <c r="AD37" i="15"/>
  <c r="AD34" i="15"/>
  <c r="AC34" i="15"/>
  <c r="AD33" i="15"/>
  <c r="AC33" i="15"/>
  <c r="AD32" i="15"/>
  <c r="AC32" i="15"/>
  <c r="AD31" i="15"/>
  <c r="AD29" i="15" s="1"/>
  <c r="AC31" i="15"/>
  <c r="Z29" i="15" s="1"/>
  <c r="AD27" i="15"/>
  <c r="AC27" i="15"/>
  <c r="AD26" i="15"/>
  <c r="AC26" i="15"/>
  <c r="AD25" i="15"/>
  <c r="AF23" i="15" s="1"/>
  <c r="AC25" i="15"/>
  <c r="Z23" i="15"/>
  <c r="AD21" i="15"/>
  <c r="AC21" i="15"/>
  <c r="AD20" i="15"/>
  <c r="AF13" i="15" s="1"/>
  <c r="AC20" i="15"/>
  <c r="AD19" i="15"/>
  <c r="AC19" i="15"/>
  <c r="AD18" i="15"/>
  <c r="AD17" i="15"/>
  <c r="AD13" i="15" s="1"/>
  <c r="AC17" i="15"/>
  <c r="AD16" i="15"/>
  <c r="AC16" i="15"/>
  <c r="AD15" i="15"/>
  <c r="AC15" i="15"/>
  <c r="Z13" i="15"/>
  <c r="AD10" i="15"/>
  <c r="AC10" i="15"/>
  <c r="AD9" i="15"/>
  <c r="AC9" i="15"/>
  <c r="AD8" i="15"/>
  <c r="Z8" i="15"/>
  <c r="AD7" i="15"/>
  <c r="AD5" i="15" s="1"/>
  <c r="AC7" i="15"/>
  <c r="Z5" i="15" s="1"/>
  <c r="AF5" i="15"/>
  <c r="DG7" i="20" l="1"/>
  <c r="DG8" i="20"/>
  <c r="DG10" i="20"/>
  <c r="DG14" i="20"/>
  <c r="DG13" i="20"/>
  <c r="AP27" i="20"/>
  <c r="AP43" i="20"/>
  <c r="AP26" i="20"/>
  <c r="AP28" i="20"/>
  <c r="E88" i="22"/>
  <c r="DG9" i="20"/>
  <c r="F6" i="20"/>
  <c r="DG15" i="20"/>
  <c r="DG11" i="20"/>
  <c r="AP56" i="20"/>
  <c r="DG21" i="20"/>
  <c r="AP28" i="19"/>
  <c r="AP35" i="19" s="1"/>
  <c r="AP43" i="19"/>
  <c r="AP47" i="19" s="1"/>
  <c r="AP6" i="19"/>
  <c r="AP16" i="19" s="1"/>
  <c r="AP26" i="19"/>
  <c r="AP33" i="19" s="1"/>
  <c r="R23" i="19"/>
  <c r="H90" i="21" s="1"/>
  <c r="DG5" i="19"/>
  <c r="AP7" i="19"/>
  <c r="AP17" i="19" s="1"/>
  <c r="AP27" i="19"/>
  <c r="AP34" i="19" s="1"/>
  <c r="R26" i="20"/>
  <c r="I108" i="22"/>
  <c r="I33" i="22"/>
  <c r="H16" i="22"/>
  <c r="R9" i="19"/>
  <c r="H15" i="21" s="1"/>
  <c r="G15" i="21"/>
  <c r="H16" i="21"/>
  <c r="AP45" i="19"/>
  <c r="H88" i="21"/>
  <c r="R20" i="19"/>
  <c r="H87" i="21" s="1"/>
  <c r="G87" i="21"/>
  <c r="R15" i="19"/>
  <c r="H21" i="21" s="1"/>
  <c r="G21" i="21"/>
  <c r="R26" i="19"/>
  <c r="I108" i="21"/>
  <c r="I33" i="21"/>
  <c r="K109" i="18"/>
  <c r="DG79" i="20"/>
  <c r="AZ50" i="20"/>
  <c r="CK49" i="20" s="1"/>
  <c r="F17" i="20"/>
  <c r="F12" i="20"/>
  <c r="U29" i="20"/>
  <c r="S29" i="20"/>
  <c r="T29" i="20" s="1"/>
  <c r="R29" i="20"/>
  <c r="AZ45" i="20"/>
  <c r="CK44" i="20" s="1"/>
  <c r="DG76" i="20"/>
  <c r="O18" i="20"/>
  <c r="O7" i="20"/>
  <c r="O17" i="20"/>
  <c r="O6" i="20"/>
  <c r="DG28" i="20"/>
  <c r="AZ9" i="20"/>
  <c r="CK8" i="20" s="1"/>
  <c r="S9" i="20"/>
  <c r="T9" i="20" s="1"/>
  <c r="S20" i="20"/>
  <c r="T20" i="20" s="1"/>
  <c r="B35" i="20"/>
  <c r="U23" i="20"/>
  <c r="S23" i="20"/>
  <c r="T23" i="20" s="1"/>
  <c r="Q25" i="20"/>
  <c r="Q15" i="20"/>
  <c r="Q20" i="20"/>
  <c r="Q19" i="20"/>
  <c r="G86" i="22" s="1"/>
  <c r="Q17" i="20"/>
  <c r="Q9" i="20"/>
  <c r="Q6" i="20"/>
  <c r="Q18" i="20"/>
  <c r="Q8" i="20"/>
  <c r="G14" i="22" s="1"/>
  <c r="Q7" i="20"/>
  <c r="G13" i="22" s="1"/>
  <c r="DG75" i="20"/>
  <c r="AZ44" i="20"/>
  <c r="CK43" i="20" s="1"/>
  <c r="U21" i="20"/>
  <c r="S21" i="20"/>
  <c r="T21" i="20" s="1"/>
  <c r="R21" i="20"/>
  <c r="R14" i="20"/>
  <c r="G28" i="22" s="1"/>
  <c r="U14" i="20"/>
  <c r="AP12" i="20" s="1"/>
  <c r="S14" i="20"/>
  <c r="R34" i="20"/>
  <c r="F21" i="20"/>
  <c r="F22" i="20"/>
  <c r="F20" i="20"/>
  <c r="F9" i="20"/>
  <c r="F7" i="20"/>
  <c r="T26" i="19"/>
  <c r="DG28" i="19"/>
  <c r="AZ9" i="19"/>
  <c r="CK8" i="19" s="1"/>
  <c r="U23" i="19"/>
  <c r="S23" i="19"/>
  <c r="T23" i="19" s="1"/>
  <c r="U22" i="19"/>
  <c r="S22" i="19"/>
  <c r="T22" i="19" s="1"/>
  <c r="R22" i="19"/>
  <c r="H89" i="21" s="1"/>
  <c r="R6" i="19"/>
  <c r="H12" i="21" s="1"/>
  <c r="O18" i="19"/>
  <c r="O6" i="19"/>
  <c r="O7" i="19"/>
  <c r="O17" i="19"/>
  <c r="DG79" i="19"/>
  <c r="AZ50" i="19"/>
  <c r="CK49" i="19" s="1"/>
  <c r="U12" i="19"/>
  <c r="S12" i="19"/>
  <c r="T12" i="19" s="1"/>
  <c r="R12" i="19"/>
  <c r="H18" i="21" s="1"/>
  <c r="U14" i="19"/>
  <c r="S14" i="19"/>
  <c r="R14" i="19"/>
  <c r="G28" i="21" s="1"/>
  <c r="S29" i="19"/>
  <c r="T29" i="19" s="1"/>
  <c r="U29" i="19"/>
  <c r="R29" i="19"/>
  <c r="F17" i="18"/>
  <c r="F12" i="18"/>
  <c r="C13" i="18"/>
  <c r="G13" i="18"/>
  <c r="D12" i="18"/>
  <c r="H12" i="18"/>
  <c r="E13" i="18"/>
  <c r="C15" i="18"/>
  <c r="G15" i="18"/>
  <c r="D16" i="18"/>
  <c r="H16" i="18"/>
  <c r="E17" i="18"/>
  <c r="C19" i="18"/>
  <c r="G19" i="18"/>
  <c r="F13" i="18"/>
  <c r="F16" i="18"/>
  <c r="C17" i="18"/>
  <c r="G17" i="18"/>
  <c r="C12" i="18"/>
  <c r="D13" i="18"/>
  <c r="C16" i="18"/>
  <c r="D17" i="18"/>
  <c r="B360" i="18"/>
  <c r="B390" i="18" s="1"/>
  <c r="B389" i="18"/>
  <c r="K34" i="18"/>
  <c r="K108" i="18"/>
  <c r="B139" i="18"/>
  <c r="B140" i="18" s="1"/>
  <c r="G137" i="18"/>
  <c r="K189" i="18"/>
  <c r="K581" i="18"/>
  <c r="B595" i="18"/>
  <c r="B625" i="18" s="1"/>
  <c r="G58" i="18"/>
  <c r="B60" i="18"/>
  <c r="B61" i="18" s="1"/>
  <c r="B231" i="18"/>
  <c r="B438" i="18"/>
  <c r="B468" i="18" s="1"/>
  <c r="B467" i="18"/>
  <c r="B612" i="18"/>
  <c r="B613" i="18" s="1"/>
  <c r="G610" i="18"/>
  <c r="G689" i="18"/>
  <c r="B691" i="18"/>
  <c r="B692" i="18" s="1"/>
  <c r="K267" i="18"/>
  <c r="K270" i="18"/>
  <c r="K425" i="18"/>
  <c r="K427" i="18"/>
  <c r="K502" i="18"/>
  <c r="N573" i="18"/>
  <c r="H573" i="18" s="1"/>
  <c r="K660" i="18"/>
  <c r="B703" i="18"/>
  <c r="N731" i="18"/>
  <c r="H731" i="18" s="1"/>
  <c r="K743" i="18"/>
  <c r="K750" i="18"/>
  <c r="B770" i="18"/>
  <c r="B771" i="18" s="1"/>
  <c r="G296" i="18"/>
  <c r="B455" i="18"/>
  <c r="B456" i="18" s="1"/>
  <c r="B545" i="18"/>
  <c r="B516" i="18"/>
  <c r="B546" i="18" s="1"/>
  <c r="N652" i="18"/>
  <c r="H652" i="18" s="1"/>
  <c r="K739" i="18"/>
  <c r="K746" i="18"/>
  <c r="K748" i="18"/>
  <c r="J28" i="18"/>
  <c r="L28" i="18" s="1"/>
  <c r="N28" i="18" s="1"/>
  <c r="H28" i="18" s="1"/>
  <c r="B281" i="18"/>
  <c r="B311" i="18" s="1"/>
  <c r="K346" i="18"/>
  <c r="K426" i="18"/>
  <c r="B752" i="18"/>
  <c r="K742" i="18"/>
  <c r="K744" i="18"/>
  <c r="K109" i="17"/>
  <c r="K34" i="17"/>
  <c r="F16" i="17"/>
  <c r="C17" i="17"/>
  <c r="G17" i="17"/>
  <c r="B137" i="17"/>
  <c r="B140" i="17" s="1"/>
  <c r="D12" i="17"/>
  <c r="H12" i="17"/>
  <c r="E13" i="17"/>
  <c r="C15" i="17"/>
  <c r="G15" i="17"/>
  <c r="D16" i="17"/>
  <c r="H16" i="17"/>
  <c r="E17" i="17"/>
  <c r="C19" i="17"/>
  <c r="G19" i="17"/>
  <c r="F13" i="17"/>
  <c r="F17" i="17"/>
  <c r="F12" i="17"/>
  <c r="C13" i="17"/>
  <c r="G13" i="17"/>
  <c r="C12" i="17"/>
  <c r="D13" i="17"/>
  <c r="C16" i="17"/>
  <c r="D17" i="17"/>
  <c r="G58" i="17"/>
  <c r="B60" i="17"/>
  <c r="B61" i="17" s="1"/>
  <c r="B202" i="17"/>
  <c r="B232" i="17" s="1"/>
  <c r="B231" i="17"/>
  <c r="G137" i="17"/>
  <c r="B595" i="17"/>
  <c r="B625" i="17" s="1"/>
  <c r="B624" i="17"/>
  <c r="K581" i="17"/>
  <c r="K583" i="17"/>
  <c r="B612" i="17"/>
  <c r="B613" i="17" s="1"/>
  <c r="G610" i="17"/>
  <c r="K739" i="17"/>
  <c r="K746" i="17"/>
  <c r="B121" i="17"/>
  <c r="B360" i="17"/>
  <c r="B390" i="17" s="1"/>
  <c r="B389" i="17"/>
  <c r="L28" i="17"/>
  <c r="N28" i="17" s="1"/>
  <c r="B42" i="17" s="1"/>
  <c r="K188" i="17"/>
  <c r="K267" i="17"/>
  <c r="K348" i="17"/>
  <c r="B437" i="17"/>
  <c r="K428" i="17"/>
  <c r="B533" i="17"/>
  <c r="B534" i="17" s="1"/>
  <c r="G531" i="17"/>
  <c r="K582" i="17"/>
  <c r="B674" i="17"/>
  <c r="B704" i="17" s="1"/>
  <c r="B703" i="17"/>
  <c r="B752" i="17"/>
  <c r="K745" i="17"/>
  <c r="K747" i="17"/>
  <c r="B219" i="17"/>
  <c r="B220" i="17" s="1"/>
  <c r="K270" i="17"/>
  <c r="K424" i="17"/>
  <c r="K426" i="17"/>
  <c r="G453" i="17"/>
  <c r="K503" i="17"/>
  <c r="B516" i="17"/>
  <c r="B546" i="17" s="1"/>
  <c r="K741" i="17"/>
  <c r="K743" i="17"/>
  <c r="K750" i="17"/>
  <c r="P7" i="16"/>
  <c r="P9" i="16"/>
  <c r="Q9" i="16" s="1"/>
  <c r="P8" i="16"/>
  <c r="P6" i="16"/>
  <c r="AF29" i="16"/>
  <c r="T26" i="16" s="1"/>
  <c r="AO44" i="16" s="1"/>
  <c r="AY44" i="16" s="1"/>
  <c r="CJ43" i="16" s="1"/>
  <c r="T10" i="16"/>
  <c r="R9" i="16"/>
  <c r="S9" i="16" s="1"/>
  <c r="R20" i="16"/>
  <c r="S20" i="16" s="1"/>
  <c r="R25" i="16"/>
  <c r="S25" i="16" s="1"/>
  <c r="R15" i="16"/>
  <c r="S15" i="16" s="1"/>
  <c r="Q11" i="16"/>
  <c r="F8" i="16"/>
  <c r="N14" i="16"/>
  <c r="B35" i="16"/>
  <c r="AO30" i="16" s="1"/>
  <c r="AY30" i="16" s="1"/>
  <c r="CJ29" i="16" s="1"/>
  <c r="N39" i="16"/>
  <c r="F16" i="16"/>
  <c r="B8" i="16"/>
  <c r="F9" i="16"/>
  <c r="T9" i="16"/>
  <c r="T21" i="16"/>
  <c r="R21" i="16"/>
  <c r="S21" i="16" s="1"/>
  <c r="R10" i="16"/>
  <c r="S10" i="16" s="1"/>
  <c r="N11" i="16"/>
  <c r="T23" i="16"/>
  <c r="R23" i="16"/>
  <c r="S23" i="16" s="1"/>
  <c r="P20" i="16"/>
  <c r="Q20" i="16" s="1"/>
  <c r="P19" i="16"/>
  <c r="T16" i="16"/>
  <c r="R16" i="16"/>
  <c r="S16" i="16" s="1"/>
  <c r="P18" i="16"/>
  <c r="T22" i="16"/>
  <c r="P28" i="16"/>
  <c r="P27" i="16"/>
  <c r="P31" i="16"/>
  <c r="AY48" i="16"/>
  <c r="CJ47" i="16" s="1"/>
  <c r="F6" i="16"/>
  <c r="T12" i="16"/>
  <c r="P15" i="16"/>
  <c r="Q15" i="16" s="1"/>
  <c r="N24" i="16"/>
  <c r="F13" i="16"/>
  <c r="Q16" i="16"/>
  <c r="P17" i="16"/>
  <c r="AY50" i="16"/>
  <c r="CJ49" i="16" s="1"/>
  <c r="F22" i="16"/>
  <c r="Q34" i="16"/>
  <c r="F21" i="16"/>
  <c r="F20" i="16"/>
  <c r="AO45" i="16"/>
  <c r="AY45" i="16" s="1"/>
  <c r="CJ44" i="16" s="1"/>
  <c r="F10" i="16"/>
  <c r="Q10" i="16"/>
  <c r="F12" i="16"/>
  <c r="Q12" i="16"/>
  <c r="N13" i="16"/>
  <c r="T15" i="16"/>
  <c r="F18" i="16"/>
  <c r="Q21" i="16"/>
  <c r="Q22" i="16"/>
  <c r="Q23" i="16"/>
  <c r="G34" i="16"/>
  <c r="C43" i="16"/>
  <c r="AF29" i="15"/>
  <c r="AD23" i="15"/>
  <c r="AP47" i="20" l="1"/>
  <c r="DG56" i="20"/>
  <c r="DG57" i="20"/>
  <c r="DG59" i="20"/>
  <c r="DG58" i="20"/>
  <c r="AP34" i="20"/>
  <c r="DG48" i="20"/>
  <c r="DG51" i="20"/>
  <c r="DG49" i="20"/>
  <c r="DG50" i="20"/>
  <c r="AP33" i="20"/>
  <c r="DG45" i="20"/>
  <c r="DG47" i="20"/>
  <c r="DG44" i="20"/>
  <c r="DG46" i="20"/>
  <c r="AP35" i="20"/>
  <c r="DG54" i="20"/>
  <c r="DG55" i="20"/>
  <c r="DG53" i="20"/>
  <c r="DG52" i="20"/>
  <c r="AP22" i="19"/>
  <c r="R17" i="20"/>
  <c r="H84" i="22" s="1"/>
  <c r="G84" i="22"/>
  <c r="R9" i="20"/>
  <c r="H15" i="22" s="1"/>
  <c r="G15" i="22"/>
  <c r="R15" i="20"/>
  <c r="H21" i="22" s="1"/>
  <c r="G21" i="22"/>
  <c r="R25" i="20"/>
  <c r="H92" i="22" s="1"/>
  <c r="G92" i="22"/>
  <c r="R18" i="20"/>
  <c r="H85" i="22" s="1"/>
  <c r="G85" i="22"/>
  <c r="DG72" i="20"/>
  <c r="H88" i="22"/>
  <c r="R6" i="20"/>
  <c r="H12" i="22" s="1"/>
  <c r="G12" i="22"/>
  <c r="R20" i="20"/>
  <c r="H87" i="22" s="1"/>
  <c r="G87" i="22"/>
  <c r="J108" i="22"/>
  <c r="J33" i="22"/>
  <c r="AP39" i="19"/>
  <c r="DG72" i="19" s="1"/>
  <c r="DG35" i="19"/>
  <c r="J33" i="21"/>
  <c r="J108" i="21"/>
  <c r="B121" i="18"/>
  <c r="B151" i="18" s="1"/>
  <c r="Q42" i="20"/>
  <c r="U18" i="20"/>
  <c r="S18" i="20"/>
  <c r="T18" i="20" s="1"/>
  <c r="O31" i="20"/>
  <c r="T14" i="20"/>
  <c r="O42" i="20"/>
  <c r="S7" i="20"/>
  <c r="T7" i="20" s="1"/>
  <c r="O30" i="20"/>
  <c r="U7" i="20"/>
  <c r="R7" i="20"/>
  <c r="H13" i="22" s="1"/>
  <c r="O36" i="20"/>
  <c r="B27" i="20"/>
  <c r="U6" i="20"/>
  <c r="S6" i="20"/>
  <c r="O8" i="20"/>
  <c r="O27" i="20" s="1"/>
  <c r="DG36" i="20"/>
  <c r="AZ24" i="20"/>
  <c r="CK23" i="20" s="1"/>
  <c r="R19" i="20"/>
  <c r="H86" i="22" s="1"/>
  <c r="DG33" i="20"/>
  <c r="AZ20" i="20"/>
  <c r="CK19" i="20" s="1"/>
  <c r="R8" i="20"/>
  <c r="H14" i="22" s="1"/>
  <c r="DG35" i="20"/>
  <c r="AZ22" i="20"/>
  <c r="CK21" i="20" s="1"/>
  <c r="S17" i="20"/>
  <c r="T17" i="20" s="1"/>
  <c r="O19" i="20"/>
  <c r="O28" i="20" s="1"/>
  <c r="U17" i="20"/>
  <c r="AZ49" i="20"/>
  <c r="CK48" i="20" s="1"/>
  <c r="DG78" i="20"/>
  <c r="S7" i="19"/>
  <c r="T7" i="19" s="1"/>
  <c r="O30" i="19"/>
  <c r="U7" i="19"/>
  <c r="R7" i="19"/>
  <c r="H13" i="21" s="1"/>
  <c r="DG36" i="19"/>
  <c r="AZ24" i="19"/>
  <c r="CK23" i="19" s="1"/>
  <c r="S17" i="19"/>
  <c r="T17" i="19" s="1"/>
  <c r="U17" i="19"/>
  <c r="O19" i="19"/>
  <c r="R17" i="19"/>
  <c r="H84" i="21" s="1"/>
  <c r="AZ22" i="19"/>
  <c r="CK21" i="19" s="1"/>
  <c r="AZ20" i="19"/>
  <c r="CK19" i="19" s="1"/>
  <c r="Q42" i="19"/>
  <c r="O36" i="19"/>
  <c r="AZ49" i="19"/>
  <c r="CK48" i="19" s="1"/>
  <c r="DG78" i="19"/>
  <c r="O27" i="19"/>
  <c r="U6" i="19"/>
  <c r="O8" i="19"/>
  <c r="S6" i="19"/>
  <c r="DG75" i="19"/>
  <c r="AZ44" i="19"/>
  <c r="CK43" i="19" s="1"/>
  <c r="T14" i="19"/>
  <c r="O42" i="19"/>
  <c r="O31" i="19"/>
  <c r="S18" i="19"/>
  <c r="T18" i="19" s="1"/>
  <c r="U18" i="19"/>
  <c r="AZ45" i="19"/>
  <c r="CK44" i="19" s="1"/>
  <c r="DG76" i="19"/>
  <c r="R18" i="19"/>
  <c r="H85" i="21" s="1"/>
  <c r="B42" i="18"/>
  <c r="B72" i="18" s="1"/>
  <c r="B782" i="18"/>
  <c r="B753" i="18"/>
  <c r="B783" i="18" s="1"/>
  <c r="B72" i="17"/>
  <c r="B43" i="17"/>
  <c r="B73" i="17" s="1"/>
  <c r="W7" i="17" s="1"/>
  <c r="B782" i="17"/>
  <c r="B753" i="17"/>
  <c r="B783" i="17" s="1"/>
  <c r="B438" i="17"/>
  <c r="B468" i="17" s="1"/>
  <c r="B467" i="17"/>
  <c r="B151" i="17"/>
  <c r="B122" i="17"/>
  <c r="B152" i="17" s="1"/>
  <c r="W8" i="17" s="1"/>
  <c r="N17" i="16"/>
  <c r="N18" i="16"/>
  <c r="N6" i="16"/>
  <c r="N7" i="16"/>
  <c r="T13" i="16"/>
  <c r="R13" i="16"/>
  <c r="S13" i="16" s="1"/>
  <c r="G35" i="16"/>
  <c r="F24" i="16"/>
  <c r="N29" i="16"/>
  <c r="T24" i="16"/>
  <c r="R24" i="16"/>
  <c r="S24" i="16" s="1"/>
  <c r="Q24" i="16"/>
  <c r="N36" i="16" s="1"/>
  <c r="Q18" i="16"/>
  <c r="R11" i="16"/>
  <c r="S11" i="16" s="1"/>
  <c r="T11" i="16"/>
  <c r="Q17" i="16"/>
  <c r="Q13" i="16"/>
  <c r="AO20" i="16"/>
  <c r="AY20" i="16" s="1"/>
  <c r="CJ19" i="16" s="1"/>
  <c r="T14" i="16"/>
  <c r="R14" i="16"/>
  <c r="AO24" i="16"/>
  <c r="AY24" i="16" s="1"/>
  <c r="CJ23" i="16" s="1"/>
  <c r="Q14" i="16"/>
  <c r="AZ39" i="19" l="1"/>
  <c r="CK38" i="19" s="1"/>
  <c r="AZ39" i="20"/>
  <c r="CK38" i="20" s="1"/>
  <c r="B122" i="18"/>
  <c r="B152" i="18" s="1"/>
  <c r="W8" i="18" s="1"/>
  <c r="B43" i="18"/>
  <c r="B73" i="18" s="1"/>
  <c r="W7" i="18" s="1"/>
  <c r="O35" i="20"/>
  <c r="U28" i="20"/>
  <c r="S28" i="20"/>
  <c r="T28" i="20" s="1"/>
  <c r="R28" i="20"/>
  <c r="J109" i="22" s="1"/>
  <c r="B121" i="22" s="1"/>
  <c r="U27" i="20"/>
  <c r="S27" i="20"/>
  <c r="R27" i="20"/>
  <c r="J34" i="22" s="1"/>
  <c r="B42" i="22" s="1"/>
  <c r="R33" i="20"/>
  <c r="T6" i="20"/>
  <c r="S30" i="20"/>
  <c r="T30" i="20" s="1"/>
  <c r="U30" i="20"/>
  <c r="R30" i="20"/>
  <c r="S31" i="20"/>
  <c r="T31" i="20" s="1"/>
  <c r="U31" i="20"/>
  <c r="R31" i="20"/>
  <c r="AZ40" i="20"/>
  <c r="CK39" i="20" s="1"/>
  <c r="DG73" i="20"/>
  <c r="DG32" i="20"/>
  <c r="AZ19" i="20"/>
  <c r="CK18" i="20" s="1"/>
  <c r="U19" i="20"/>
  <c r="AP31" i="20" s="1"/>
  <c r="S19" i="20"/>
  <c r="T19" i="20" s="1"/>
  <c r="S8" i="20"/>
  <c r="T8" i="20" s="1"/>
  <c r="U8" i="20"/>
  <c r="Q40" i="20" s="1"/>
  <c r="AZ12" i="20"/>
  <c r="CK11" i="20" s="1"/>
  <c r="DG27" i="20"/>
  <c r="T6" i="19"/>
  <c r="U19" i="19"/>
  <c r="AP31" i="19" s="1"/>
  <c r="S19" i="19"/>
  <c r="T19" i="19" s="1"/>
  <c r="R19" i="19"/>
  <c r="H86" i="21" s="1"/>
  <c r="O28" i="19"/>
  <c r="U8" i="19"/>
  <c r="S8" i="19"/>
  <c r="T8" i="19" s="1"/>
  <c r="R8" i="19"/>
  <c r="H14" i="21" s="1"/>
  <c r="S30" i="19"/>
  <c r="T30" i="19" s="1"/>
  <c r="U30" i="19"/>
  <c r="R30" i="19"/>
  <c r="AZ19" i="19"/>
  <c r="CK18" i="19" s="1"/>
  <c r="U27" i="19"/>
  <c r="S27" i="19"/>
  <c r="R27" i="19"/>
  <c r="J34" i="21" s="1"/>
  <c r="AZ12" i="19"/>
  <c r="CK11" i="19" s="1"/>
  <c r="AZ40" i="19"/>
  <c r="CK39" i="19" s="1"/>
  <c r="DG73" i="19"/>
  <c r="DG70" i="19"/>
  <c r="AZ37" i="19"/>
  <c r="CK36" i="19" s="1"/>
  <c r="U31" i="19"/>
  <c r="S31" i="19"/>
  <c r="T31" i="19" s="1"/>
  <c r="R31" i="19"/>
  <c r="B27" i="19"/>
  <c r="W18" i="18"/>
  <c r="V31" i="18" s="1"/>
  <c r="W21" i="18"/>
  <c r="W18" i="17"/>
  <c r="V31" i="17" s="1"/>
  <c r="W21" i="17"/>
  <c r="AO12" i="16"/>
  <c r="AY12" i="16" s="1"/>
  <c r="CJ11" i="16" s="1"/>
  <c r="P42" i="16"/>
  <c r="N30" i="16"/>
  <c r="R7" i="16"/>
  <c r="S7" i="16" s="1"/>
  <c r="T7" i="16"/>
  <c r="Q7" i="16"/>
  <c r="AO23" i="16"/>
  <c r="AY23" i="16" s="1"/>
  <c r="CJ22" i="16" s="1"/>
  <c r="N27" i="16"/>
  <c r="AY19" i="16"/>
  <c r="CJ18" i="16" s="1"/>
  <c r="N8" i="16"/>
  <c r="R6" i="16"/>
  <c r="AO4" i="16"/>
  <c r="T6" i="16"/>
  <c r="Q6" i="16"/>
  <c r="R29" i="16"/>
  <c r="S29" i="16" s="1"/>
  <c r="T29" i="16"/>
  <c r="Q29" i="16"/>
  <c r="N31" i="16"/>
  <c r="R18" i="16"/>
  <c r="S18" i="16" s="1"/>
  <c r="T18" i="16"/>
  <c r="N42" i="16"/>
  <c r="S14" i="16"/>
  <c r="N28" i="16"/>
  <c r="N19" i="16"/>
  <c r="R17" i="16"/>
  <c r="S17" i="16" s="1"/>
  <c r="T17" i="16"/>
  <c r="AO40" i="16"/>
  <c r="AY40" i="16" s="1"/>
  <c r="CJ39" i="16" s="1"/>
  <c r="AO37" i="16"/>
  <c r="AY37" i="16" s="1"/>
  <c r="CJ36" i="16" s="1"/>
  <c r="AP32" i="20" l="1"/>
  <c r="AP11" i="20"/>
  <c r="DG30" i="20" s="1"/>
  <c r="AP10" i="20"/>
  <c r="B151" i="22"/>
  <c r="B122" i="22"/>
  <c r="B152" i="22" s="1"/>
  <c r="W8" i="22" s="1"/>
  <c r="B43" i="22"/>
  <c r="B73" i="22" s="1"/>
  <c r="W7" i="22" s="1"/>
  <c r="B72" i="22"/>
  <c r="B42" i="21"/>
  <c r="B72" i="21" s="1"/>
  <c r="AZ38" i="20"/>
  <c r="CK37" i="20" s="1"/>
  <c r="DG71" i="20"/>
  <c r="DG62" i="20"/>
  <c r="AZ31" i="20"/>
  <c r="CK30" i="20" s="1"/>
  <c r="DG38" i="20"/>
  <c r="AZ4" i="20"/>
  <c r="AZ42" i="20"/>
  <c r="CK41" i="20" s="1"/>
  <c r="AP54" i="20"/>
  <c r="O40" i="20"/>
  <c r="DG40" i="20"/>
  <c r="AZ6" i="20"/>
  <c r="DG34" i="20"/>
  <c r="AZ21" i="20"/>
  <c r="CK20" i="20" s="1"/>
  <c r="DG70" i="20"/>
  <c r="AZ37" i="20"/>
  <c r="CK36" i="20" s="1"/>
  <c r="AZ23" i="20"/>
  <c r="CK22" i="20" s="1"/>
  <c r="DG37" i="20"/>
  <c r="AZ5" i="20"/>
  <c r="DG39" i="20"/>
  <c r="DG41" i="20"/>
  <c r="AZ7" i="20"/>
  <c r="AZ27" i="20"/>
  <c r="CK26" i="20" s="1"/>
  <c r="T27" i="20"/>
  <c r="O41" i="20"/>
  <c r="Q41" i="20"/>
  <c r="AZ26" i="20"/>
  <c r="CK25" i="20" s="1"/>
  <c r="AZ28" i="20"/>
  <c r="CK27" i="20" s="1"/>
  <c r="AZ43" i="20"/>
  <c r="CK42" i="20" s="1"/>
  <c r="AP55" i="20"/>
  <c r="Q40" i="19"/>
  <c r="DG29" i="19"/>
  <c r="AZ10" i="19"/>
  <c r="CK9" i="19" s="1"/>
  <c r="DG38" i="19"/>
  <c r="DG8" i="19"/>
  <c r="DG6" i="19"/>
  <c r="AZ4" i="19"/>
  <c r="DG7" i="19"/>
  <c r="AZ21" i="19"/>
  <c r="CK20" i="19" s="1"/>
  <c r="DG34" i="19"/>
  <c r="DG40" i="19"/>
  <c r="DG13" i="19"/>
  <c r="AZ6" i="19"/>
  <c r="DG14" i="19"/>
  <c r="DG16" i="19"/>
  <c r="DG15" i="19"/>
  <c r="AZ5" i="19"/>
  <c r="DG39" i="19"/>
  <c r="DG12" i="19"/>
  <c r="DG9" i="19"/>
  <c r="DG10" i="19"/>
  <c r="DG11" i="19"/>
  <c r="DG62" i="19"/>
  <c r="AZ31" i="19"/>
  <c r="CK30" i="19" s="1"/>
  <c r="O40" i="19"/>
  <c r="DG41" i="19"/>
  <c r="AZ7" i="19"/>
  <c r="DG18" i="19"/>
  <c r="DG17" i="19"/>
  <c r="DG20" i="19"/>
  <c r="DG19" i="19"/>
  <c r="AZ42" i="19"/>
  <c r="CK41" i="19" s="1"/>
  <c r="AP54" i="19"/>
  <c r="DG22" i="19"/>
  <c r="DG21" i="19"/>
  <c r="DG24" i="19"/>
  <c r="DG23" i="19"/>
  <c r="AZ23" i="19"/>
  <c r="CK22" i="19" s="1"/>
  <c r="DG37" i="19"/>
  <c r="S28" i="19"/>
  <c r="T28" i="19" s="1"/>
  <c r="U28" i="19"/>
  <c r="AP32" i="19" s="1"/>
  <c r="R28" i="19"/>
  <c r="J109" i="21" s="1"/>
  <c r="B121" i="21" s="1"/>
  <c r="Q41" i="19"/>
  <c r="O35" i="19"/>
  <c r="R33" i="19"/>
  <c r="T27" i="19"/>
  <c r="O41" i="19"/>
  <c r="AO38" i="16"/>
  <c r="AY38" i="16" s="1"/>
  <c r="CJ37" i="16" s="1"/>
  <c r="T28" i="16"/>
  <c r="AO32" i="16" s="1"/>
  <c r="AY32" i="16" s="1"/>
  <c r="CJ31" i="16" s="1"/>
  <c r="AO27" i="16"/>
  <c r="R28" i="16"/>
  <c r="S28" i="16" s="1"/>
  <c r="Q28" i="16"/>
  <c r="R31" i="16"/>
  <c r="S31" i="16" s="1"/>
  <c r="T31" i="16"/>
  <c r="Q31" i="16"/>
  <c r="AO14" i="16"/>
  <c r="AY4" i="16"/>
  <c r="T27" i="16"/>
  <c r="AO21" i="16"/>
  <c r="AY21" i="16" s="1"/>
  <c r="CJ20" i="16" s="1"/>
  <c r="R27" i="16"/>
  <c r="AO5" i="16"/>
  <c r="Q27" i="16"/>
  <c r="S6" i="16"/>
  <c r="T30" i="16"/>
  <c r="R30" i="16"/>
  <c r="S30" i="16" s="1"/>
  <c r="Q30" i="16"/>
  <c r="AO6" i="16"/>
  <c r="AO43" i="16"/>
  <c r="T19" i="16"/>
  <c r="AO31" i="16" s="1"/>
  <c r="AY31" i="16" s="1"/>
  <c r="CJ30" i="16" s="1"/>
  <c r="R19" i="16"/>
  <c r="S19" i="16" s="1"/>
  <c r="Q19" i="16"/>
  <c r="AO28" i="16"/>
  <c r="AO7" i="16"/>
  <c r="B27" i="16"/>
  <c r="T8" i="16"/>
  <c r="P40" i="16" s="1"/>
  <c r="R8" i="16"/>
  <c r="S8" i="16" s="1"/>
  <c r="Q8" i="16"/>
  <c r="N35" i="16" s="1"/>
  <c r="AO26" i="16"/>
  <c r="AO42" i="16"/>
  <c r="W18" i="22" l="1"/>
  <c r="V31" i="22" s="1"/>
  <c r="W21" i="22"/>
  <c r="B43" i="21"/>
  <c r="B73" i="21" s="1"/>
  <c r="W7" i="21" s="1"/>
  <c r="W21" i="21" s="1"/>
  <c r="B151" i="21"/>
  <c r="B122" i="21"/>
  <c r="B152" i="21" s="1"/>
  <c r="W8" i="21" s="1"/>
  <c r="CK6" i="20"/>
  <c r="AZ17" i="20"/>
  <c r="CK16" i="20" s="1"/>
  <c r="DG29" i="20"/>
  <c r="AZ10" i="20"/>
  <c r="CK9" i="20" s="1"/>
  <c r="AZ46" i="20"/>
  <c r="CK45" i="20" s="1"/>
  <c r="DG42" i="20"/>
  <c r="AZ47" i="20"/>
  <c r="CK46" i="20" s="1"/>
  <c r="AP57" i="20"/>
  <c r="DG68" i="20"/>
  <c r="DG65" i="20"/>
  <c r="AZ33" i="20"/>
  <c r="CK32" i="20" s="1"/>
  <c r="DG67" i="20"/>
  <c r="AZ35" i="20"/>
  <c r="CK34" i="20" s="1"/>
  <c r="AZ11" i="20"/>
  <c r="CK10" i="20" s="1"/>
  <c r="DG66" i="20"/>
  <c r="AZ34" i="20"/>
  <c r="CK33" i="20" s="1"/>
  <c r="CK4" i="20"/>
  <c r="AZ15" i="20"/>
  <c r="CK14" i="20" s="1"/>
  <c r="AZ32" i="20"/>
  <c r="CK31" i="20" s="1"/>
  <c r="DG63" i="20"/>
  <c r="AZ16" i="20"/>
  <c r="CK15" i="20" s="1"/>
  <c r="CK5" i="20"/>
  <c r="AZ14" i="20"/>
  <c r="CK13" i="20" s="1"/>
  <c r="CK3" i="20"/>
  <c r="AZ32" i="19"/>
  <c r="CK31" i="19" s="1"/>
  <c r="DG63" i="19"/>
  <c r="AZ11" i="19"/>
  <c r="CK10" i="19" s="1"/>
  <c r="DG30" i="19"/>
  <c r="AZ28" i="19"/>
  <c r="CK27" i="19" s="1"/>
  <c r="DG52" i="19"/>
  <c r="DG53" i="19"/>
  <c r="DG55" i="19"/>
  <c r="DG54" i="19"/>
  <c r="AZ15" i="19"/>
  <c r="CK14" i="19" s="1"/>
  <c r="CK4" i="19"/>
  <c r="AZ16" i="19"/>
  <c r="CK15" i="19" s="1"/>
  <c r="CK5" i="19"/>
  <c r="AZ38" i="19"/>
  <c r="CK37" i="19" s="1"/>
  <c r="DG71" i="19"/>
  <c r="AZ26" i="19"/>
  <c r="CK25" i="19" s="1"/>
  <c r="DG47" i="19"/>
  <c r="DG44" i="19"/>
  <c r="DG45" i="19"/>
  <c r="DG46" i="19"/>
  <c r="CK6" i="19"/>
  <c r="AZ17" i="19"/>
  <c r="CK16" i="19" s="1"/>
  <c r="AZ43" i="19"/>
  <c r="CK42" i="19" s="1"/>
  <c r="AP55" i="19"/>
  <c r="DG56" i="19"/>
  <c r="DG59" i="19"/>
  <c r="DG57" i="19"/>
  <c r="DG58" i="19"/>
  <c r="AZ27" i="19"/>
  <c r="CK26" i="19" s="1"/>
  <c r="DG51" i="19"/>
  <c r="DG48" i="19"/>
  <c r="DG49" i="19"/>
  <c r="DG50" i="19"/>
  <c r="AP56" i="19"/>
  <c r="AZ46" i="19"/>
  <c r="CK45" i="19" s="1"/>
  <c r="DG42" i="19"/>
  <c r="AZ14" i="19"/>
  <c r="CK13" i="19" s="1"/>
  <c r="CK3" i="19"/>
  <c r="AO11" i="16"/>
  <c r="AY11" i="16" s="1"/>
  <c r="CJ10" i="16" s="1"/>
  <c r="P41" i="16"/>
  <c r="AO35" i="16"/>
  <c r="AY35" i="16" s="1"/>
  <c r="CJ34" i="16" s="1"/>
  <c r="AY28" i="16"/>
  <c r="CJ27" i="16" s="1"/>
  <c r="AO55" i="16"/>
  <c r="AY43" i="16"/>
  <c r="CJ42" i="16" s="1"/>
  <c r="AO47" i="16"/>
  <c r="AO10" i="16"/>
  <c r="AY10" i="16" s="1"/>
  <c r="CJ9" i="16" s="1"/>
  <c r="AO15" i="16"/>
  <c r="AY5" i="16"/>
  <c r="AY14" i="16"/>
  <c r="CJ13" i="16" s="1"/>
  <c r="CJ3" i="16"/>
  <c r="AY27" i="16"/>
  <c r="CJ26" i="16" s="1"/>
  <c r="AO34" i="16"/>
  <c r="AY34" i="16" s="1"/>
  <c r="CJ33" i="16" s="1"/>
  <c r="AO17" i="16"/>
  <c r="AY7" i="16"/>
  <c r="AO16" i="16"/>
  <c r="AY6" i="16"/>
  <c r="S27" i="16"/>
  <c r="N41" i="16"/>
  <c r="AO46" i="16"/>
  <c r="AO54" i="16"/>
  <c r="AY42" i="16"/>
  <c r="CJ41" i="16" s="1"/>
  <c r="AO33" i="16"/>
  <c r="AY33" i="16" s="1"/>
  <c r="CJ32" i="16" s="1"/>
  <c r="AY26" i="16"/>
  <c r="CJ25" i="16" s="1"/>
  <c r="N40" i="16"/>
  <c r="Q33" i="16"/>
  <c r="W18" i="21" l="1"/>
  <c r="V31" i="21" s="1"/>
  <c r="DG66" i="19"/>
  <c r="AZ34" i="19"/>
  <c r="CK33" i="19" s="1"/>
  <c r="AZ47" i="19"/>
  <c r="CK46" i="19" s="1"/>
  <c r="AP57" i="19"/>
  <c r="DG68" i="19"/>
  <c r="DG67" i="19"/>
  <c r="AZ35" i="19"/>
  <c r="CK34" i="19" s="1"/>
  <c r="DG65" i="19"/>
  <c r="AZ33" i="19"/>
  <c r="CK32" i="19" s="1"/>
  <c r="AY47" i="16"/>
  <c r="CJ46" i="16" s="1"/>
  <c r="AO57" i="16"/>
  <c r="AY17" i="16"/>
  <c r="CJ16" i="16" s="1"/>
  <c r="CJ6" i="16"/>
  <c r="AY16" i="16"/>
  <c r="CJ15" i="16" s="1"/>
  <c r="CJ5" i="16"/>
  <c r="AY15" i="16"/>
  <c r="CJ14" i="16" s="1"/>
  <c r="CJ4" i="16"/>
  <c r="AY46" i="16"/>
  <c r="CJ45" i="16" s="1"/>
  <c r="AO56" i="16"/>
  <c r="CZ79" i="15" l="1"/>
  <c r="CZ78" i="15"/>
  <c r="CZ77" i="15"/>
  <c r="CZ76" i="15"/>
  <c r="CZ75" i="15"/>
  <c r="CZ73" i="15"/>
  <c r="CZ72" i="15"/>
  <c r="CZ71" i="15"/>
  <c r="CZ70" i="15"/>
  <c r="CZ68" i="15"/>
  <c r="CZ67" i="15"/>
  <c r="CZ66" i="15"/>
  <c r="CZ65" i="15"/>
  <c r="CZ63" i="15"/>
  <c r="CZ62" i="15"/>
  <c r="CZ61" i="15"/>
  <c r="CZ59" i="15"/>
  <c r="CZ58" i="15"/>
  <c r="CZ57" i="15"/>
  <c r="CZ56" i="15"/>
  <c r="AD59" i="15"/>
  <c r="AC59" i="15"/>
  <c r="CZ55" i="15"/>
  <c r="AD58" i="15"/>
  <c r="AC58" i="15"/>
  <c r="CZ54" i="15"/>
  <c r="AD57" i="15"/>
  <c r="AC57" i="15"/>
  <c r="CZ53" i="15"/>
  <c r="CZ52" i="15"/>
  <c r="AD55" i="15"/>
  <c r="T16" i="15" s="1"/>
  <c r="CZ51" i="15"/>
  <c r="CZ50" i="15"/>
  <c r="CD50" i="15"/>
  <c r="CL49" i="15" s="1"/>
  <c r="BP50" i="15"/>
  <c r="CK49" i="15" s="1"/>
  <c r="CZ49" i="15"/>
  <c r="CD49" i="15"/>
  <c r="BP49" i="15"/>
  <c r="AO49" i="15"/>
  <c r="AY49" i="15" s="1"/>
  <c r="CJ48" i="15" s="1"/>
  <c r="CZ48" i="15"/>
  <c r="CL48" i="15"/>
  <c r="CK48" i="15"/>
  <c r="CD48" i="15"/>
  <c r="BP48" i="15"/>
  <c r="CZ47" i="15"/>
  <c r="CL47" i="15"/>
  <c r="CK47" i="15"/>
  <c r="CD47" i="15"/>
  <c r="BP47" i="15"/>
  <c r="CK46" i="15" s="1"/>
  <c r="CZ46" i="15"/>
  <c r="CL46" i="15"/>
  <c r="CD46" i="15"/>
  <c r="CL45" i="15" s="1"/>
  <c r="BP46" i="15"/>
  <c r="CK45" i="15" s="1"/>
  <c r="CZ45" i="15"/>
  <c r="CD45" i="15"/>
  <c r="BP45" i="15"/>
  <c r="C45" i="15"/>
  <c r="CZ44" i="15"/>
  <c r="CL44" i="15"/>
  <c r="CK44" i="15"/>
  <c r="CD44" i="15"/>
  <c r="CL43" i="15" s="1"/>
  <c r="BP44" i="15"/>
  <c r="CK43" i="15" s="1"/>
  <c r="CD43" i="15"/>
  <c r="BP43" i="15"/>
  <c r="CZ42" i="15"/>
  <c r="CL42" i="15"/>
  <c r="CK42" i="15"/>
  <c r="CD42" i="15"/>
  <c r="CL41" i="15" s="1"/>
  <c r="BP42" i="15"/>
  <c r="CK41" i="15" s="1"/>
  <c r="C42" i="15"/>
  <c r="CZ41" i="15"/>
  <c r="CZ40" i="15"/>
  <c r="CD40" i="15"/>
  <c r="CL39" i="15" s="1"/>
  <c r="BP40" i="15"/>
  <c r="AQ40" i="15"/>
  <c r="CZ39" i="15"/>
  <c r="CK39" i="15"/>
  <c r="CD39" i="15"/>
  <c r="BP39" i="15"/>
  <c r="CZ38" i="15"/>
  <c r="CL38" i="15"/>
  <c r="CK38" i="15"/>
  <c r="CD38" i="15"/>
  <c r="BP38" i="15"/>
  <c r="CZ37" i="15"/>
  <c r="CL37" i="15"/>
  <c r="CK37" i="15"/>
  <c r="CD37" i="15"/>
  <c r="BP37" i="15"/>
  <c r="CK36" i="15" s="1"/>
  <c r="N37" i="15"/>
  <c r="CZ36" i="15"/>
  <c r="CL36" i="15"/>
  <c r="G36" i="15"/>
  <c r="B36" i="15" s="1"/>
  <c r="CZ35" i="15"/>
  <c r="CD35" i="15"/>
  <c r="CL34" i="15" s="1"/>
  <c r="BP35" i="15"/>
  <c r="CK34" i="15" s="1"/>
  <c r="CZ34" i="15"/>
  <c r="CD34" i="15"/>
  <c r="BP34" i="15"/>
  <c r="CZ33" i="15"/>
  <c r="CL33" i="15"/>
  <c r="CK33" i="15"/>
  <c r="CD33" i="15"/>
  <c r="CL32" i="15" s="1"/>
  <c r="BP33" i="15"/>
  <c r="CK32" i="15" s="1"/>
  <c r="CZ32" i="15"/>
  <c r="CD32" i="15"/>
  <c r="CL31" i="15" s="1"/>
  <c r="BP32" i="15"/>
  <c r="CK31" i="15"/>
  <c r="CD31" i="15"/>
  <c r="BP31" i="15"/>
  <c r="CZ30" i="15"/>
  <c r="CL30" i="15"/>
  <c r="CK30" i="15"/>
  <c r="CD30" i="15"/>
  <c r="BP30" i="15"/>
  <c r="CZ29" i="15"/>
  <c r="CL29" i="15"/>
  <c r="CK29" i="15"/>
  <c r="P29" i="15"/>
  <c r="CZ28" i="15"/>
  <c r="CD28" i="15"/>
  <c r="BP28" i="15"/>
  <c r="CK27" i="15" s="1"/>
  <c r="CZ27" i="15"/>
  <c r="CL27" i="15"/>
  <c r="CD27" i="15"/>
  <c r="CL26" i="15" s="1"/>
  <c r="BP27" i="15"/>
  <c r="T26" i="15"/>
  <c r="AO48" i="15"/>
  <c r="AO50" i="15" s="1"/>
  <c r="AY50" i="15" s="1"/>
  <c r="CJ49" i="15" s="1"/>
  <c r="CK26" i="15"/>
  <c r="CD26" i="15"/>
  <c r="BP26" i="15"/>
  <c r="R26" i="15"/>
  <c r="P26" i="15"/>
  <c r="Q26" i="15" s="1"/>
  <c r="N26" i="15"/>
  <c r="B26" i="15"/>
  <c r="F17" i="15" s="1"/>
  <c r="CL25" i="15"/>
  <c r="CK25" i="15"/>
  <c r="N25" i="15"/>
  <c r="CZ24" i="15"/>
  <c r="CD24" i="15"/>
  <c r="BP24" i="15"/>
  <c r="P24" i="15"/>
  <c r="N24" i="15"/>
  <c r="R24" i="15" s="1"/>
  <c r="S24" i="15" s="1"/>
  <c r="CZ23" i="15"/>
  <c r="CL23" i="15"/>
  <c r="CK23" i="15"/>
  <c r="CD23" i="15"/>
  <c r="BP23" i="15"/>
  <c r="CK22" i="15" s="1"/>
  <c r="AQ23" i="15"/>
  <c r="T23" i="15"/>
  <c r="P23" i="15"/>
  <c r="Q23" i="15" s="1"/>
  <c r="B23" i="15"/>
  <c r="B24" i="15" s="1"/>
  <c r="CZ22" i="15"/>
  <c r="CL22" i="15"/>
  <c r="CD22" i="15"/>
  <c r="CL21" i="15" s="1"/>
  <c r="BP22" i="15"/>
  <c r="T22" i="15"/>
  <c r="P22" i="15"/>
  <c r="Q22" i="15" s="1"/>
  <c r="N22" i="15"/>
  <c r="R22" i="15" s="1"/>
  <c r="S22" i="15" s="1"/>
  <c r="CZ21" i="15"/>
  <c r="CK21" i="15"/>
  <c r="CD21" i="15"/>
  <c r="CL20" i="15" s="1"/>
  <c r="BP21" i="15"/>
  <c r="P21" i="15"/>
  <c r="CZ20" i="15"/>
  <c r="CK20" i="15"/>
  <c r="CD20" i="15"/>
  <c r="BP20" i="15"/>
  <c r="CZ19" i="15"/>
  <c r="CL19" i="15"/>
  <c r="CK19" i="15"/>
  <c r="CD19" i="15"/>
  <c r="BP19" i="15"/>
  <c r="CK18" i="15" s="1"/>
  <c r="B19" i="15"/>
  <c r="CZ18" i="15"/>
  <c r="CL18" i="15"/>
  <c r="F18" i="15"/>
  <c r="CZ17" i="15"/>
  <c r="CD17" i="15"/>
  <c r="BP17" i="15"/>
  <c r="CZ16" i="15"/>
  <c r="CL16" i="15"/>
  <c r="CK16" i="15"/>
  <c r="CD16" i="15"/>
  <c r="CL15" i="15" s="1"/>
  <c r="BP16" i="15"/>
  <c r="P16" i="15"/>
  <c r="Q16" i="15" s="1"/>
  <c r="N16" i="15"/>
  <c r="R16" i="15" s="1"/>
  <c r="S16" i="15" s="1"/>
  <c r="CZ15" i="15"/>
  <c r="CK15" i="15"/>
  <c r="CD15" i="15"/>
  <c r="CL14" i="15" s="1"/>
  <c r="BP15" i="15"/>
  <c r="R9" i="15"/>
  <c r="S9" i="15" s="1"/>
  <c r="CZ14" i="15"/>
  <c r="CK14" i="15"/>
  <c r="CD14" i="15"/>
  <c r="BP14" i="15"/>
  <c r="CK13" i="15" s="1"/>
  <c r="N14" i="15"/>
  <c r="CZ13" i="15"/>
  <c r="CL13" i="15"/>
  <c r="T20" i="15"/>
  <c r="P13" i="15"/>
  <c r="H13" i="15"/>
  <c r="CZ12" i="15"/>
  <c r="CD12" i="15"/>
  <c r="BP12" i="15"/>
  <c r="CK11" i="15" s="1"/>
  <c r="T12" i="15"/>
  <c r="P12" i="15"/>
  <c r="Q12" i="15" s="1"/>
  <c r="N12" i="15"/>
  <c r="R12" i="15" s="1"/>
  <c r="S12" i="15" s="1"/>
  <c r="H12" i="15"/>
  <c r="N23" i="15" s="1"/>
  <c r="R23" i="15" s="1"/>
  <c r="S23" i="15" s="1"/>
  <c r="CZ11" i="15"/>
  <c r="CL11" i="15"/>
  <c r="CD11" i="15"/>
  <c r="CL10" i="15" s="1"/>
  <c r="BP11" i="15"/>
  <c r="CK10" i="15" s="1"/>
  <c r="P11" i="15"/>
  <c r="H11" i="15"/>
  <c r="CZ10" i="15"/>
  <c r="CD10" i="15"/>
  <c r="CL9" i="15" s="1"/>
  <c r="BP10" i="15"/>
  <c r="T15" i="15"/>
  <c r="P10" i="15"/>
  <c r="Q10" i="15" s="1"/>
  <c r="H10" i="15"/>
  <c r="N21" i="15" s="1"/>
  <c r="CZ9" i="15"/>
  <c r="CK9" i="15"/>
  <c r="CD9" i="15"/>
  <c r="BP9" i="15"/>
  <c r="T9" i="15"/>
  <c r="H9" i="15"/>
  <c r="CZ8" i="15"/>
  <c r="CL8" i="15"/>
  <c r="CK8" i="15"/>
  <c r="H8" i="15"/>
  <c r="CZ7" i="15"/>
  <c r="CD7" i="15"/>
  <c r="BP7" i="15"/>
  <c r="H7" i="15"/>
  <c r="N11" i="15" s="1"/>
  <c r="B7" i="15"/>
  <c r="CZ6" i="15"/>
  <c r="CL6" i="15"/>
  <c r="CK6" i="15"/>
  <c r="CD6" i="15"/>
  <c r="BP6" i="15"/>
  <c r="H6" i="15"/>
  <c r="N10" i="15" s="1"/>
  <c r="T10" i="15" s="1"/>
  <c r="B6" i="15"/>
  <c r="CZ5" i="15"/>
  <c r="CL5" i="15"/>
  <c r="CK5" i="15"/>
  <c r="CD5" i="15"/>
  <c r="CL4" i="15" s="1"/>
  <c r="BP5" i="15"/>
  <c r="CK4" i="15" s="1"/>
  <c r="CD4" i="15"/>
  <c r="CL3" i="15" s="1"/>
  <c r="BP4" i="15"/>
  <c r="G4" i="15"/>
  <c r="B4" i="15"/>
  <c r="CK3" i="15"/>
  <c r="AY48" i="15" l="1"/>
  <c r="CJ47" i="15" s="1"/>
  <c r="Q21" i="15"/>
  <c r="P25" i="15"/>
  <c r="Q25" i="15" s="1"/>
  <c r="P15" i="15"/>
  <c r="Q15" i="15" s="1"/>
  <c r="P28" i="15"/>
  <c r="P27" i="15"/>
  <c r="F22" i="15"/>
  <c r="F20" i="15"/>
  <c r="Q34" i="15"/>
  <c r="F21" i="15"/>
  <c r="F12" i="15"/>
  <c r="R11" i="15"/>
  <c r="S11" i="15" s="1"/>
  <c r="T11" i="15"/>
  <c r="P18" i="15"/>
  <c r="P20" i="15"/>
  <c r="Q20" i="15" s="1"/>
  <c r="P19" i="15"/>
  <c r="P6" i="15"/>
  <c r="P17" i="15"/>
  <c r="T25" i="15"/>
  <c r="P8" i="15"/>
  <c r="F9" i="15"/>
  <c r="N13" i="15"/>
  <c r="F13" i="15"/>
  <c r="AO20" i="15"/>
  <c r="AY20" i="15" s="1"/>
  <c r="CJ19" i="15" s="1"/>
  <c r="R14" i="15"/>
  <c r="F6" i="15"/>
  <c r="G34" i="15"/>
  <c r="C43" i="15"/>
  <c r="B34" i="15"/>
  <c r="B8" i="15"/>
  <c r="P9" i="15"/>
  <c r="Q9" i="15" s="1"/>
  <c r="F10" i="15"/>
  <c r="R10" i="15"/>
  <c r="S10" i="15" s="1"/>
  <c r="AO24" i="15"/>
  <c r="AY24" i="15" s="1"/>
  <c r="CJ23" i="15" s="1"/>
  <c r="Z55" i="15"/>
  <c r="F11" i="15"/>
  <c r="T24" i="15"/>
  <c r="Q24" i="15"/>
  <c r="P7" i="15"/>
  <c r="S26" i="15"/>
  <c r="F7" i="15"/>
  <c r="F8" i="15"/>
  <c r="T21" i="15"/>
  <c r="R21" i="15"/>
  <c r="S21" i="15" s="1"/>
  <c r="Q11" i="15"/>
  <c r="R20" i="15"/>
  <c r="S20" i="15" s="1"/>
  <c r="AO44" i="15"/>
  <c r="AY44" i="15" s="1"/>
  <c r="CJ43" i="15" s="1"/>
  <c r="AO45" i="15"/>
  <c r="AY45" i="15" s="1"/>
  <c r="CJ44" i="15" s="1"/>
  <c r="T14" i="15"/>
  <c r="N39" i="15"/>
  <c r="F16" i="15"/>
  <c r="Q13" i="15"/>
  <c r="P14" i="15"/>
  <c r="Q14" i="15" s="1"/>
  <c r="P42" i="15" l="1"/>
  <c r="AO12" i="15"/>
  <c r="AY12" i="15" s="1"/>
  <c r="CJ11" i="15" s="1"/>
  <c r="G35" i="15"/>
  <c r="F24" i="15"/>
  <c r="N29" i="15"/>
  <c r="AO9" i="15"/>
  <c r="AY9" i="15" s="1"/>
  <c r="CJ8" i="15" s="1"/>
  <c r="B35" i="15"/>
  <c r="AO30" i="15" s="1"/>
  <c r="AY30" i="15" s="1"/>
  <c r="CJ29" i="15" s="1"/>
  <c r="T13" i="15"/>
  <c r="R13" i="15"/>
  <c r="S13" i="15" s="1"/>
  <c r="Q7" i="15"/>
  <c r="P31" i="15"/>
  <c r="P30" i="15"/>
  <c r="N7" i="15"/>
  <c r="N6" i="15"/>
  <c r="N17" i="15"/>
  <c r="Q17" i="15" s="1"/>
  <c r="N18" i="15"/>
  <c r="R25" i="15"/>
  <c r="S25" i="15" s="1"/>
  <c r="R15" i="15"/>
  <c r="S15" i="15" s="1"/>
  <c r="Q6" i="15"/>
  <c r="N36" i="15"/>
  <c r="N42" i="15"/>
  <c r="S14" i="15"/>
  <c r="AE56" i="6"/>
  <c r="AD56" i="6"/>
  <c r="AE55" i="6"/>
  <c r="AD55" i="6"/>
  <c r="AE54" i="6"/>
  <c r="AE52" i="6" s="1"/>
  <c r="AD54" i="6"/>
  <c r="O16" i="6"/>
  <c r="O25" i="6"/>
  <c r="O26" i="6"/>
  <c r="E5" i="3"/>
  <c r="B16" i="3" s="1"/>
  <c r="AA52" i="6" l="1"/>
  <c r="Q31" i="15"/>
  <c r="T18" i="15"/>
  <c r="R18" i="15"/>
  <c r="S18" i="15" s="1"/>
  <c r="N31" i="15"/>
  <c r="Q18" i="15"/>
  <c r="N19" i="15"/>
  <c r="R17" i="15"/>
  <c r="S17" i="15" s="1"/>
  <c r="AO26" i="15"/>
  <c r="AO40" i="15"/>
  <c r="AY40" i="15" s="1"/>
  <c r="CJ39" i="15" s="1"/>
  <c r="N28" i="15"/>
  <c r="T17" i="15"/>
  <c r="AO37" i="15"/>
  <c r="AY37" i="15" s="1"/>
  <c r="CJ36" i="15" s="1"/>
  <c r="N8" i="15"/>
  <c r="T6" i="15"/>
  <c r="B27" i="15"/>
  <c r="R6" i="15"/>
  <c r="R7" i="15"/>
  <c r="S7" i="15" s="1"/>
  <c r="T7" i="15"/>
  <c r="N30" i="15"/>
  <c r="Q30" i="15" s="1"/>
  <c r="R29" i="15"/>
  <c r="S29" i="15" s="1"/>
  <c r="T29" i="15"/>
  <c r="Q29" i="15"/>
  <c r="Q31" i="6" l="1"/>
  <c r="Q30" i="6"/>
  <c r="R8" i="15"/>
  <c r="S8" i="15" s="1"/>
  <c r="T8" i="15"/>
  <c r="AO10" i="15" s="1"/>
  <c r="AY10" i="15" s="1"/>
  <c r="CJ9" i="15" s="1"/>
  <c r="Q8" i="15"/>
  <c r="AO6" i="15"/>
  <c r="AO19" i="15"/>
  <c r="AY19" i="15" s="1"/>
  <c r="CJ18" i="15" s="1"/>
  <c r="AO33" i="15"/>
  <c r="AY33" i="15" s="1"/>
  <c r="CJ32" i="15" s="1"/>
  <c r="AY26" i="15"/>
  <c r="CJ25" i="15" s="1"/>
  <c r="N27" i="15"/>
  <c r="AO23" i="15"/>
  <c r="AY23" i="15" s="1"/>
  <c r="CJ22" i="15" s="1"/>
  <c r="T28" i="15"/>
  <c r="AO32" i="15" s="1"/>
  <c r="AY32" i="15" s="1"/>
  <c r="CJ31" i="15" s="1"/>
  <c r="R28" i="15"/>
  <c r="S28" i="15" s="1"/>
  <c r="AO27" i="15"/>
  <c r="AO38" i="15"/>
  <c r="AY38" i="15" s="1"/>
  <c r="CJ37" i="15" s="1"/>
  <c r="Q28" i="15"/>
  <c r="R30" i="15"/>
  <c r="S30" i="15" s="1"/>
  <c r="T30" i="15"/>
  <c r="N40" i="15"/>
  <c r="S6" i="15"/>
  <c r="P40" i="15"/>
  <c r="AO28" i="15"/>
  <c r="AO43" i="15"/>
  <c r="T19" i="15"/>
  <c r="AO31" i="15" s="1"/>
  <c r="AY31" i="15" s="1"/>
  <c r="CJ30" i="15" s="1"/>
  <c r="R19" i="15"/>
  <c r="S19" i="15" s="1"/>
  <c r="Q19" i="15"/>
  <c r="R31" i="15"/>
  <c r="S31" i="15" s="1"/>
  <c r="T31" i="15"/>
  <c r="AO16" i="15" l="1"/>
  <c r="AY6" i="15"/>
  <c r="AY27" i="15"/>
  <c r="CJ26" i="15" s="1"/>
  <c r="AO34" i="15"/>
  <c r="AY34" i="15" s="1"/>
  <c r="CJ33" i="15" s="1"/>
  <c r="AO5" i="15"/>
  <c r="T27" i="15"/>
  <c r="R27" i="15"/>
  <c r="AO21" i="15"/>
  <c r="AY21" i="15" s="1"/>
  <c r="CJ20" i="15" s="1"/>
  <c r="Q27" i="15"/>
  <c r="AO42" i="15"/>
  <c r="AO35" i="15"/>
  <c r="AY35" i="15" s="1"/>
  <c r="CJ34" i="15" s="1"/>
  <c r="AY28" i="15"/>
  <c r="CJ27" i="15" s="1"/>
  <c r="Q33" i="15"/>
  <c r="N35" i="15"/>
  <c r="AO47" i="15"/>
  <c r="AO55" i="15"/>
  <c r="AY43" i="15"/>
  <c r="CJ42" i="15" s="1"/>
  <c r="AO7" i="15"/>
  <c r="AO4" i="15"/>
  <c r="F34" i="3"/>
  <c r="E34" i="3"/>
  <c r="S27" i="15" l="1"/>
  <c r="N41" i="15"/>
  <c r="AO11" i="15"/>
  <c r="AY11" i="15" s="1"/>
  <c r="CJ10" i="15" s="1"/>
  <c r="P41" i="15"/>
  <c r="CJ5" i="15"/>
  <c r="AY16" i="15"/>
  <c r="CJ15" i="15" s="1"/>
  <c r="AY4" i="15"/>
  <c r="AO14" i="15"/>
  <c r="AY47" i="15"/>
  <c r="CJ46" i="15" s="1"/>
  <c r="AO57" i="15"/>
  <c r="AO17" i="15"/>
  <c r="AY7" i="15"/>
  <c r="AO46" i="15"/>
  <c r="AY42" i="15"/>
  <c r="CJ41" i="15" s="1"/>
  <c r="AO54" i="15"/>
  <c r="AO15" i="15"/>
  <c r="AY5" i="15"/>
  <c r="B34" i="3"/>
  <c r="AY17" i="15" l="1"/>
  <c r="CJ16" i="15" s="1"/>
  <c r="CJ6" i="15"/>
  <c r="CJ3" i="15"/>
  <c r="AY14" i="15"/>
  <c r="CJ13" i="15" s="1"/>
  <c r="AY15" i="15"/>
  <c r="CJ14" i="15" s="1"/>
  <c r="CJ4" i="15"/>
  <c r="AO56" i="15"/>
  <c r="AY46" i="15"/>
  <c r="CJ45" i="15" s="1"/>
  <c r="DA28" i="6"/>
  <c r="DA29" i="6"/>
  <c r="DA30" i="6"/>
  <c r="DA76" i="6" l="1"/>
  <c r="DA75" i="6"/>
  <c r="DA73" i="6"/>
  <c r="DA71" i="6"/>
  <c r="DA72" i="6"/>
  <c r="DA70" i="6"/>
  <c r="DA66" i="6"/>
  <c r="DA67" i="6"/>
  <c r="DA68" i="6"/>
  <c r="DA65" i="6"/>
  <c r="DA62" i="6"/>
  <c r="DA63" i="6"/>
  <c r="DA61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44" i="6"/>
  <c r="DA39" i="6"/>
  <c r="DA40" i="6"/>
  <c r="DA41" i="6"/>
  <c r="DA42" i="6"/>
  <c r="DA38" i="6"/>
  <c r="DA37" i="6"/>
  <c r="DA36" i="6"/>
  <c r="DA33" i="6"/>
  <c r="DA34" i="6"/>
  <c r="DA35" i="6"/>
  <c r="DA32" i="6"/>
  <c r="DA24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5" i="6"/>
  <c r="B4" i="6" l="1"/>
  <c r="B6" i="6"/>
  <c r="B23" i="6" s="1"/>
  <c r="B24" i="6" s="1"/>
  <c r="B19" i="6"/>
  <c r="B26" i="6"/>
  <c r="AD7" i="6"/>
  <c r="AE7" i="6"/>
  <c r="AA8" i="6"/>
  <c r="AE8" i="6"/>
  <c r="AD9" i="6"/>
  <c r="AE9" i="6"/>
  <c r="Q10" i="6"/>
  <c r="AD10" i="6"/>
  <c r="AE10" i="6"/>
  <c r="AG5" i="6" s="1"/>
  <c r="F17" i="6" l="1"/>
  <c r="F16" i="6"/>
  <c r="AA5" i="6"/>
  <c r="AE5" i="6"/>
  <c r="F18" i="6"/>
  <c r="BQ50" i="6"/>
  <c r="CL49" i="6" s="1"/>
  <c r="BQ49" i="6"/>
  <c r="CL48" i="6" s="1"/>
  <c r="BQ48" i="6"/>
  <c r="CL47" i="6" s="1"/>
  <c r="BQ47" i="6"/>
  <c r="CL46" i="6" s="1"/>
  <c r="BQ46" i="6"/>
  <c r="CL45" i="6" s="1"/>
  <c r="BQ45" i="6"/>
  <c r="CL44" i="6" s="1"/>
  <c r="BQ44" i="6"/>
  <c r="CL43" i="6" s="1"/>
  <c r="BQ43" i="6"/>
  <c r="CL42" i="6" s="1"/>
  <c r="BQ42" i="6"/>
  <c r="CL41" i="6" s="1"/>
  <c r="BQ40" i="6"/>
  <c r="CL39" i="6" s="1"/>
  <c r="BQ38" i="6"/>
  <c r="CL37" i="6" s="1"/>
  <c r="BQ39" i="6"/>
  <c r="CL38" i="6" s="1"/>
  <c r="BQ37" i="6"/>
  <c r="CL36" i="6" s="1"/>
  <c r="BQ34" i="6"/>
  <c r="CL33" i="6" s="1"/>
  <c r="BQ35" i="6"/>
  <c r="CL34" i="6" s="1"/>
  <c r="BQ33" i="6"/>
  <c r="CL32" i="6" s="1"/>
  <c r="BQ31" i="6"/>
  <c r="CL30" i="6" s="1"/>
  <c r="BQ32" i="6"/>
  <c r="CL31" i="6" s="1"/>
  <c r="BQ30" i="6"/>
  <c r="CL29" i="6" s="1"/>
  <c r="BQ27" i="6"/>
  <c r="CL26" i="6" s="1"/>
  <c r="BQ28" i="6"/>
  <c r="CL27" i="6" s="1"/>
  <c r="BQ26" i="6"/>
  <c r="CL25" i="6" s="1"/>
  <c r="BQ23" i="6"/>
  <c r="CL22" i="6" s="1"/>
  <c r="BQ24" i="6"/>
  <c r="CL23" i="6" s="1"/>
  <c r="BQ20" i="6"/>
  <c r="CL19" i="6" s="1"/>
  <c r="BQ21" i="6"/>
  <c r="CL20" i="6" s="1"/>
  <c r="BQ22" i="6"/>
  <c r="CL21" i="6" s="1"/>
  <c r="BQ19" i="6"/>
  <c r="CL18" i="6" s="1"/>
  <c r="BQ15" i="6"/>
  <c r="CL14" i="6" s="1"/>
  <c r="BQ16" i="6"/>
  <c r="CL15" i="6" s="1"/>
  <c r="BQ17" i="6"/>
  <c r="CL16" i="6" s="1"/>
  <c r="BQ14" i="6"/>
  <c r="CL13" i="6" s="1"/>
  <c r="BQ12" i="6"/>
  <c r="CL11" i="6" s="1"/>
  <c r="BQ10" i="6"/>
  <c r="CL9" i="6" s="1"/>
  <c r="BQ11" i="6"/>
  <c r="CL10" i="6" s="1"/>
  <c r="BQ9" i="6"/>
  <c r="CL8" i="6" s="1"/>
  <c r="BQ5" i="6"/>
  <c r="CL4" i="6" s="1"/>
  <c r="BQ6" i="6"/>
  <c r="CL5" i="6" s="1"/>
  <c r="BQ7" i="6"/>
  <c r="CL6" i="6" s="1"/>
  <c r="BQ4" i="6"/>
  <c r="CL3" i="6" s="1"/>
  <c r="CE49" i="6" l="1"/>
  <c r="CM48" i="6" s="1"/>
  <c r="CE50" i="6"/>
  <c r="CM49" i="6" s="1"/>
  <c r="CE48" i="6"/>
  <c r="CM47" i="6" s="1"/>
  <c r="CE47" i="6"/>
  <c r="CM46" i="6" s="1"/>
  <c r="CE46" i="6"/>
  <c r="CM45" i="6" s="1"/>
  <c r="CE45" i="6"/>
  <c r="CM44" i="6" s="1"/>
  <c r="CE44" i="6"/>
  <c r="CM43" i="6" s="1"/>
  <c r="CE43" i="6"/>
  <c r="CM42" i="6" s="1"/>
  <c r="CE42" i="6"/>
  <c r="CM41" i="6" s="1"/>
  <c r="CE40" i="6"/>
  <c r="CM39" i="6" s="1"/>
  <c r="CE38" i="6"/>
  <c r="CM37" i="6" s="1"/>
  <c r="CE39" i="6"/>
  <c r="CM38" i="6" s="1"/>
  <c r="CE37" i="6"/>
  <c r="CM36" i="6" s="1"/>
  <c r="CE34" i="6"/>
  <c r="CM33" i="6" s="1"/>
  <c r="CE35" i="6"/>
  <c r="CM34" i="6" s="1"/>
  <c r="CE33" i="6"/>
  <c r="CM32" i="6" s="1"/>
  <c r="CE31" i="6"/>
  <c r="CM30" i="6" s="1"/>
  <c r="CE32" i="6"/>
  <c r="CM31" i="6" s="1"/>
  <c r="CE30" i="6"/>
  <c r="CM29" i="6" s="1"/>
  <c r="CE27" i="6"/>
  <c r="CM26" i="6" s="1"/>
  <c r="CE28" i="6"/>
  <c r="CM27" i="6" s="1"/>
  <c r="CE26" i="6"/>
  <c r="CM25" i="6" s="1"/>
  <c r="CE24" i="6"/>
  <c r="CM23" i="6" s="1"/>
  <c r="CE23" i="6"/>
  <c r="CM22" i="6" s="1"/>
  <c r="CE20" i="6"/>
  <c r="CM19" i="6" s="1"/>
  <c r="CE21" i="6"/>
  <c r="CM20" i="6" s="1"/>
  <c r="CE22" i="6"/>
  <c r="CM21" i="6" s="1"/>
  <c r="CE19" i="6"/>
  <c r="CM18" i="6" s="1"/>
  <c r="CE15" i="6"/>
  <c r="CM14" i="6" s="1"/>
  <c r="CE16" i="6"/>
  <c r="CM15" i="6" s="1"/>
  <c r="CE17" i="6"/>
  <c r="CM16" i="6" s="1"/>
  <c r="CE14" i="6"/>
  <c r="CM13" i="6" s="1"/>
  <c r="CE12" i="6"/>
  <c r="CM11" i="6" s="1"/>
  <c r="CE10" i="6"/>
  <c r="CM9" i="6" s="1"/>
  <c r="CE11" i="6"/>
  <c r="CM10" i="6" s="1"/>
  <c r="CE9" i="6"/>
  <c r="CM8" i="6" s="1"/>
  <c r="CE5" i="6"/>
  <c r="CM4" i="6" s="1"/>
  <c r="CE6" i="6"/>
  <c r="CM5" i="6" s="1"/>
  <c r="CE7" i="6"/>
  <c r="CM6" i="6" s="1"/>
  <c r="CE4" i="6"/>
  <c r="CM3" i="6" s="1"/>
  <c r="AR40" i="6" l="1"/>
  <c r="AR23" i="6"/>
  <c r="AD50" i="6" l="1"/>
  <c r="B48" i="7" l="1"/>
  <c r="B22" i="7"/>
  <c r="D22" i="7" s="1"/>
  <c r="B14" i="3"/>
  <c r="B10" i="3"/>
  <c r="D15" i="3" l="1"/>
  <c r="B17" i="3"/>
  <c r="B19" i="3" s="1"/>
  <c r="B20" i="3" s="1"/>
  <c r="E15" i="3"/>
  <c r="B7" i="6"/>
  <c r="C22" i="7"/>
  <c r="F22" i="7"/>
  <c r="B127" i="7"/>
  <c r="P12" i="1"/>
  <c r="B776" i="7"/>
  <c r="B778" i="7" s="1"/>
  <c r="B777" i="7" s="1"/>
  <c r="B768" i="7"/>
  <c r="G768" i="7" s="1"/>
  <c r="B764" i="7"/>
  <c r="B761" i="7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K749" i="7" s="1"/>
  <c r="J748" i="7"/>
  <c r="I748" i="7"/>
  <c r="F748" i="7"/>
  <c r="E748" i="7"/>
  <c r="D748" i="7"/>
  <c r="H748" i="7" s="1"/>
  <c r="C748" i="7"/>
  <c r="G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K745" i="7"/>
  <c r="J745" i="7"/>
  <c r="I745" i="7"/>
  <c r="F745" i="7"/>
  <c r="E745" i="7"/>
  <c r="D745" i="7"/>
  <c r="H745" i="7" s="1"/>
  <c r="C745" i="7"/>
  <c r="G745" i="7" s="1"/>
  <c r="J744" i="7"/>
  <c r="I744" i="7"/>
  <c r="F744" i="7"/>
  <c r="E744" i="7"/>
  <c r="D744" i="7"/>
  <c r="H744" i="7" s="1"/>
  <c r="C744" i="7"/>
  <c r="G744" i="7" s="1"/>
  <c r="J743" i="7"/>
  <c r="I743" i="7"/>
  <c r="F743" i="7"/>
  <c r="E743" i="7"/>
  <c r="D743" i="7"/>
  <c r="H743" i="7" s="1"/>
  <c r="C743" i="7"/>
  <c r="G743" i="7" s="1"/>
  <c r="K743" i="7" s="1"/>
  <c r="J742" i="7"/>
  <c r="I742" i="7"/>
  <c r="F742" i="7"/>
  <c r="E742" i="7"/>
  <c r="D742" i="7"/>
  <c r="H742" i="7" s="1"/>
  <c r="C742" i="7"/>
  <c r="G742" i="7" s="1"/>
  <c r="J741" i="7"/>
  <c r="I741" i="7"/>
  <c r="F741" i="7"/>
  <c r="E741" i="7"/>
  <c r="D741" i="7"/>
  <c r="H741" i="7" s="1"/>
  <c r="C741" i="7"/>
  <c r="G741" i="7" s="1"/>
  <c r="K741" i="7" s="1"/>
  <c r="J740" i="7"/>
  <c r="I740" i="7"/>
  <c r="F740" i="7"/>
  <c r="E740" i="7"/>
  <c r="D740" i="7"/>
  <c r="H740" i="7" s="1"/>
  <c r="C740" i="7"/>
  <c r="G740" i="7" s="1"/>
  <c r="J739" i="7"/>
  <c r="I739" i="7"/>
  <c r="F739" i="7"/>
  <c r="E739" i="7"/>
  <c r="D739" i="7"/>
  <c r="H739" i="7" s="1"/>
  <c r="C739" i="7"/>
  <c r="G739" i="7" s="1"/>
  <c r="M731" i="7"/>
  <c r="N731" i="7" s="1"/>
  <c r="H731" i="7" s="1"/>
  <c r="G731" i="7"/>
  <c r="F731" i="7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703" i="7"/>
  <c r="B697" i="7"/>
  <c r="B699" i="7" s="1"/>
  <c r="B698" i="7" s="1"/>
  <c r="G689" i="7"/>
  <c r="B689" i="7"/>
  <c r="B691" i="7" s="1"/>
  <c r="B692" i="7" s="1"/>
  <c r="B685" i="7"/>
  <c r="B682" i="7"/>
  <c r="J661" i="7"/>
  <c r="I661" i="7"/>
  <c r="F661" i="7"/>
  <c r="E661" i="7"/>
  <c r="D661" i="7"/>
  <c r="H661" i="7" s="1"/>
  <c r="C661" i="7"/>
  <c r="G661" i="7" s="1"/>
  <c r="K661" i="7" s="1"/>
  <c r="J660" i="7"/>
  <c r="I660" i="7"/>
  <c r="F660" i="7"/>
  <c r="E660" i="7"/>
  <c r="D660" i="7"/>
  <c r="H660" i="7" s="1"/>
  <c r="C660" i="7"/>
  <c r="G660" i="7" s="1"/>
  <c r="L652" i="7"/>
  <c r="G652" i="7"/>
  <c r="F652" i="7"/>
  <c r="M652" i="7" s="1"/>
  <c r="N652" i="7" s="1"/>
  <c r="H652" i="7" s="1"/>
  <c r="E652" i="7"/>
  <c r="D652" i="7"/>
  <c r="C652" i="7"/>
  <c r="I652" i="7" s="1"/>
  <c r="H637" i="7"/>
  <c r="G637" i="7"/>
  <c r="F637" i="7"/>
  <c r="E637" i="7"/>
  <c r="D637" i="7"/>
  <c r="C637" i="7"/>
  <c r="H636" i="7"/>
  <c r="B673" i="7" s="1"/>
  <c r="G636" i="7"/>
  <c r="F636" i="7"/>
  <c r="E636" i="7"/>
  <c r="D636" i="7"/>
  <c r="C636" i="7"/>
  <c r="B618" i="7"/>
  <c r="B620" i="7" s="1"/>
  <c r="B619" i="7" s="1"/>
  <c r="B610" i="7"/>
  <c r="B606" i="7"/>
  <c r="B607" i="7" s="1"/>
  <c r="B603" i="7"/>
  <c r="J583" i="7"/>
  <c r="I583" i="7"/>
  <c r="F583" i="7"/>
  <c r="E583" i="7"/>
  <c r="D583" i="7"/>
  <c r="H583" i="7" s="1"/>
  <c r="C583" i="7"/>
  <c r="G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K581" i="7" s="1"/>
  <c r="M573" i="7"/>
  <c r="N573" i="7" s="1"/>
  <c r="H573" i="7" s="1"/>
  <c r="I573" i="7"/>
  <c r="L573" i="7" s="1"/>
  <c r="G573" i="7"/>
  <c r="F573" i="7"/>
  <c r="E573" i="7"/>
  <c r="D573" i="7"/>
  <c r="C573" i="7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B624" i="7" s="1"/>
  <c r="G557" i="7"/>
  <c r="F557" i="7"/>
  <c r="E557" i="7"/>
  <c r="D557" i="7"/>
  <c r="C557" i="7"/>
  <c r="B541" i="7"/>
  <c r="B540" i="7"/>
  <c r="B539" i="7"/>
  <c r="B528" i="7"/>
  <c r="B527" i="7"/>
  <c r="B524" i="7"/>
  <c r="B531" i="7" s="1"/>
  <c r="B533" i="7" s="1"/>
  <c r="B534" i="7" s="1"/>
  <c r="J504" i="7"/>
  <c r="I504" i="7"/>
  <c r="F504" i="7"/>
  <c r="E504" i="7"/>
  <c r="D504" i="7"/>
  <c r="H504" i="7" s="1"/>
  <c r="C504" i="7"/>
  <c r="G504" i="7" s="1"/>
  <c r="J503" i="7"/>
  <c r="I503" i="7"/>
  <c r="F503" i="7"/>
  <c r="E503" i="7"/>
  <c r="D503" i="7"/>
  <c r="H503" i="7" s="1"/>
  <c r="C503" i="7"/>
  <c r="G503" i="7" s="1"/>
  <c r="K503" i="7" s="1"/>
  <c r="J502" i="7"/>
  <c r="I502" i="7"/>
  <c r="F502" i="7"/>
  <c r="E502" i="7"/>
  <c r="D502" i="7"/>
  <c r="H502" i="7" s="1"/>
  <c r="C502" i="7"/>
  <c r="G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3" i="7"/>
  <c r="B462" i="7" s="1"/>
  <c r="B461" i="7"/>
  <c r="B455" i="7"/>
  <c r="B456" i="7" s="1"/>
  <c r="B453" i="7"/>
  <c r="G453" i="7" s="1"/>
  <c r="B449" i="7"/>
  <c r="B450" i="7" s="1"/>
  <c r="B446" i="7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3" i="7"/>
  <c r="B385" i="7" s="1"/>
  <c r="B384" i="7" s="1"/>
  <c r="B372" i="7"/>
  <c r="B371" i="7"/>
  <c r="B368" i="7"/>
  <c r="B375" i="7" s="1"/>
  <c r="J350" i="7"/>
  <c r="I350" i="7"/>
  <c r="H350" i="7"/>
  <c r="F350" i="7"/>
  <c r="E350" i="7"/>
  <c r="D350" i="7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K347" i="7" s="1"/>
  <c r="J346" i="7"/>
  <c r="I346" i="7"/>
  <c r="F346" i="7"/>
  <c r="E346" i="7"/>
  <c r="D346" i="7"/>
  <c r="H346" i="7" s="1"/>
  <c r="C346" i="7"/>
  <c r="G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6" i="7"/>
  <c r="B305" i="7" s="1"/>
  <c r="B304" i="7"/>
  <c r="B292" i="7"/>
  <c r="B289" i="7"/>
  <c r="B296" i="7" s="1"/>
  <c r="G296" i="7" s="1"/>
  <c r="J270" i="7"/>
  <c r="I270" i="7"/>
  <c r="F270" i="7"/>
  <c r="E270" i="7"/>
  <c r="D270" i="7"/>
  <c r="H270" i="7" s="1"/>
  <c r="C270" i="7"/>
  <c r="G270" i="7" s="1"/>
  <c r="K269" i="7"/>
  <c r="J269" i="7"/>
  <c r="I269" i="7"/>
  <c r="F269" i="7"/>
  <c r="E269" i="7"/>
  <c r="D269" i="7"/>
  <c r="H269" i="7" s="1"/>
  <c r="C269" i="7"/>
  <c r="G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7" i="7"/>
  <c r="B219" i="7" s="1"/>
  <c r="B220" i="7" s="1"/>
  <c r="B213" i="7"/>
  <c r="B210" i="7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M180" i="7"/>
  <c r="I180" i="7"/>
  <c r="L180" i="7" s="1"/>
  <c r="N180" i="7" s="1"/>
  <c r="H180" i="7" s="1"/>
  <c r="G180" i="7"/>
  <c r="F180" i="7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D28" i="7"/>
  <c r="C28" i="7"/>
  <c r="B21" i="7"/>
  <c r="E21" i="7" s="1"/>
  <c r="B19" i="7"/>
  <c r="C19" i="7" s="1"/>
  <c r="B18" i="7"/>
  <c r="C18" i="7" s="1"/>
  <c r="B17" i="7"/>
  <c r="F17" i="7" s="1"/>
  <c r="B16" i="7"/>
  <c r="B15" i="7"/>
  <c r="F15" i="7" s="1"/>
  <c r="B14" i="7"/>
  <c r="B13" i="7"/>
  <c r="F13" i="7" s="1"/>
  <c r="V12" i="7"/>
  <c r="B12" i="7"/>
  <c r="C12" i="7" s="1"/>
  <c r="V11" i="7"/>
  <c r="V10" i="7"/>
  <c r="V9" i="7"/>
  <c r="V8" i="7"/>
  <c r="V7" i="7"/>
  <c r="AG49" i="6"/>
  <c r="U16" i="6" s="1"/>
  <c r="AE49" i="6"/>
  <c r="AE46" i="6"/>
  <c r="AD46" i="6"/>
  <c r="AE45" i="6"/>
  <c r="AD45" i="6"/>
  <c r="AE44" i="6"/>
  <c r="AD44" i="6"/>
  <c r="AE43" i="6"/>
  <c r="AD43" i="6"/>
  <c r="C42" i="6"/>
  <c r="AE42" i="6"/>
  <c r="AD42" i="6"/>
  <c r="G36" i="6"/>
  <c r="B36" i="6" s="1"/>
  <c r="AG35" i="6"/>
  <c r="AE35" i="6"/>
  <c r="AE32" i="6"/>
  <c r="AD32" i="6"/>
  <c r="AE31" i="6"/>
  <c r="AD31" i="6"/>
  <c r="AE30" i="6"/>
  <c r="AD30" i="6"/>
  <c r="AE29" i="6"/>
  <c r="AD29" i="6"/>
  <c r="AE25" i="6"/>
  <c r="AD25" i="6"/>
  <c r="AE24" i="6"/>
  <c r="AD24" i="6"/>
  <c r="Q24" i="6"/>
  <c r="G91" i="7" s="1"/>
  <c r="AE23" i="6"/>
  <c r="AD23" i="6"/>
  <c r="Q23" i="6"/>
  <c r="Q22" i="6"/>
  <c r="G89" i="7" s="1"/>
  <c r="Q21" i="6"/>
  <c r="AE19" i="6"/>
  <c r="AD19" i="6"/>
  <c r="AE18" i="6"/>
  <c r="AD18" i="6"/>
  <c r="AE17" i="6"/>
  <c r="AD17" i="6"/>
  <c r="AE16" i="6"/>
  <c r="Q16" i="6"/>
  <c r="AE15" i="6"/>
  <c r="AD15" i="6"/>
  <c r="Q13" i="6"/>
  <c r="Q12" i="6"/>
  <c r="Q11" i="6"/>
  <c r="U15" i="6"/>
  <c r="O39" i="6"/>
  <c r="B778" i="5"/>
  <c r="B777" i="5" s="1"/>
  <c r="B776" i="5"/>
  <c r="B764" i="5"/>
  <c r="B761" i="5"/>
  <c r="B768" i="5" s="1"/>
  <c r="G768" i="5" s="1"/>
  <c r="J750" i="5"/>
  <c r="I750" i="5"/>
  <c r="F750" i="5"/>
  <c r="E750" i="5"/>
  <c r="D750" i="5"/>
  <c r="H750" i="5" s="1"/>
  <c r="C750" i="5"/>
  <c r="G750" i="5" s="1"/>
  <c r="J749" i="5"/>
  <c r="I749" i="5"/>
  <c r="F749" i="5"/>
  <c r="E749" i="5"/>
  <c r="D749" i="5"/>
  <c r="H749" i="5" s="1"/>
  <c r="C749" i="5"/>
  <c r="G749" i="5" s="1"/>
  <c r="K749" i="5" s="1"/>
  <c r="J748" i="5"/>
  <c r="I748" i="5"/>
  <c r="H748" i="5"/>
  <c r="F748" i="5"/>
  <c r="E748" i="5"/>
  <c r="D748" i="5"/>
  <c r="C748" i="5"/>
  <c r="G748" i="5" s="1"/>
  <c r="K748" i="5" s="1"/>
  <c r="J747" i="5"/>
  <c r="I747" i="5"/>
  <c r="F747" i="5"/>
  <c r="E747" i="5"/>
  <c r="D747" i="5"/>
  <c r="H747" i="5" s="1"/>
  <c r="C747" i="5"/>
  <c r="G747" i="5" s="1"/>
  <c r="K747" i="5" s="1"/>
  <c r="J746" i="5"/>
  <c r="I746" i="5"/>
  <c r="F746" i="5"/>
  <c r="E746" i="5"/>
  <c r="D746" i="5"/>
  <c r="H746" i="5" s="1"/>
  <c r="C746" i="5"/>
  <c r="G746" i="5" s="1"/>
  <c r="K746" i="5" s="1"/>
  <c r="J745" i="5"/>
  <c r="I745" i="5"/>
  <c r="F745" i="5"/>
  <c r="E745" i="5"/>
  <c r="D745" i="5"/>
  <c r="H745" i="5" s="1"/>
  <c r="C745" i="5"/>
  <c r="G745" i="5" s="1"/>
  <c r="K745" i="5" s="1"/>
  <c r="J744" i="5"/>
  <c r="I744" i="5"/>
  <c r="F744" i="5"/>
  <c r="E744" i="5"/>
  <c r="D744" i="5"/>
  <c r="H744" i="5" s="1"/>
  <c r="C744" i="5"/>
  <c r="G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J741" i="5"/>
  <c r="I741" i="5"/>
  <c r="F741" i="5"/>
  <c r="E741" i="5"/>
  <c r="D741" i="5"/>
  <c r="H741" i="5" s="1"/>
  <c r="C741" i="5"/>
  <c r="G741" i="5" s="1"/>
  <c r="K741" i="5" s="1"/>
  <c r="J740" i="5"/>
  <c r="I740" i="5"/>
  <c r="H740" i="5"/>
  <c r="F740" i="5"/>
  <c r="E740" i="5"/>
  <c r="D740" i="5"/>
  <c r="C740" i="5"/>
  <c r="G740" i="5" s="1"/>
  <c r="K740" i="5" s="1"/>
  <c r="J739" i="5"/>
  <c r="I739" i="5"/>
  <c r="F739" i="5"/>
  <c r="E739" i="5"/>
  <c r="D739" i="5"/>
  <c r="H739" i="5" s="1"/>
  <c r="C739" i="5"/>
  <c r="G739" i="5" s="1"/>
  <c r="K739" i="5" s="1"/>
  <c r="B752" i="5" s="1"/>
  <c r="M731" i="5"/>
  <c r="G731" i="5"/>
  <c r="F731" i="5"/>
  <c r="E731" i="5"/>
  <c r="D731" i="5"/>
  <c r="C731" i="5"/>
  <c r="I731" i="5" s="1"/>
  <c r="L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92" i="5"/>
  <c r="G689" i="5"/>
  <c r="B689" i="5"/>
  <c r="B691" i="5" s="1"/>
  <c r="B685" i="5"/>
  <c r="B682" i="5"/>
  <c r="K661" i="5"/>
  <c r="J661" i="5"/>
  <c r="I661" i="5"/>
  <c r="F661" i="5"/>
  <c r="E661" i="5"/>
  <c r="D661" i="5"/>
  <c r="H661" i="5" s="1"/>
  <c r="C661" i="5"/>
  <c r="G661" i="5" s="1"/>
  <c r="J660" i="5"/>
  <c r="I660" i="5"/>
  <c r="H660" i="5"/>
  <c r="F660" i="5"/>
  <c r="E660" i="5"/>
  <c r="D660" i="5"/>
  <c r="C660" i="5"/>
  <c r="G660" i="5" s="1"/>
  <c r="K660" i="5" s="1"/>
  <c r="G652" i="5"/>
  <c r="F652" i="5"/>
  <c r="M652" i="5" s="1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B673" i="5" s="1"/>
  <c r="G636" i="5"/>
  <c r="F636" i="5"/>
  <c r="E636" i="5"/>
  <c r="D636" i="5"/>
  <c r="C636" i="5"/>
  <c r="B618" i="5"/>
  <c r="B620" i="5" s="1"/>
  <c r="B619" i="5" s="1"/>
  <c r="B610" i="5"/>
  <c r="B606" i="5"/>
  <c r="B607" i="5" s="1"/>
  <c r="B603" i="5"/>
  <c r="J583" i="5"/>
  <c r="I583" i="5"/>
  <c r="F583" i="5"/>
  <c r="E583" i="5"/>
  <c r="D583" i="5"/>
  <c r="H583" i="5" s="1"/>
  <c r="C583" i="5"/>
  <c r="G583" i="5" s="1"/>
  <c r="K583" i="5" s="1"/>
  <c r="J582" i="5"/>
  <c r="I582" i="5"/>
  <c r="F582" i="5"/>
  <c r="E582" i="5"/>
  <c r="D582" i="5"/>
  <c r="H582" i="5" s="1"/>
  <c r="C582" i="5"/>
  <c r="G582" i="5" s="1"/>
  <c r="K582" i="5" s="1"/>
  <c r="J581" i="5"/>
  <c r="I581" i="5"/>
  <c r="F581" i="5"/>
  <c r="E581" i="5"/>
  <c r="D581" i="5"/>
  <c r="H581" i="5" s="1"/>
  <c r="C581" i="5"/>
  <c r="G581" i="5" s="1"/>
  <c r="K581" i="5" s="1"/>
  <c r="M573" i="5"/>
  <c r="I573" i="5"/>
  <c r="L573" i="5" s="1"/>
  <c r="G573" i="5"/>
  <c r="F573" i="5"/>
  <c r="E573" i="5"/>
  <c r="D573" i="5"/>
  <c r="C573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B594" i="5" s="1"/>
  <c r="B624" i="5" s="1"/>
  <c r="G557" i="5"/>
  <c r="F557" i="5"/>
  <c r="E557" i="5"/>
  <c r="D557" i="5"/>
  <c r="C557" i="5"/>
  <c r="B541" i="5"/>
  <c r="B540" i="5"/>
  <c r="B539" i="5"/>
  <c r="B528" i="5"/>
  <c r="B527" i="5"/>
  <c r="B524" i="5"/>
  <c r="B531" i="5" s="1"/>
  <c r="B533" i="5" s="1"/>
  <c r="B534" i="5" s="1"/>
  <c r="J504" i="5"/>
  <c r="I504" i="5"/>
  <c r="F504" i="5"/>
  <c r="E504" i="5"/>
  <c r="D504" i="5"/>
  <c r="H504" i="5" s="1"/>
  <c r="C504" i="5"/>
  <c r="G504" i="5" s="1"/>
  <c r="K504" i="5" s="1"/>
  <c r="J503" i="5"/>
  <c r="I503" i="5"/>
  <c r="F503" i="5"/>
  <c r="E503" i="5"/>
  <c r="D503" i="5"/>
  <c r="H503" i="5" s="1"/>
  <c r="C503" i="5"/>
  <c r="G503" i="5" s="1"/>
  <c r="K503" i="5" s="1"/>
  <c r="J502" i="5"/>
  <c r="I502" i="5"/>
  <c r="F502" i="5"/>
  <c r="E502" i="5"/>
  <c r="D502" i="5"/>
  <c r="H502" i="5" s="1"/>
  <c r="C502" i="5"/>
  <c r="G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3" i="5"/>
  <c r="B462" i="5" s="1"/>
  <c r="B461" i="5"/>
  <c r="B455" i="5"/>
  <c r="B456" i="5" s="1"/>
  <c r="B453" i="5"/>
  <c r="G453" i="5" s="1"/>
  <c r="B449" i="5"/>
  <c r="B450" i="5" s="1"/>
  <c r="B446" i="5"/>
  <c r="J428" i="5"/>
  <c r="I428" i="5"/>
  <c r="F428" i="5"/>
  <c r="E428" i="5"/>
  <c r="D428" i="5"/>
  <c r="H428" i="5" s="1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J425" i="5"/>
  <c r="I425" i="5"/>
  <c r="H425" i="5"/>
  <c r="F425" i="5"/>
  <c r="E425" i="5"/>
  <c r="D425" i="5"/>
  <c r="C425" i="5"/>
  <c r="G425" i="5" s="1"/>
  <c r="K425" i="5" s="1"/>
  <c r="J424" i="5"/>
  <c r="I424" i="5"/>
  <c r="F424" i="5"/>
  <c r="E424" i="5"/>
  <c r="D424" i="5"/>
  <c r="H424" i="5" s="1"/>
  <c r="C424" i="5"/>
  <c r="G424" i="5" s="1"/>
  <c r="K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2" i="5"/>
  <c r="B371" i="5"/>
  <c r="B368" i="5"/>
  <c r="B375" i="5" s="1"/>
  <c r="J350" i="5"/>
  <c r="I350" i="5"/>
  <c r="F350" i="5"/>
  <c r="E350" i="5"/>
  <c r="D350" i="5"/>
  <c r="H350" i="5" s="1"/>
  <c r="C350" i="5"/>
  <c r="G350" i="5" s="1"/>
  <c r="J349" i="5"/>
  <c r="I349" i="5"/>
  <c r="F349" i="5"/>
  <c r="E349" i="5"/>
  <c r="D349" i="5"/>
  <c r="H349" i="5" s="1"/>
  <c r="C349" i="5"/>
  <c r="G349" i="5" s="1"/>
  <c r="K349" i="5" s="1"/>
  <c r="J348" i="5"/>
  <c r="I348" i="5"/>
  <c r="F348" i="5"/>
  <c r="E348" i="5"/>
  <c r="D348" i="5"/>
  <c r="H348" i="5" s="1"/>
  <c r="C348" i="5"/>
  <c r="G348" i="5" s="1"/>
  <c r="J347" i="5"/>
  <c r="I347" i="5"/>
  <c r="F347" i="5"/>
  <c r="E347" i="5"/>
  <c r="D347" i="5"/>
  <c r="H347" i="5" s="1"/>
  <c r="C347" i="5"/>
  <c r="G347" i="5" s="1"/>
  <c r="K347" i="5" s="1"/>
  <c r="J346" i="5"/>
  <c r="I346" i="5"/>
  <c r="F346" i="5"/>
  <c r="E346" i="5"/>
  <c r="D346" i="5"/>
  <c r="H346" i="5" s="1"/>
  <c r="C346" i="5"/>
  <c r="G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B292" i="5"/>
  <c r="B289" i="5"/>
  <c r="J270" i="5"/>
  <c r="I270" i="5"/>
  <c r="H270" i="5"/>
  <c r="F270" i="5"/>
  <c r="E270" i="5"/>
  <c r="D270" i="5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K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7" i="5"/>
  <c r="B219" i="5" s="1"/>
  <c r="B220" i="5" s="1"/>
  <c r="B213" i="5"/>
  <c r="B210" i="5"/>
  <c r="J190" i="5"/>
  <c r="I190" i="5"/>
  <c r="F190" i="5"/>
  <c r="E190" i="5"/>
  <c r="D190" i="5"/>
  <c r="H190" i="5" s="1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K188" i="5" s="1"/>
  <c r="M180" i="5"/>
  <c r="I180" i="5"/>
  <c r="L180" i="5" s="1"/>
  <c r="G180" i="5"/>
  <c r="F180" i="5"/>
  <c r="E180" i="5"/>
  <c r="D180" i="5"/>
  <c r="C180" i="5"/>
  <c r="F165" i="5"/>
  <c r="D165" i="5"/>
  <c r="C165" i="5"/>
  <c r="F164" i="5"/>
  <c r="E164" i="5"/>
  <c r="D164" i="5"/>
  <c r="C164" i="5"/>
  <c r="B147" i="5"/>
  <c r="B146" i="5"/>
  <c r="B145" i="5"/>
  <c r="B133" i="5"/>
  <c r="B130" i="5"/>
  <c r="B137" i="5" s="1"/>
  <c r="J112" i="5"/>
  <c r="I112" i="5"/>
  <c r="F112" i="5"/>
  <c r="E112" i="5"/>
  <c r="D112" i="5"/>
  <c r="H112" i="5" s="1"/>
  <c r="C112" i="5"/>
  <c r="G112" i="5" s="1"/>
  <c r="K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F109" i="5"/>
  <c r="E109" i="5"/>
  <c r="D109" i="5"/>
  <c r="H109" i="5" s="1"/>
  <c r="C109" i="5"/>
  <c r="G109" i="5" s="1"/>
  <c r="J108" i="5"/>
  <c r="I108" i="5"/>
  <c r="F108" i="5"/>
  <c r="E108" i="5"/>
  <c r="D108" i="5"/>
  <c r="H108" i="5" s="1"/>
  <c r="C108" i="5"/>
  <c r="G108" i="5" s="1"/>
  <c r="K108" i="5" s="1"/>
  <c r="M100" i="5"/>
  <c r="I100" i="5"/>
  <c r="L100" i="5" s="1"/>
  <c r="G100" i="5"/>
  <c r="F100" i="5"/>
  <c r="E100" i="5"/>
  <c r="D100" i="5"/>
  <c r="C100" i="5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1" i="5"/>
  <c r="B58" i="5" s="1"/>
  <c r="B60" i="5" s="1"/>
  <c r="D28" i="5"/>
  <c r="C28" i="5"/>
  <c r="C21" i="5"/>
  <c r="B21" i="5"/>
  <c r="F21" i="5" s="1"/>
  <c r="B19" i="5"/>
  <c r="F19" i="5" s="1"/>
  <c r="B18" i="5"/>
  <c r="E17" i="5"/>
  <c r="D17" i="5"/>
  <c r="C17" i="5"/>
  <c r="B17" i="5"/>
  <c r="F17" i="5" s="1"/>
  <c r="D16" i="5"/>
  <c r="C16" i="5"/>
  <c r="B16" i="5"/>
  <c r="F16" i="5" s="1"/>
  <c r="D15" i="5"/>
  <c r="C15" i="5"/>
  <c r="B15" i="5"/>
  <c r="F15" i="5" s="1"/>
  <c r="D14" i="5"/>
  <c r="C14" i="5"/>
  <c r="B14" i="5"/>
  <c r="F14" i="5" s="1"/>
  <c r="D13" i="5"/>
  <c r="C13" i="5"/>
  <c r="B13" i="5"/>
  <c r="F13" i="5" s="1"/>
  <c r="V12" i="5"/>
  <c r="B12" i="5"/>
  <c r="V11" i="5"/>
  <c r="V10" i="5"/>
  <c r="V9" i="5"/>
  <c r="V8" i="5"/>
  <c r="V7" i="5"/>
  <c r="B778" i="4"/>
  <c r="B777" i="4"/>
  <c r="B776" i="4"/>
  <c r="B764" i="4"/>
  <c r="B761" i="4"/>
  <c r="B768" i="4" s="1"/>
  <c r="J750" i="4"/>
  <c r="I750" i="4"/>
  <c r="F750" i="4"/>
  <c r="E750" i="4"/>
  <c r="D750" i="4"/>
  <c r="H750" i="4" s="1"/>
  <c r="C750" i="4"/>
  <c r="G750" i="4" s="1"/>
  <c r="K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K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K746" i="4" s="1"/>
  <c r="J745" i="4"/>
  <c r="I745" i="4"/>
  <c r="H745" i="4"/>
  <c r="F745" i="4"/>
  <c r="E745" i="4"/>
  <c r="D745" i="4"/>
  <c r="C745" i="4"/>
  <c r="G745" i="4" s="1"/>
  <c r="K745" i="4" s="1"/>
  <c r="J744" i="4"/>
  <c r="I744" i="4"/>
  <c r="F744" i="4"/>
  <c r="E744" i="4"/>
  <c r="D744" i="4"/>
  <c r="H744" i="4" s="1"/>
  <c r="C744" i="4"/>
  <c r="G744" i="4" s="1"/>
  <c r="K744" i="4" s="1"/>
  <c r="J743" i="4"/>
  <c r="I743" i="4"/>
  <c r="F743" i="4"/>
  <c r="E743" i="4"/>
  <c r="D743" i="4"/>
  <c r="H743" i="4" s="1"/>
  <c r="C743" i="4"/>
  <c r="G743" i="4" s="1"/>
  <c r="K743" i="4" s="1"/>
  <c r="J742" i="4"/>
  <c r="I742" i="4"/>
  <c r="F742" i="4"/>
  <c r="E742" i="4"/>
  <c r="D742" i="4"/>
  <c r="H742" i="4" s="1"/>
  <c r="C742" i="4"/>
  <c r="G742" i="4" s="1"/>
  <c r="K742" i="4" s="1"/>
  <c r="J741" i="4"/>
  <c r="I741" i="4"/>
  <c r="H741" i="4"/>
  <c r="F741" i="4"/>
  <c r="E741" i="4"/>
  <c r="D741" i="4"/>
  <c r="C741" i="4"/>
  <c r="G741" i="4" s="1"/>
  <c r="K741" i="4" s="1"/>
  <c r="J740" i="4"/>
  <c r="I740" i="4"/>
  <c r="F740" i="4"/>
  <c r="E740" i="4"/>
  <c r="D740" i="4"/>
  <c r="H740" i="4" s="1"/>
  <c r="C740" i="4"/>
  <c r="G740" i="4" s="1"/>
  <c r="J739" i="4"/>
  <c r="B752" i="4" s="1"/>
  <c r="B753" i="4" s="1"/>
  <c r="B783" i="4" s="1"/>
  <c r="I739" i="4"/>
  <c r="F739" i="4"/>
  <c r="E739" i="4"/>
  <c r="D739" i="4"/>
  <c r="H739" i="4" s="1"/>
  <c r="C739" i="4"/>
  <c r="G739" i="4" s="1"/>
  <c r="N731" i="4"/>
  <c r="H731" i="4" s="1"/>
  <c r="G731" i="4"/>
  <c r="F731" i="4"/>
  <c r="M731" i="4" s="1"/>
  <c r="E731" i="4"/>
  <c r="D731" i="4"/>
  <c r="C731" i="4"/>
  <c r="I731" i="4" s="1"/>
  <c r="L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7" i="4"/>
  <c r="B699" i="4" s="1"/>
  <c r="B698" i="4" s="1"/>
  <c r="B689" i="4"/>
  <c r="B685" i="4"/>
  <c r="B682" i="4"/>
  <c r="J661" i="4"/>
  <c r="I661" i="4"/>
  <c r="F661" i="4"/>
  <c r="E661" i="4"/>
  <c r="D661" i="4"/>
  <c r="H661" i="4" s="1"/>
  <c r="C661" i="4"/>
  <c r="G661" i="4" s="1"/>
  <c r="J660" i="4"/>
  <c r="I660" i="4"/>
  <c r="F660" i="4"/>
  <c r="E660" i="4"/>
  <c r="D660" i="4"/>
  <c r="H660" i="4" s="1"/>
  <c r="C660" i="4"/>
  <c r="G660" i="4" s="1"/>
  <c r="M652" i="4"/>
  <c r="G652" i="4"/>
  <c r="B673" i="4" s="1"/>
  <c r="F652" i="4"/>
  <c r="E652" i="4"/>
  <c r="D652" i="4"/>
  <c r="C652" i="4"/>
  <c r="I652" i="4" s="1"/>
  <c r="L652" i="4" s="1"/>
  <c r="H637" i="4"/>
  <c r="G637" i="4"/>
  <c r="F637" i="4"/>
  <c r="E637" i="4"/>
  <c r="D637" i="4"/>
  <c r="C637" i="4"/>
  <c r="H636" i="4"/>
  <c r="G636" i="4"/>
  <c r="F636" i="4"/>
  <c r="E636" i="4"/>
  <c r="D636" i="4"/>
  <c r="C636" i="4"/>
  <c r="B619" i="4"/>
  <c r="B618" i="4"/>
  <c r="B620" i="4" s="1"/>
  <c r="G610" i="4"/>
  <c r="B607" i="4"/>
  <c r="B606" i="4"/>
  <c r="B603" i="4"/>
  <c r="B610" i="4" s="1"/>
  <c r="B612" i="4" s="1"/>
  <c r="B613" i="4" s="1"/>
  <c r="J583" i="4"/>
  <c r="I583" i="4"/>
  <c r="F583" i="4"/>
  <c r="E583" i="4"/>
  <c r="D583" i="4"/>
  <c r="H583" i="4" s="1"/>
  <c r="C583" i="4"/>
  <c r="G583" i="4" s="1"/>
  <c r="K583" i="4" s="1"/>
  <c r="J582" i="4"/>
  <c r="I582" i="4"/>
  <c r="F582" i="4"/>
  <c r="E582" i="4"/>
  <c r="D582" i="4"/>
  <c r="H582" i="4" s="1"/>
  <c r="C582" i="4"/>
  <c r="G582" i="4" s="1"/>
  <c r="K582" i="4" s="1"/>
  <c r="J581" i="4"/>
  <c r="I581" i="4"/>
  <c r="H581" i="4"/>
  <c r="F581" i="4"/>
  <c r="E581" i="4"/>
  <c r="D581" i="4"/>
  <c r="C581" i="4"/>
  <c r="G581" i="4" s="1"/>
  <c r="K581" i="4" s="1"/>
  <c r="L573" i="4"/>
  <c r="I573" i="4"/>
  <c r="G573" i="4"/>
  <c r="F573" i="4"/>
  <c r="M573" i="4" s="1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B594" i="4" s="1"/>
  <c r="G557" i="4"/>
  <c r="F557" i="4"/>
  <c r="E557" i="4"/>
  <c r="D557" i="4"/>
  <c r="C557" i="4"/>
  <c r="B541" i="4"/>
  <c r="B540" i="4" s="1"/>
  <c r="B539" i="4"/>
  <c r="B533" i="4"/>
  <c r="B534" i="4" s="1"/>
  <c r="B531" i="4"/>
  <c r="G531" i="4" s="1"/>
  <c r="B527" i="4"/>
  <c r="B528" i="4" s="1"/>
  <c r="B524" i="4"/>
  <c r="J504" i="4"/>
  <c r="I504" i="4"/>
  <c r="F504" i="4"/>
  <c r="E504" i="4"/>
  <c r="D504" i="4"/>
  <c r="H504" i="4" s="1"/>
  <c r="C504" i="4"/>
  <c r="G504" i="4" s="1"/>
  <c r="K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K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D479" i="4"/>
  <c r="C479" i="4"/>
  <c r="F478" i="4"/>
  <c r="D478" i="4"/>
  <c r="C478" i="4"/>
  <c r="B463" i="4"/>
  <c r="B462" i="4"/>
  <c r="B461" i="4"/>
  <c r="B450" i="4"/>
  <c r="B449" i="4"/>
  <c r="B446" i="4"/>
  <c r="B453" i="4" s="1"/>
  <c r="J428" i="4"/>
  <c r="I428" i="4"/>
  <c r="H428" i="4"/>
  <c r="F428" i="4"/>
  <c r="E428" i="4"/>
  <c r="D428" i="4"/>
  <c r="C428" i="4"/>
  <c r="G428" i="4" s="1"/>
  <c r="K428" i="4" s="1"/>
  <c r="J427" i="4"/>
  <c r="I427" i="4"/>
  <c r="F427" i="4"/>
  <c r="E427" i="4"/>
  <c r="D427" i="4"/>
  <c r="H427" i="4" s="1"/>
  <c r="C427" i="4"/>
  <c r="G427" i="4" s="1"/>
  <c r="K427" i="4" s="1"/>
  <c r="J426" i="4"/>
  <c r="I426" i="4"/>
  <c r="F426" i="4"/>
  <c r="E426" i="4"/>
  <c r="D426" i="4"/>
  <c r="H426" i="4" s="1"/>
  <c r="C426" i="4"/>
  <c r="G426" i="4" s="1"/>
  <c r="K426" i="4" s="1"/>
  <c r="J425" i="4"/>
  <c r="I425" i="4"/>
  <c r="F425" i="4"/>
  <c r="E425" i="4"/>
  <c r="D425" i="4"/>
  <c r="H425" i="4" s="1"/>
  <c r="C425" i="4"/>
  <c r="G425" i="4" s="1"/>
  <c r="K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3" i="4"/>
  <c r="B385" i="4" s="1"/>
  <c r="B384" i="4" s="1"/>
  <c r="B375" i="4"/>
  <c r="B371" i="4"/>
  <c r="B372" i="4" s="1"/>
  <c r="B368" i="4"/>
  <c r="J350" i="4"/>
  <c r="I350" i="4"/>
  <c r="F350" i="4"/>
  <c r="E350" i="4"/>
  <c r="D350" i="4"/>
  <c r="H350" i="4" s="1"/>
  <c r="C350" i="4"/>
  <c r="G350" i="4" s="1"/>
  <c r="J349" i="4"/>
  <c r="I349" i="4"/>
  <c r="F349" i="4"/>
  <c r="E349" i="4"/>
  <c r="D349" i="4"/>
  <c r="H349" i="4" s="1"/>
  <c r="C349" i="4"/>
  <c r="G349" i="4" s="1"/>
  <c r="J348" i="4"/>
  <c r="I348" i="4"/>
  <c r="F348" i="4"/>
  <c r="E348" i="4"/>
  <c r="D348" i="4"/>
  <c r="H348" i="4" s="1"/>
  <c r="C348" i="4"/>
  <c r="G348" i="4" s="1"/>
  <c r="K348" i="4" s="1"/>
  <c r="J347" i="4"/>
  <c r="I347" i="4"/>
  <c r="F347" i="4"/>
  <c r="E347" i="4"/>
  <c r="D347" i="4"/>
  <c r="H347" i="4" s="1"/>
  <c r="C347" i="4"/>
  <c r="G347" i="4" s="1"/>
  <c r="J346" i="4"/>
  <c r="I346" i="4"/>
  <c r="F346" i="4"/>
  <c r="E346" i="4"/>
  <c r="D346" i="4"/>
  <c r="H346" i="4" s="1"/>
  <c r="C346" i="4"/>
  <c r="G346" i="4" s="1"/>
  <c r="K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4" i="4"/>
  <c r="B306" i="4" s="1"/>
  <c r="B305" i="4" s="1"/>
  <c r="B292" i="4"/>
  <c r="B289" i="4"/>
  <c r="B296" i="4" s="1"/>
  <c r="J270" i="4"/>
  <c r="I270" i="4"/>
  <c r="F270" i="4"/>
  <c r="E270" i="4"/>
  <c r="D270" i="4"/>
  <c r="H270" i="4" s="1"/>
  <c r="C270" i="4"/>
  <c r="G270" i="4" s="1"/>
  <c r="K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J267" i="4"/>
  <c r="I267" i="4"/>
  <c r="F267" i="4"/>
  <c r="E267" i="4"/>
  <c r="D267" i="4"/>
  <c r="H267" i="4" s="1"/>
  <c r="C267" i="4"/>
  <c r="G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5" i="4"/>
  <c r="B227" i="4" s="1"/>
  <c r="B226" i="4" s="1"/>
  <c r="B217" i="4"/>
  <c r="B213" i="4"/>
  <c r="B210" i="4"/>
  <c r="J190" i="4"/>
  <c r="I190" i="4"/>
  <c r="H190" i="4"/>
  <c r="F190" i="4"/>
  <c r="E190" i="4"/>
  <c r="D190" i="4"/>
  <c r="C190" i="4"/>
  <c r="G190" i="4" s="1"/>
  <c r="K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K188" i="4" s="1"/>
  <c r="G180" i="4"/>
  <c r="F180" i="4"/>
  <c r="M180" i="4" s="1"/>
  <c r="N180" i="4" s="1"/>
  <c r="H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3" i="4"/>
  <c r="B130" i="4"/>
  <c r="B137" i="4" s="1"/>
  <c r="J112" i="4"/>
  <c r="I112" i="4"/>
  <c r="H112" i="4"/>
  <c r="F112" i="4"/>
  <c r="E112" i="4"/>
  <c r="D112" i="4"/>
  <c r="C112" i="4"/>
  <c r="G112" i="4" s="1"/>
  <c r="K112" i="4" s="1"/>
  <c r="J111" i="4"/>
  <c r="I111" i="4"/>
  <c r="F111" i="4"/>
  <c r="E111" i="4"/>
  <c r="D111" i="4"/>
  <c r="H111" i="4" s="1"/>
  <c r="C111" i="4"/>
  <c r="G111" i="4" s="1"/>
  <c r="K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K109" i="4" s="1"/>
  <c r="J108" i="4"/>
  <c r="I108" i="4"/>
  <c r="H108" i="4"/>
  <c r="F108" i="4"/>
  <c r="E108" i="4"/>
  <c r="D108" i="4"/>
  <c r="C108" i="4"/>
  <c r="G108" i="4" s="1"/>
  <c r="K108" i="4" s="1"/>
  <c r="L100" i="4"/>
  <c r="G100" i="4"/>
  <c r="F100" i="4"/>
  <c r="M100" i="4" s="1"/>
  <c r="N100" i="4" s="1"/>
  <c r="H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D28" i="4"/>
  <c r="C28" i="4"/>
  <c r="D21" i="4"/>
  <c r="B21" i="4"/>
  <c r="E21" i="4" s="1"/>
  <c r="F19" i="4"/>
  <c r="E19" i="4"/>
  <c r="C19" i="4"/>
  <c r="B19" i="4"/>
  <c r="F18" i="4"/>
  <c r="C18" i="4"/>
  <c r="B18" i="4"/>
  <c r="E18" i="4" s="1"/>
  <c r="B17" i="4"/>
  <c r="D17" i="4" s="1"/>
  <c r="W16" i="4"/>
  <c r="D16" i="4"/>
  <c r="B16" i="4"/>
  <c r="D15" i="4"/>
  <c r="B15" i="4"/>
  <c r="D14" i="4"/>
  <c r="B14" i="4"/>
  <c r="D13" i="4"/>
  <c r="B13" i="4"/>
  <c r="V12" i="4"/>
  <c r="E12" i="4"/>
  <c r="C12" i="4"/>
  <c r="B12" i="4"/>
  <c r="F12" i="4" s="1"/>
  <c r="V11" i="4"/>
  <c r="V10" i="4"/>
  <c r="V9" i="4"/>
  <c r="V8" i="4"/>
  <c r="V7" i="4"/>
  <c r="B32" i="3"/>
  <c r="B31" i="3"/>
  <c r="B30" i="3"/>
  <c r="B29" i="3"/>
  <c r="B28" i="3"/>
  <c r="B27" i="3"/>
  <c r="B26" i="3"/>
  <c r="D21" i="3"/>
  <c r="D5" i="3"/>
  <c r="AF49" i="2"/>
  <c r="AD49" i="2"/>
  <c r="AD46" i="2"/>
  <c r="AC46" i="2"/>
  <c r="AD45" i="2"/>
  <c r="AC45" i="2"/>
  <c r="AD44" i="2"/>
  <c r="AC44" i="2"/>
  <c r="AD43" i="2"/>
  <c r="AC43" i="2"/>
  <c r="AD42" i="2"/>
  <c r="AD40" i="2" s="1"/>
  <c r="AC42" i="2"/>
  <c r="AF40" i="2"/>
  <c r="Z40" i="2"/>
  <c r="B37" i="2"/>
  <c r="AF35" i="2"/>
  <c r="AD35" i="2"/>
  <c r="AD32" i="2"/>
  <c r="AC32" i="2"/>
  <c r="AD31" i="2"/>
  <c r="AC31" i="2"/>
  <c r="AD30" i="2"/>
  <c r="AC30" i="2"/>
  <c r="Z27" i="2" s="1"/>
  <c r="P26" i="2" s="1"/>
  <c r="AD29" i="2"/>
  <c r="AD27" i="2" s="1"/>
  <c r="AC29" i="2"/>
  <c r="N28" i="2"/>
  <c r="AF27" i="2"/>
  <c r="N27" i="2"/>
  <c r="S26" i="2"/>
  <c r="R26" i="2"/>
  <c r="N26" i="2"/>
  <c r="AD25" i="2"/>
  <c r="AC25" i="2"/>
  <c r="N25" i="2"/>
  <c r="AD24" i="2"/>
  <c r="AC24" i="2"/>
  <c r="T24" i="2"/>
  <c r="Q24" i="2"/>
  <c r="P24" i="2"/>
  <c r="N24" i="2"/>
  <c r="AD23" i="2"/>
  <c r="AF21" i="2" s="1"/>
  <c r="AC23" i="2"/>
  <c r="Z21" i="2" s="1"/>
  <c r="T23" i="2"/>
  <c r="R23" i="2"/>
  <c r="S23" i="2" s="1"/>
  <c r="Q23" i="2"/>
  <c r="P23" i="2"/>
  <c r="T22" i="2"/>
  <c r="Q22" i="2"/>
  <c r="P22" i="2"/>
  <c r="T21" i="2"/>
  <c r="R21" i="2"/>
  <c r="S21" i="2" s="1"/>
  <c r="Q21" i="2"/>
  <c r="P21" i="2"/>
  <c r="N20" i="2"/>
  <c r="B20" i="2"/>
  <c r="AD19" i="2"/>
  <c r="AC19" i="2"/>
  <c r="B19" i="2"/>
  <c r="AD18" i="2"/>
  <c r="AF14" i="2" s="1"/>
  <c r="AC18" i="2"/>
  <c r="Z14" i="2" s="1"/>
  <c r="P20" i="2" s="1"/>
  <c r="Q18" i="2"/>
  <c r="P18" i="2"/>
  <c r="N18" i="2"/>
  <c r="B18" i="2"/>
  <c r="G37" i="2" s="1"/>
  <c r="AD17" i="2"/>
  <c r="AD14" i="2" s="1"/>
  <c r="AC17" i="2"/>
  <c r="T16" i="2"/>
  <c r="R16" i="2"/>
  <c r="S16" i="2" s="1"/>
  <c r="P16" i="2"/>
  <c r="Q16" i="2" s="1"/>
  <c r="N16" i="2"/>
  <c r="T15" i="2"/>
  <c r="P14" i="2"/>
  <c r="N14" i="2"/>
  <c r="H14" i="2"/>
  <c r="T13" i="2"/>
  <c r="R13" i="2"/>
  <c r="S13" i="2" s="1"/>
  <c r="P13" i="2"/>
  <c r="H13" i="2"/>
  <c r="F13" i="2" s="1"/>
  <c r="T12" i="2"/>
  <c r="Q12" i="2"/>
  <c r="P12" i="2"/>
  <c r="G84" i="4" s="1"/>
  <c r="H12" i="2"/>
  <c r="F12" i="2" s="1"/>
  <c r="AD11" i="2"/>
  <c r="AC11" i="2"/>
  <c r="T11" i="2"/>
  <c r="P11" i="2"/>
  <c r="Q11" i="2" s="1"/>
  <c r="H11" i="2"/>
  <c r="AD10" i="2"/>
  <c r="AC10" i="2"/>
  <c r="T10" i="2"/>
  <c r="P10" i="2"/>
  <c r="Q10" i="2" s="1"/>
  <c r="H10" i="2"/>
  <c r="F10" i="2" s="1"/>
  <c r="AD9" i="2"/>
  <c r="AC9" i="2"/>
  <c r="Z5" i="2" s="1"/>
  <c r="Q9" i="2"/>
  <c r="P9" i="2"/>
  <c r="N9" i="2"/>
  <c r="R9" i="2" s="1"/>
  <c r="S9" i="2" s="1"/>
  <c r="H9" i="2"/>
  <c r="B9" i="2"/>
  <c r="AD8" i="2"/>
  <c r="P8" i="2"/>
  <c r="N8" i="2"/>
  <c r="Q8" i="2" s="1"/>
  <c r="H8" i="2"/>
  <c r="AD7" i="2"/>
  <c r="AC7" i="2"/>
  <c r="Q7" i="2"/>
  <c r="P7" i="2"/>
  <c r="N7" i="2"/>
  <c r="H7" i="2"/>
  <c r="G5" i="2" s="1"/>
  <c r="AO6" i="2"/>
  <c r="AN6" i="2"/>
  <c r="Q6" i="2"/>
  <c r="P6" i="2"/>
  <c r="G12" i="4" s="1"/>
  <c r="N6" i="2"/>
  <c r="R6" i="2" s="1"/>
  <c r="S6" i="2" s="1"/>
  <c r="AF5" i="2"/>
  <c r="AD5" i="2"/>
  <c r="R25" i="2" s="1"/>
  <c r="S25" i="2" s="1"/>
  <c r="B5" i="2"/>
  <c r="B55" i="4" s="1"/>
  <c r="AF49" i="1"/>
  <c r="AD49" i="1"/>
  <c r="AD46" i="1"/>
  <c r="AC46" i="1"/>
  <c r="AD45" i="1"/>
  <c r="AC45" i="1"/>
  <c r="AD44" i="1"/>
  <c r="AC44" i="1"/>
  <c r="AD43" i="1"/>
  <c r="AD40" i="1" s="1"/>
  <c r="AC43" i="1"/>
  <c r="Z40" i="1" s="1"/>
  <c r="P14" i="1" s="1"/>
  <c r="AD42" i="1"/>
  <c r="AC42" i="1"/>
  <c r="AF40" i="1"/>
  <c r="N39" i="1"/>
  <c r="N37" i="1"/>
  <c r="G37" i="1"/>
  <c r="B37" i="1"/>
  <c r="AF35" i="1"/>
  <c r="T23" i="1" s="1"/>
  <c r="AD35" i="1"/>
  <c r="R22" i="1" s="1"/>
  <c r="S22" i="1" s="1"/>
  <c r="AD32" i="1"/>
  <c r="AC32" i="1"/>
  <c r="AD31" i="1"/>
  <c r="AC31" i="1"/>
  <c r="Z27" i="1" s="1"/>
  <c r="P26" i="1" s="1"/>
  <c r="AD30" i="1"/>
  <c r="AC30" i="1"/>
  <c r="AD29" i="1"/>
  <c r="AF27" i="1" s="1"/>
  <c r="AC29" i="1"/>
  <c r="AD27" i="1"/>
  <c r="N26" i="1"/>
  <c r="R26" i="1" s="1"/>
  <c r="AD25" i="1"/>
  <c r="AC25" i="1"/>
  <c r="B25" i="1"/>
  <c r="AD24" i="1"/>
  <c r="AC24" i="1"/>
  <c r="Q24" i="1"/>
  <c r="P24" i="1"/>
  <c r="N24" i="1"/>
  <c r="R24" i="1" s="1"/>
  <c r="S24" i="1" s="1"/>
  <c r="B24" i="1"/>
  <c r="AD23" i="1"/>
  <c r="AF21" i="1" s="1"/>
  <c r="T28" i="1" s="1"/>
  <c r="AC23" i="1"/>
  <c r="R23" i="1"/>
  <c r="S23" i="1" s="1"/>
  <c r="Q23" i="1"/>
  <c r="P23" i="1"/>
  <c r="T22" i="1"/>
  <c r="P22" i="1"/>
  <c r="Q22" i="1" s="1"/>
  <c r="Z21" i="1"/>
  <c r="P28" i="1" s="1"/>
  <c r="Q28" i="1" s="1"/>
  <c r="Q21" i="1"/>
  <c r="P21" i="1"/>
  <c r="B20" i="1"/>
  <c r="AD19" i="1"/>
  <c r="AC19" i="1"/>
  <c r="F19" i="1"/>
  <c r="AD18" i="1"/>
  <c r="AC18" i="1"/>
  <c r="F18" i="1"/>
  <c r="AD17" i="1"/>
  <c r="AD14" i="1" s="1"/>
  <c r="AC17" i="1"/>
  <c r="Z14" i="1" s="1"/>
  <c r="F17" i="1"/>
  <c r="P16" i="1"/>
  <c r="N16" i="1"/>
  <c r="R16" i="1" s="1"/>
  <c r="S16" i="1" s="1"/>
  <c r="N15" i="1"/>
  <c r="E21" i="5" s="1"/>
  <c r="AF14" i="1"/>
  <c r="T20" i="1" s="1"/>
  <c r="N14" i="1"/>
  <c r="T14" i="1" s="1"/>
  <c r="P42" i="1" s="1"/>
  <c r="H14" i="1"/>
  <c r="F14" i="1" s="1"/>
  <c r="T13" i="1"/>
  <c r="P13" i="1"/>
  <c r="Q13" i="1" s="1"/>
  <c r="N13" i="1"/>
  <c r="R13" i="1" s="1"/>
  <c r="S13" i="1" s="1"/>
  <c r="H13" i="1"/>
  <c r="F13" i="1" s="1"/>
  <c r="T12" i="1"/>
  <c r="Q12" i="1"/>
  <c r="N12" i="1"/>
  <c r="R12" i="1" s="1"/>
  <c r="S12" i="1" s="1"/>
  <c r="AD11" i="1"/>
  <c r="AC11" i="1"/>
  <c r="Z5" i="1" s="1"/>
  <c r="R11" i="1"/>
  <c r="S11" i="1" s="1"/>
  <c r="Q11" i="1"/>
  <c r="H17" i="5" s="1"/>
  <c r="P11" i="1"/>
  <c r="G17" i="5" s="1"/>
  <c r="H11" i="1"/>
  <c r="AD10" i="1"/>
  <c r="AC10" i="1"/>
  <c r="R10" i="1"/>
  <c r="S10" i="1" s="1"/>
  <c r="Q10" i="1"/>
  <c r="H16" i="5" s="1"/>
  <c r="P10" i="1"/>
  <c r="G16" i="5" s="1"/>
  <c r="N10" i="1"/>
  <c r="E16" i="5" s="1"/>
  <c r="F10" i="1"/>
  <c r="AD9" i="1"/>
  <c r="AF5" i="1" s="1"/>
  <c r="T25" i="1" s="1"/>
  <c r="AC9" i="1"/>
  <c r="F9" i="1"/>
  <c r="B9" i="1"/>
  <c r="G36" i="1" s="1"/>
  <c r="B36" i="1" s="1"/>
  <c r="AD8" i="1"/>
  <c r="B8" i="1"/>
  <c r="G35" i="1" s="1"/>
  <c r="AD7" i="1"/>
  <c r="AC7" i="1"/>
  <c r="N7" i="1"/>
  <c r="E13" i="5" s="1"/>
  <c r="F7" i="1"/>
  <c r="N6" i="1"/>
  <c r="N8" i="1" s="1"/>
  <c r="E14" i="5" s="1"/>
  <c r="AD5" i="1"/>
  <c r="R25" i="1" s="1"/>
  <c r="S25" i="1" s="1"/>
  <c r="G5" i="1"/>
  <c r="F21" i="1" s="1"/>
  <c r="AE27" i="6" l="1"/>
  <c r="AG21" i="6"/>
  <c r="F12" i="7"/>
  <c r="F18" i="7"/>
  <c r="O14" i="6"/>
  <c r="C43" i="6"/>
  <c r="AG13" i="6"/>
  <c r="U9" i="6" s="1"/>
  <c r="B8" i="6"/>
  <c r="B18" i="3"/>
  <c r="Q16" i="1"/>
  <c r="E15" i="7"/>
  <c r="H7" i="6"/>
  <c r="O11" i="6" s="1"/>
  <c r="H10" i="6"/>
  <c r="O21" i="6" s="1"/>
  <c r="H13" i="6"/>
  <c r="O24" i="6" s="1"/>
  <c r="H12" i="6"/>
  <c r="O23" i="6" s="1"/>
  <c r="H6" i="6"/>
  <c r="O10" i="6" s="1"/>
  <c r="H8" i="6"/>
  <c r="O12" i="6" s="1"/>
  <c r="H11" i="6"/>
  <c r="O22" i="6" s="1"/>
  <c r="H9" i="6"/>
  <c r="O13" i="6" s="1"/>
  <c r="AE21" i="6"/>
  <c r="AA21" i="6"/>
  <c r="Q28" i="6" s="1"/>
  <c r="AA27" i="6"/>
  <c r="F19" i="7"/>
  <c r="R16" i="6"/>
  <c r="H22" i="7" s="1"/>
  <c r="D21" i="7"/>
  <c r="E22" i="7"/>
  <c r="AG27" i="6"/>
  <c r="Q15" i="6"/>
  <c r="R15" i="6" s="1"/>
  <c r="H21" i="7" s="1"/>
  <c r="AA13" i="6"/>
  <c r="AE13" i="6"/>
  <c r="G22" i="7"/>
  <c r="S15" i="6"/>
  <c r="T15" i="6" s="1"/>
  <c r="T26" i="1"/>
  <c r="Q26" i="1"/>
  <c r="AA40" i="6"/>
  <c r="Q14" i="6" s="1"/>
  <c r="F28" i="7" s="1"/>
  <c r="M28" i="7" s="1"/>
  <c r="T16" i="1"/>
  <c r="T8" i="1"/>
  <c r="N9" i="1"/>
  <c r="E15" i="5" s="1"/>
  <c r="T6" i="1"/>
  <c r="K108" i="7"/>
  <c r="K34" i="7"/>
  <c r="K33" i="7"/>
  <c r="K109" i="7"/>
  <c r="G246" i="7"/>
  <c r="G246" i="4"/>
  <c r="G246" i="5"/>
  <c r="Q20" i="2"/>
  <c r="P7" i="1"/>
  <c r="P20" i="1"/>
  <c r="Q20" i="1" s="1"/>
  <c r="P19" i="1"/>
  <c r="Q19" i="1" s="1"/>
  <c r="P18" i="1"/>
  <c r="Q18" i="1" s="1"/>
  <c r="P17" i="1"/>
  <c r="Q17" i="1" s="1"/>
  <c r="P9" i="1"/>
  <c r="P6" i="1"/>
  <c r="Q6" i="1" s="1"/>
  <c r="P8" i="1"/>
  <c r="S26" i="1"/>
  <c r="P28" i="2"/>
  <c r="P27" i="2"/>
  <c r="B54" i="5"/>
  <c r="B35" i="1"/>
  <c r="P15" i="1"/>
  <c r="P25" i="1"/>
  <c r="Q25" i="1" s="1"/>
  <c r="P25" i="2"/>
  <c r="P15" i="2"/>
  <c r="R6" i="1"/>
  <c r="R7" i="1"/>
  <c r="S7" i="1" s="1"/>
  <c r="R20" i="1"/>
  <c r="S20" i="1" s="1"/>
  <c r="R19" i="1"/>
  <c r="S19" i="1" s="1"/>
  <c r="R18" i="1"/>
  <c r="S18" i="1" s="1"/>
  <c r="R17" i="1"/>
  <c r="S17" i="1" s="1"/>
  <c r="F23" i="2"/>
  <c r="B46" i="3"/>
  <c r="F9" i="2"/>
  <c r="D26" i="3"/>
  <c r="H165" i="7"/>
  <c r="H165" i="4"/>
  <c r="H165" i="5"/>
  <c r="R19" i="2"/>
  <c r="S19" i="2" s="1"/>
  <c r="R17" i="2"/>
  <c r="S17" i="2" s="1"/>
  <c r="R18" i="2"/>
  <c r="S18" i="2" s="1"/>
  <c r="R7" i="2"/>
  <c r="S7" i="2" s="1"/>
  <c r="R20" i="2"/>
  <c r="S20" i="2" s="1"/>
  <c r="F28" i="5"/>
  <c r="M28" i="5" s="1"/>
  <c r="Q14" i="1"/>
  <c r="G28" i="5" s="1"/>
  <c r="F8" i="2"/>
  <c r="F25" i="2"/>
  <c r="F11" i="2"/>
  <c r="T7" i="2"/>
  <c r="T19" i="2"/>
  <c r="T18" i="2"/>
  <c r="T9" i="2"/>
  <c r="T6" i="2"/>
  <c r="T17" i="2"/>
  <c r="G401" i="7"/>
  <c r="G401" i="4"/>
  <c r="G401" i="5"/>
  <c r="Q26" i="2"/>
  <c r="E86" i="4"/>
  <c r="E86" i="5"/>
  <c r="E28" i="4"/>
  <c r="T14" i="2"/>
  <c r="H325" i="7"/>
  <c r="H325" i="4"/>
  <c r="H325" i="5"/>
  <c r="R22" i="2"/>
  <c r="S22" i="2" s="1"/>
  <c r="R10" i="2"/>
  <c r="S10" i="2" s="1"/>
  <c r="D14" i="3"/>
  <c r="T11" i="1"/>
  <c r="I28" i="5"/>
  <c r="L28" i="5" s="1"/>
  <c r="E28" i="5"/>
  <c r="R15" i="1"/>
  <c r="S15" i="1" s="1"/>
  <c r="T21" i="1"/>
  <c r="F22" i="1"/>
  <c r="T24" i="1"/>
  <c r="F25" i="1"/>
  <c r="N36" i="1"/>
  <c r="F7" i="2"/>
  <c r="R8" i="2"/>
  <c r="S8" i="2" s="1"/>
  <c r="G85" i="4"/>
  <c r="G85" i="5"/>
  <c r="Q13" i="2"/>
  <c r="F14" i="2"/>
  <c r="H244" i="7"/>
  <c r="H244" i="5"/>
  <c r="H244" i="4"/>
  <c r="H322" i="4"/>
  <c r="H322" i="7"/>
  <c r="H322" i="5"/>
  <c r="AD21" i="2"/>
  <c r="R28" i="2" s="1"/>
  <c r="S28" i="2" s="1"/>
  <c r="H324" i="7"/>
  <c r="H324" i="4"/>
  <c r="H324" i="5"/>
  <c r="G325" i="7"/>
  <c r="G325" i="5"/>
  <c r="G325" i="4"/>
  <c r="G36" i="2"/>
  <c r="B36" i="2" s="1"/>
  <c r="G137" i="5" s="1"/>
  <c r="E13" i="4"/>
  <c r="G13" i="4"/>
  <c r="C13" i="4"/>
  <c r="E14" i="4"/>
  <c r="G14" i="4"/>
  <c r="C14" i="4"/>
  <c r="E15" i="4"/>
  <c r="G15" i="4"/>
  <c r="C15" i="4"/>
  <c r="E16" i="4"/>
  <c r="G16" i="4"/>
  <c r="C16" i="4"/>
  <c r="H17" i="4"/>
  <c r="R15" i="2"/>
  <c r="S15" i="2" s="1"/>
  <c r="G217" i="7"/>
  <c r="G217" i="5"/>
  <c r="F11" i="1"/>
  <c r="T15" i="1"/>
  <c r="T17" i="1"/>
  <c r="T18" i="1"/>
  <c r="T19" i="1"/>
  <c r="R21" i="1"/>
  <c r="S21" i="1" s="1"/>
  <c r="AD21" i="1"/>
  <c r="R28" i="1" s="1"/>
  <c r="S28" i="1" s="1"/>
  <c r="F23" i="1"/>
  <c r="T8" i="2"/>
  <c r="R11" i="2"/>
  <c r="S11" i="2" s="1"/>
  <c r="H84" i="5"/>
  <c r="H84" i="4"/>
  <c r="G86" i="4"/>
  <c r="F28" i="4"/>
  <c r="M28" i="4" s="1"/>
  <c r="N28" i="4" s="1"/>
  <c r="H28" i="4" s="1"/>
  <c r="G86" i="5"/>
  <c r="Q14" i="2"/>
  <c r="P17" i="2"/>
  <c r="E246" i="7"/>
  <c r="E246" i="4"/>
  <c r="E246" i="5"/>
  <c r="T20" i="2"/>
  <c r="G323" i="7"/>
  <c r="G323" i="5"/>
  <c r="G323" i="4"/>
  <c r="R24" i="2"/>
  <c r="S24" i="2" s="1"/>
  <c r="E401" i="7"/>
  <c r="E401" i="5"/>
  <c r="E401" i="4"/>
  <c r="T26" i="2"/>
  <c r="E479" i="7"/>
  <c r="E478" i="7"/>
  <c r="E479" i="5"/>
  <c r="E478" i="5"/>
  <c r="E479" i="4"/>
  <c r="E478" i="4"/>
  <c r="T28" i="2"/>
  <c r="B40" i="3"/>
  <c r="F13" i="4"/>
  <c r="F14" i="4"/>
  <c r="F15" i="4"/>
  <c r="F16" i="4"/>
  <c r="G165" i="7"/>
  <c r="G165" i="4"/>
  <c r="G165" i="5"/>
  <c r="E17" i="4"/>
  <c r="G17" i="4"/>
  <c r="C17" i="4"/>
  <c r="B703" i="4"/>
  <c r="B674" i="4"/>
  <c r="B704" i="4" s="1"/>
  <c r="W15" i="4" s="1"/>
  <c r="T7" i="1"/>
  <c r="F8" i="1"/>
  <c r="R8" i="1"/>
  <c r="S8" i="1" s="1"/>
  <c r="T10" i="1"/>
  <c r="F12" i="1"/>
  <c r="R14" i="1"/>
  <c r="P27" i="1"/>
  <c r="B43" i="3"/>
  <c r="D10" i="3"/>
  <c r="B27" i="2"/>
  <c r="B7" i="2"/>
  <c r="B24" i="2" s="1"/>
  <c r="R12" i="2"/>
  <c r="S12" i="2" s="1"/>
  <c r="R14" i="2"/>
  <c r="S14" i="2" s="1"/>
  <c r="G244" i="7"/>
  <c r="G244" i="4"/>
  <c r="G244" i="5"/>
  <c r="P19" i="2"/>
  <c r="G322" i="7"/>
  <c r="G322" i="4"/>
  <c r="G322" i="5"/>
  <c r="H323" i="7"/>
  <c r="H323" i="4"/>
  <c r="H323" i="5"/>
  <c r="E400" i="7"/>
  <c r="E400" i="4"/>
  <c r="E400" i="5"/>
  <c r="T25" i="2"/>
  <c r="E402" i="7"/>
  <c r="E402" i="4"/>
  <c r="E402" i="5"/>
  <c r="R27" i="2"/>
  <c r="S27" i="2" s="1"/>
  <c r="T27" i="2"/>
  <c r="D7" i="3"/>
  <c r="B42" i="3"/>
  <c r="H13" i="4"/>
  <c r="H14" i="4"/>
  <c r="H15" i="4"/>
  <c r="H16" i="4"/>
  <c r="F17" i="4"/>
  <c r="B139" i="4"/>
  <c r="B140" i="4" s="1"/>
  <c r="E165" i="7"/>
  <c r="E165" i="4"/>
  <c r="E165" i="5"/>
  <c r="E244" i="7"/>
  <c r="E244" i="4"/>
  <c r="G324" i="7"/>
  <c r="G324" i="4"/>
  <c r="G324" i="5"/>
  <c r="E325" i="7"/>
  <c r="E325" i="4"/>
  <c r="E325" i="5"/>
  <c r="B45" i="3"/>
  <c r="D12" i="4"/>
  <c r="H12" i="4"/>
  <c r="H19" i="4"/>
  <c r="D19" i="4"/>
  <c r="G19" i="4"/>
  <c r="F21" i="4"/>
  <c r="K110" i="4"/>
  <c r="K268" i="4"/>
  <c r="K349" i="4"/>
  <c r="K424" i="4"/>
  <c r="K660" i="4"/>
  <c r="B691" i="4"/>
  <c r="B692" i="4" s="1"/>
  <c r="G689" i="4"/>
  <c r="K739" i="4"/>
  <c r="O37" i="6"/>
  <c r="B61" i="5"/>
  <c r="N100" i="5"/>
  <c r="H100" i="5" s="1"/>
  <c r="B139" i="5"/>
  <c r="B140" i="5" s="1"/>
  <c r="E244" i="5"/>
  <c r="G21" i="4"/>
  <c r="B58" i="4"/>
  <c r="B298" i="4"/>
  <c r="B299" i="4" s="1"/>
  <c r="G296" i="4"/>
  <c r="K347" i="4"/>
  <c r="K503" i="4"/>
  <c r="B770" i="4"/>
  <c r="B771" i="4" s="1"/>
  <c r="G768" i="4"/>
  <c r="E12" i="5"/>
  <c r="D12" i="5"/>
  <c r="G12" i="5"/>
  <c r="C12" i="5"/>
  <c r="E18" i="5"/>
  <c r="H18" i="5"/>
  <c r="D18" i="5"/>
  <c r="G18" i="5"/>
  <c r="C18" i="5"/>
  <c r="G84" i="5"/>
  <c r="K109" i="5"/>
  <c r="K111" i="5"/>
  <c r="N180" i="5"/>
  <c r="H180" i="5" s="1"/>
  <c r="K269" i="5"/>
  <c r="B298" i="5"/>
  <c r="B299" i="5" s="1"/>
  <c r="G296" i="5"/>
  <c r="K346" i="5"/>
  <c r="K348" i="5"/>
  <c r="H18" i="4"/>
  <c r="D18" i="4"/>
  <c r="G18" i="4"/>
  <c r="C21" i="4"/>
  <c r="K267" i="4"/>
  <c r="K269" i="4"/>
  <c r="K350" i="4"/>
  <c r="K661" i="4"/>
  <c r="K740" i="4"/>
  <c r="K747" i="4"/>
  <c r="K749" i="4"/>
  <c r="F12" i="5"/>
  <c r="F18" i="5"/>
  <c r="K189" i="5"/>
  <c r="B219" i="4"/>
  <c r="B220" i="4" s="1"/>
  <c r="G217" i="4"/>
  <c r="B377" i="4"/>
  <c r="B378" i="4" s="1"/>
  <c r="G375" i="4"/>
  <c r="B455" i="4"/>
  <c r="B456" i="4" s="1"/>
  <c r="G453" i="4"/>
  <c r="B595" i="4"/>
  <c r="B625" i="4" s="1"/>
  <c r="W14" i="4" s="1"/>
  <c r="B624" i="4"/>
  <c r="N573" i="4"/>
  <c r="H573" i="4" s="1"/>
  <c r="N652" i="4"/>
  <c r="H652" i="4" s="1"/>
  <c r="B782" i="4"/>
  <c r="E19" i="5"/>
  <c r="H19" i="5"/>
  <c r="D19" i="5"/>
  <c r="G19" i="5"/>
  <c r="C19" i="5"/>
  <c r="B377" i="5"/>
  <c r="B378" i="5" s="1"/>
  <c r="G375" i="5"/>
  <c r="B753" i="5"/>
  <c r="B783" i="5" s="1"/>
  <c r="W16" i="5" s="1"/>
  <c r="B782" i="5"/>
  <c r="Q20" i="6"/>
  <c r="D21" i="5"/>
  <c r="K350" i="5"/>
  <c r="K427" i="5"/>
  <c r="K502" i="5"/>
  <c r="G531" i="5"/>
  <c r="N573" i="5"/>
  <c r="H573" i="5" s="1"/>
  <c r="B612" i="5"/>
  <c r="B613" i="5" s="1"/>
  <c r="G610" i="5"/>
  <c r="B674" i="5"/>
  <c r="B704" i="5" s="1"/>
  <c r="W15" i="5" s="1"/>
  <c r="K742" i="5"/>
  <c r="K744" i="5"/>
  <c r="G88" i="7"/>
  <c r="C14" i="7"/>
  <c r="F14" i="7"/>
  <c r="D14" i="7"/>
  <c r="G16" i="7"/>
  <c r="C16" i="7"/>
  <c r="F16" i="7"/>
  <c r="D16" i="7"/>
  <c r="B377" i="7"/>
  <c r="B378" i="7" s="1"/>
  <c r="G375" i="7"/>
  <c r="B595" i="5"/>
  <c r="B625" i="5" s="1"/>
  <c r="W14" i="5" s="1"/>
  <c r="Q27" i="6"/>
  <c r="K426" i="5"/>
  <c r="N652" i="5"/>
  <c r="H652" i="5" s="1"/>
  <c r="B703" i="5"/>
  <c r="N731" i="5"/>
  <c r="H731" i="5" s="1"/>
  <c r="K743" i="5"/>
  <c r="K750" i="5"/>
  <c r="B770" i="5"/>
  <c r="B771" i="5" s="1"/>
  <c r="AE40" i="6"/>
  <c r="AG40" i="6"/>
  <c r="S16" i="6"/>
  <c r="T16" i="6" s="1"/>
  <c r="E92" i="7"/>
  <c r="U25" i="6"/>
  <c r="D19" i="7"/>
  <c r="G19" i="7"/>
  <c r="F21" i="7"/>
  <c r="G90" i="7"/>
  <c r="C13" i="7"/>
  <c r="C15" i="7"/>
  <c r="G17" i="7"/>
  <c r="C17" i="7"/>
  <c r="D12" i="7"/>
  <c r="D13" i="7"/>
  <c r="D15" i="7"/>
  <c r="D17" i="7"/>
  <c r="D18" i="7"/>
  <c r="G18" i="7"/>
  <c r="C21" i="7"/>
  <c r="K188" i="7"/>
  <c r="K270" i="7"/>
  <c r="B298" i="7"/>
  <c r="B299" i="7" s="1"/>
  <c r="K346" i="7"/>
  <c r="K504" i="7"/>
  <c r="K583" i="7"/>
  <c r="K739" i="7"/>
  <c r="B752" i="7" s="1"/>
  <c r="K746" i="7"/>
  <c r="K748" i="7"/>
  <c r="K268" i="7"/>
  <c r="K349" i="7"/>
  <c r="K425" i="7"/>
  <c r="K427" i="7"/>
  <c r="K502" i="7"/>
  <c r="G531" i="7"/>
  <c r="B612" i="7"/>
  <c r="B613" i="7" s="1"/>
  <c r="G610" i="7"/>
  <c r="B674" i="7"/>
  <c r="B704" i="7" s="1"/>
  <c r="K742" i="7"/>
  <c r="K744" i="7"/>
  <c r="K189" i="7"/>
  <c r="K582" i="7"/>
  <c r="B595" i="7"/>
  <c r="B625" i="7" s="1"/>
  <c r="K660" i="7"/>
  <c r="K740" i="7"/>
  <c r="K747" i="7"/>
  <c r="B770" i="7"/>
  <c r="B771" i="7" s="1"/>
  <c r="AP42" i="6" l="1"/>
  <c r="AP46" i="6" s="1"/>
  <c r="DG42" i="6" s="1"/>
  <c r="AP4" i="6"/>
  <c r="AP14" i="6" s="1"/>
  <c r="DG38" i="6" s="1"/>
  <c r="AP7" i="6"/>
  <c r="AP17" i="6" s="1"/>
  <c r="DG41" i="6" s="1"/>
  <c r="AP6" i="6"/>
  <c r="AP16" i="6" s="1"/>
  <c r="DG40" i="6" s="1"/>
  <c r="AP5" i="6"/>
  <c r="AP15" i="6" s="1"/>
  <c r="DG39" i="6" s="1"/>
  <c r="DG22" i="6"/>
  <c r="DG57" i="6"/>
  <c r="DG49" i="6"/>
  <c r="DG18" i="6"/>
  <c r="DG6" i="6"/>
  <c r="DG21" i="6"/>
  <c r="DG17" i="6"/>
  <c r="DG9" i="6"/>
  <c r="DG56" i="6"/>
  <c r="DG48" i="6"/>
  <c r="DG59" i="6"/>
  <c r="DG51" i="6"/>
  <c r="DG24" i="6"/>
  <c r="DG20" i="6"/>
  <c r="DG16" i="6"/>
  <c r="DG12" i="6"/>
  <c r="DG23" i="6"/>
  <c r="DG19" i="6"/>
  <c r="DG11" i="6"/>
  <c r="DG58" i="6"/>
  <c r="DG50" i="6"/>
  <c r="AP28" i="6"/>
  <c r="AP35" i="6" s="1"/>
  <c r="AP43" i="6"/>
  <c r="AP47" i="6" s="1"/>
  <c r="AP26" i="6"/>
  <c r="AP33" i="6" s="1"/>
  <c r="AP27" i="6"/>
  <c r="AP34" i="6" s="1"/>
  <c r="Q29" i="6"/>
  <c r="F24" i="6"/>
  <c r="O29" i="6"/>
  <c r="Q26" i="6"/>
  <c r="I108" i="7" s="1"/>
  <c r="O6" i="6"/>
  <c r="O17" i="6"/>
  <c r="O7" i="6"/>
  <c r="O18" i="6"/>
  <c r="O31" i="6" s="1"/>
  <c r="G4" i="6"/>
  <c r="U24" i="6"/>
  <c r="Q17" i="6"/>
  <c r="G84" i="7" s="1"/>
  <c r="Q6" i="6"/>
  <c r="Q8" i="6"/>
  <c r="Q7" i="6"/>
  <c r="Q9" i="6"/>
  <c r="R9" i="6" s="1"/>
  <c r="H15" i="7" s="1"/>
  <c r="S9" i="6"/>
  <c r="T9" i="6" s="1"/>
  <c r="S6" i="6"/>
  <c r="T6" i="6" s="1"/>
  <c r="U20" i="6"/>
  <c r="E87" i="7"/>
  <c r="S20" i="6"/>
  <c r="T20" i="6" s="1"/>
  <c r="R26" i="6"/>
  <c r="J108" i="7" s="1"/>
  <c r="Q25" i="6"/>
  <c r="R25" i="6" s="1"/>
  <c r="Q19" i="6"/>
  <c r="G86" i="7" s="1"/>
  <c r="Q18" i="6"/>
  <c r="G85" i="7" s="1"/>
  <c r="D33" i="8"/>
  <c r="S25" i="6"/>
  <c r="B33" i="8" s="1"/>
  <c r="G21" i="7"/>
  <c r="N28" i="5"/>
  <c r="H28" i="5" s="1"/>
  <c r="T9" i="1"/>
  <c r="P40" i="1" s="1"/>
  <c r="R9" i="1"/>
  <c r="S9" i="1" s="1"/>
  <c r="N27" i="1"/>
  <c r="T27" i="1" s="1"/>
  <c r="P41" i="1" s="1"/>
  <c r="D4" i="3"/>
  <c r="B25" i="2"/>
  <c r="B39" i="3"/>
  <c r="F21" i="2"/>
  <c r="G245" i="7"/>
  <c r="G245" i="4"/>
  <c r="G245" i="5"/>
  <c r="Q19" i="2"/>
  <c r="H86" i="5"/>
  <c r="G28" i="4"/>
  <c r="H86" i="4"/>
  <c r="B359" i="5"/>
  <c r="G400" i="7"/>
  <c r="G400" i="4"/>
  <c r="G400" i="5"/>
  <c r="Q25" i="2"/>
  <c r="G478" i="7"/>
  <c r="G479" i="7"/>
  <c r="G478" i="5"/>
  <c r="G479" i="5"/>
  <c r="G478" i="4"/>
  <c r="G479" i="4"/>
  <c r="Q28" i="2"/>
  <c r="I34" i="7"/>
  <c r="G87" i="7"/>
  <c r="R20" i="6"/>
  <c r="H87" i="7" s="1"/>
  <c r="G137" i="4"/>
  <c r="B359" i="7"/>
  <c r="B50" i="3"/>
  <c r="D30" i="3"/>
  <c r="B41" i="3"/>
  <c r="F17" i="2"/>
  <c r="D6" i="3"/>
  <c r="F19" i="2"/>
  <c r="F18" i="2"/>
  <c r="N42" i="1"/>
  <c r="S14" i="1"/>
  <c r="G243" i="7"/>
  <c r="G243" i="4"/>
  <c r="G243" i="5"/>
  <c r="Q17" i="2"/>
  <c r="B66" i="7"/>
  <c r="B68" i="7" s="1"/>
  <c r="B67" i="7" s="1"/>
  <c r="G34" i="6"/>
  <c r="B54" i="7" s="1"/>
  <c r="B34" i="6"/>
  <c r="H85" i="5"/>
  <c r="H85" i="4"/>
  <c r="G164" i="7"/>
  <c r="G164" i="4"/>
  <c r="G164" i="5"/>
  <c r="Q15" i="2"/>
  <c r="G402" i="7"/>
  <c r="G402" i="5"/>
  <c r="G402" i="4"/>
  <c r="Q27" i="2"/>
  <c r="G14" i="5"/>
  <c r="Q8" i="1"/>
  <c r="H14" i="5" s="1"/>
  <c r="H246" i="7"/>
  <c r="H246" i="5"/>
  <c r="H246" i="4"/>
  <c r="G35" i="6"/>
  <c r="B133" i="7" s="1"/>
  <c r="B145" i="7" s="1"/>
  <c r="B147" i="7" s="1"/>
  <c r="B146" i="7" s="1"/>
  <c r="B121" i="4"/>
  <c r="G21" i="5"/>
  <c r="Q15" i="1"/>
  <c r="H21" i="5" s="1"/>
  <c r="B121" i="5"/>
  <c r="S6" i="1"/>
  <c r="G15" i="5"/>
  <c r="Q9" i="1"/>
  <c r="H15" i="5" s="1"/>
  <c r="B753" i="7"/>
  <c r="B783" i="7" s="1"/>
  <c r="B782" i="7"/>
  <c r="I109" i="7"/>
  <c r="H12" i="5"/>
  <c r="B60" i="4"/>
  <c r="B61" i="4" s="1"/>
  <c r="B8" i="2"/>
  <c r="G35" i="2" s="1"/>
  <c r="B44" i="3"/>
  <c r="F108" i="7"/>
  <c r="S26" i="6"/>
  <c r="F33" i="7"/>
  <c r="U26" i="6"/>
  <c r="B359" i="4"/>
  <c r="H401" i="7"/>
  <c r="H401" i="5"/>
  <c r="H401" i="4"/>
  <c r="F22" i="2"/>
  <c r="G13" i="5"/>
  <c r="Q7" i="1"/>
  <c r="H13" i="5" s="1"/>
  <c r="DG8" i="6" l="1"/>
  <c r="DG54" i="6"/>
  <c r="DG15" i="6"/>
  <c r="DG47" i="6"/>
  <c r="DG44" i="6"/>
  <c r="DG5" i="6"/>
  <c r="DG45" i="6"/>
  <c r="DG10" i="6"/>
  <c r="DG46" i="6"/>
  <c r="DG7" i="6"/>
  <c r="DG55" i="6"/>
  <c r="DG52" i="6"/>
  <c r="DG13" i="6"/>
  <c r="DG14" i="6"/>
  <c r="DG53" i="6"/>
  <c r="I33" i="7"/>
  <c r="U6" i="6"/>
  <c r="O30" i="6"/>
  <c r="U7" i="6"/>
  <c r="S29" i="6"/>
  <c r="T29" i="6" s="1"/>
  <c r="U29" i="6"/>
  <c r="R7" i="6"/>
  <c r="H13" i="7" s="1"/>
  <c r="F12" i="6"/>
  <c r="R34" i="6"/>
  <c r="O19" i="6"/>
  <c r="O28" i="6"/>
  <c r="S7" i="6"/>
  <c r="T7" i="6" s="1"/>
  <c r="O8" i="6"/>
  <c r="R29" i="6"/>
  <c r="G14" i="7"/>
  <c r="R6" i="6"/>
  <c r="S31" i="6"/>
  <c r="T31" i="6" s="1"/>
  <c r="U31" i="6"/>
  <c r="R31" i="6"/>
  <c r="E91" i="7"/>
  <c r="F13" i="6"/>
  <c r="F8" i="6"/>
  <c r="R10" i="6"/>
  <c r="U10" i="6"/>
  <c r="S10" i="6"/>
  <c r="T10" i="6" s="1"/>
  <c r="S24" i="6"/>
  <c r="T24" i="6" s="1"/>
  <c r="F21" i="6"/>
  <c r="F20" i="6"/>
  <c r="F22" i="6"/>
  <c r="R24" i="6"/>
  <c r="H91" i="7" s="1"/>
  <c r="F10" i="6"/>
  <c r="F7" i="6"/>
  <c r="B19" i="8"/>
  <c r="E16" i="7"/>
  <c r="F9" i="6"/>
  <c r="F11" i="6"/>
  <c r="F6" i="6"/>
  <c r="G15" i="7"/>
  <c r="G12" i="7"/>
  <c r="G13" i="7"/>
  <c r="J33" i="7"/>
  <c r="G92" i="7"/>
  <c r="AZ48" i="6"/>
  <c r="CK47" i="6" s="1"/>
  <c r="AZ24" i="6"/>
  <c r="CK23" i="6" s="1"/>
  <c r="AZ20" i="6"/>
  <c r="CK19" i="6" s="1"/>
  <c r="B51" i="7"/>
  <c r="AZ9" i="6"/>
  <c r="CK8" i="6" s="1"/>
  <c r="AZ50" i="6"/>
  <c r="CK49" i="6" s="1"/>
  <c r="AZ49" i="6"/>
  <c r="CK48" i="6" s="1"/>
  <c r="R18" i="6"/>
  <c r="H85" i="7" s="1"/>
  <c r="R19" i="6"/>
  <c r="H86" i="7" s="1"/>
  <c r="T25" i="6"/>
  <c r="B32" i="8"/>
  <c r="D32" i="8" s="1"/>
  <c r="B6" i="8"/>
  <c r="E12" i="7"/>
  <c r="E84" i="7"/>
  <c r="S17" i="6"/>
  <c r="T17" i="6" s="1"/>
  <c r="U17" i="6"/>
  <c r="N40" i="1"/>
  <c r="R17" i="6"/>
  <c r="E85" i="7"/>
  <c r="S18" i="6"/>
  <c r="T18" i="6" s="1"/>
  <c r="U18" i="6"/>
  <c r="E13" i="7"/>
  <c r="R27" i="1"/>
  <c r="S27" i="1" s="1"/>
  <c r="Q27" i="1"/>
  <c r="Q31" i="1" s="1"/>
  <c r="B42" i="5"/>
  <c r="B43" i="5" s="1"/>
  <c r="B73" i="5" s="1"/>
  <c r="W7" i="5" s="1"/>
  <c r="D20" i="8"/>
  <c r="E89" i="7"/>
  <c r="U22" i="6"/>
  <c r="S22" i="6"/>
  <c r="T22" i="6" s="1"/>
  <c r="R22" i="6"/>
  <c r="H89" i="7" s="1"/>
  <c r="H243" i="7"/>
  <c r="B280" i="7" s="1"/>
  <c r="H243" i="4"/>
  <c r="H243" i="5"/>
  <c r="B42" i="4"/>
  <c r="B54" i="4"/>
  <c r="B35" i="2"/>
  <c r="H402" i="7"/>
  <c r="H402" i="5"/>
  <c r="H402" i="4"/>
  <c r="H164" i="5"/>
  <c r="B201" i="5" s="1"/>
  <c r="H164" i="7"/>
  <c r="B201" i="7" s="1"/>
  <c r="H164" i="4"/>
  <c r="B201" i="4" s="1"/>
  <c r="H21" i="4"/>
  <c r="B360" i="7"/>
  <c r="B390" i="7" s="1"/>
  <c r="B389" i="7"/>
  <c r="B52" i="3"/>
  <c r="D32" i="3"/>
  <c r="B389" i="4"/>
  <c r="B360" i="4"/>
  <c r="B390" i="4" s="1"/>
  <c r="W11" i="4" s="1"/>
  <c r="S23" i="6"/>
  <c r="T23" i="6" s="1"/>
  <c r="U23" i="6"/>
  <c r="E90" i="7"/>
  <c r="R23" i="6"/>
  <c r="H90" i="7" s="1"/>
  <c r="Q31" i="2"/>
  <c r="U11" i="6"/>
  <c r="S11" i="6"/>
  <c r="T11" i="6" s="1"/>
  <c r="R11" i="6"/>
  <c r="E17" i="7"/>
  <c r="D29" i="3"/>
  <c r="B49" i="3"/>
  <c r="U13" i="6"/>
  <c r="S13" i="6"/>
  <c r="T13" i="6" s="1"/>
  <c r="R13" i="6"/>
  <c r="H19" i="7" s="1"/>
  <c r="E19" i="7"/>
  <c r="H479" i="7"/>
  <c r="H478" i="7"/>
  <c r="B515" i="7" s="1"/>
  <c r="H479" i="5"/>
  <c r="H478" i="4"/>
  <c r="H478" i="5"/>
  <c r="H479" i="4"/>
  <c r="D31" i="3"/>
  <c r="B51" i="3"/>
  <c r="H92" i="7"/>
  <c r="B26" i="8"/>
  <c r="B122" i="5"/>
  <c r="B152" i="5" s="1"/>
  <c r="W8" i="5" s="1"/>
  <c r="B151" i="5"/>
  <c r="E28" i="7"/>
  <c r="U14" i="6"/>
  <c r="I28" i="7"/>
  <c r="S14" i="6"/>
  <c r="R14" i="6"/>
  <c r="B122" i="4"/>
  <c r="B152" i="4" s="1"/>
  <c r="W8" i="4" s="1"/>
  <c r="B151" i="4"/>
  <c r="B12" i="8"/>
  <c r="D12" i="8" s="1"/>
  <c r="B35" i="6"/>
  <c r="D27" i="3"/>
  <c r="B47" i="3"/>
  <c r="E88" i="7"/>
  <c r="S21" i="6"/>
  <c r="T21" i="6" s="1"/>
  <c r="U21" i="6"/>
  <c r="R21" i="6"/>
  <c r="B20" i="8"/>
  <c r="T26" i="6"/>
  <c r="U12" i="6"/>
  <c r="E18" i="7"/>
  <c r="S12" i="6"/>
  <c r="T12" i="6" s="1"/>
  <c r="R12" i="6"/>
  <c r="H18" i="7" s="1"/>
  <c r="N35" i="1"/>
  <c r="B48" i="3"/>
  <c r="D28" i="3"/>
  <c r="H400" i="7"/>
  <c r="H400" i="5"/>
  <c r="H400" i="4"/>
  <c r="B437" i="4" s="1"/>
  <c r="B389" i="5"/>
  <c r="B360" i="5"/>
  <c r="B390" i="5" s="1"/>
  <c r="W11" i="5" s="1"/>
  <c r="H245" i="7"/>
  <c r="H245" i="4"/>
  <c r="H245" i="5"/>
  <c r="H16" i="7" l="1"/>
  <c r="AP22" i="6"/>
  <c r="DG35" i="6" s="1"/>
  <c r="AZ44" i="6"/>
  <c r="CK43" i="6" s="1"/>
  <c r="AZ45" i="6"/>
  <c r="CK44" i="6" s="1"/>
  <c r="B27" i="6"/>
  <c r="AZ37" i="6"/>
  <c r="CK36" i="6" s="1"/>
  <c r="AZ38" i="6"/>
  <c r="CK37" i="6" s="1"/>
  <c r="AZ33" i="6"/>
  <c r="CK32" i="6" s="1"/>
  <c r="AZ23" i="6"/>
  <c r="CK22" i="6" s="1"/>
  <c r="B13" i="8"/>
  <c r="D13" i="8" s="1"/>
  <c r="O27" i="6"/>
  <c r="AZ40" i="6"/>
  <c r="CK39" i="6" s="1"/>
  <c r="AZ19" i="6"/>
  <c r="CK18" i="6" s="1"/>
  <c r="AZ12" i="6"/>
  <c r="CK11" i="6" s="1"/>
  <c r="U8" i="6"/>
  <c r="S8" i="6"/>
  <c r="T8" i="6" s="1"/>
  <c r="R8" i="6"/>
  <c r="E86" i="7"/>
  <c r="B25" i="8"/>
  <c r="S19" i="6"/>
  <c r="T19" i="6" s="1"/>
  <c r="U19" i="6"/>
  <c r="U30" i="6"/>
  <c r="S30" i="6"/>
  <c r="T30" i="6" s="1"/>
  <c r="R30" i="6"/>
  <c r="AZ30" i="6"/>
  <c r="CK29" i="6" s="1"/>
  <c r="B23" i="8"/>
  <c r="H84" i="7"/>
  <c r="H12" i="7"/>
  <c r="U28" i="6"/>
  <c r="F109" i="7"/>
  <c r="R28" i="6"/>
  <c r="J109" i="7" s="1"/>
  <c r="S28" i="6"/>
  <c r="T28" i="6" s="1"/>
  <c r="H14" i="7"/>
  <c r="E14" i="7"/>
  <c r="N41" i="1"/>
  <c r="B58" i="7"/>
  <c r="G58" i="7" s="1"/>
  <c r="B72" i="5"/>
  <c r="B281" i="7"/>
  <c r="B311" i="7" s="1"/>
  <c r="B310" i="7"/>
  <c r="B437" i="5"/>
  <c r="B7" i="8"/>
  <c r="G28" i="7"/>
  <c r="H17" i="7"/>
  <c r="I5" i="8"/>
  <c r="O36" i="6"/>
  <c r="B437" i="7"/>
  <c r="B31" i="8"/>
  <c r="B130" i="7"/>
  <c r="H88" i="7"/>
  <c r="I24" i="8"/>
  <c r="J28" i="7"/>
  <c r="L28" i="7" s="1"/>
  <c r="N28" i="7" s="1"/>
  <c r="H28" i="7" s="1"/>
  <c r="B515" i="4"/>
  <c r="G58" i="5"/>
  <c r="G58" i="4"/>
  <c r="B280" i="4"/>
  <c r="B438" i="4"/>
  <c r="B468" i="4" s="1"/>
  <c r="W12" i="4" s="1"/>
  <c r="B467" i="4"/>
  <c r="D14" i="8"/>
  <c r="Q42" i="6"/>
  <c r="B231" i="4"/>
  <c r="B202" i="4"/>
  <c r="B232" i="4" s="1"/>
  <c r="W9" i="4" s="1"/>
  <c r="W18" i="5"/>
  <c r="V31" i="5" s="1"/>
  <c r="W21" i="5"/>
  <c r="B516" i="7"/>
  <c r="B546" i="7" s="1"/>
  <c r="B545" i="7"/>
  <c r="B202" i="7"/>
  <c r="B232" i="7" s="1"/>
  <c r="B231" i="7"/>
  <c r="B72" i="4"/>
  <c r="B43" i="4"/>
  <c r="B73" i="4" s="1"/>
  <c r="W7" i="4" s="1"/>
  <c r="W18" i="4" s="1"/>
  <c r="V31" i="4" s="1"/>
  <c r="B14" i="8"/>
  <c r="O42" i="6"/>
  <c r="T14" i="6"/>
  <c r="B515" i="5"/>
  <c r="B231" i="5"/>
  <c r="B202" i="5"/>
  <c r="B232" i="5" s="1"/>
  <c r="W9" i="5" s="1"/>
  <c r="B280" i="5"/>
  <c r="D30" i="8" l="1"/>
  <c r="D35" i="8" s="1"/>
  <c r="B30" i="8"/>
  <c r="B35" i="8" s="1"/>
  <c r="AZ31" i="6"/>
  <c r="CK30" i="6" s="1"/>
  <c r="AZ43" i="6"/>
  <c r="CK42" i="6" s="1"/>
  <c r="AZ10" i="6"/>
  <c r="CK9" i="6" s="1"/>
  <c r="AZ32" i="6"/>
  <c r="CK31" i="6" s="1"/>
  <c r="AZ26" i="6"/>
  <c r="CK25" i="6" s="1"/>
  <c r="AZ47" i="6"/>
  <c r="CK46" i="6" s="1"/>
  <c r="AZ34" i="6"/>
  <c r="CK33" i="6" s="1"/>
  <c r="AZ27" i="6"/>
  <c r="CK26" i="6" s="1"/>
  <c r="AP55" i="6"/>
  <c r="AZ35" i="6"/>
  <c r="CK34" i="6" s="1"/>
  <c r="AZ28" i="6"/>
  <c r="CK27" i="6" s="1"/>
  <c r="B137" i="7"/>
  <c r="AP39" i="6" s="1"/>
  <c r="DG72" i="6" s="1"/>
  <c r="AZ21" i="6"/>
  <c r="CK20" i="6" s="1"/>
  <c r="R33" i="6"/>
  <c r="B60" i="7"/>
  <c r="O40" i="6"/>
  <c r="B11" i="8"/>
  <c r="B16" i="8" s="1"/>
  <c r="O35" i="6"/>
  <c r="B4" i="8"/>
  <c r="B121" i="7"/>
  <c r="B122" i="7" s="1"/>
  <c r="Q40" i="6"/>
  <c r="D11" i="8"/>
  <c r="D16" i="8" s="1"/>
  <c r="F34" i="7"/>
  <c r="U27" i="6"/>
  <c r="R27" i="6"/>
  <c r="S27" i="6"/>
  <c r="B516" i="5"/>
  <c r="B546" i="5" s="1"/>
  <c r="W13" i="5" s="1"/>
  <c r="B545" i="5"/>
  <c r="B516" i="4"/>
  <c r="B546" i="4" s="1"/>
  <c r="W13" i="4" s="1"/>
  <c r="B545" i="4"/>
  <c r="B438" i="7"/>
  <c r="B468" i="7" s="1"/>
  <c r="B467" i="7"/>
  <c r="B438" i="5"/>
  <c r="B468" i="5" s="1"/>
  <c r="W12" i="5" s="1"/>
  <c r="B467" i="5"/>
  <c r="D31" i="8"/>
  <c r="B36" i="8"/>
  <c r="B281" i="4"/>
  <c r="B311" i="4" s="1"/>
  <c r="W10" i="4" s="1"/>
  <c r="B310" i="4"/>
  <c r="B310" i="5"/>
  <c r="B281" i="5"/>
  <c r="B311" i="5" s="1"/>
  <c r="W10" i="5" s="1"/>
  <c r="D36" i="8" l="1"/>
  <c r="AZ39" i="6"/>
  <c r="CK38" i="6" s="1"/>
  <c r="AO39" i="16"/>
  <c r="AY39" i="16" s="1"/>
  <c r="CJ38" i="16" s="1"/>
  <c r="AO39" i="15"/>
  <c r="AY39" i="15" s="1"/>
  <c r="CJ38" i="15" s="1"/>
  <c r="AO22" i="16"/>
  <c r="AY22" i="16" s="1"/>
  <c r="CJ21" i="16" s="1"/>
  <c r="AO22" i="15"/>
  <c r="AY22" i="15" s="1"/>
  <c r="CJ21" i="15" s="1"/>
  <c r="F5" i="8"/>
  <c r="B5" i="8" s="1"/>
  <c r="B8" i="8" s="1"/>
  <c r="AZ22" i="6"/>
  <c r="CK21" i="6" s="1"/>
  <c r="AZ7" i="6"/>
  <c r="AZ4" i="6"/>
  <c r="AZ42" i="6"/>
  <c r="CK41" i="6" s="1"/>
  <c r="AP54" i="6"/>
  <c r="AZ5" i="6"/>
  <c r="AZ6" i="6"/>
  <c r="AP57" i="6"/>
  <c r="B61" i="7"/>
  <c r="Q41" i="6"/>
  <c r="AZ11" i="6"/>
  <c r="CK10" i="6" s="1"/>
  <c r="B17" i="8"/>
  <c r="G137" i="7"/>
  <c r="T27" i="6"/>
  <c r="O41" i="6"/>
  <c r="J34" i="7"/>
  <c r="D17" i="8"/>
  <c r="F24" i="8"/>
  <c r="B24" i="8" s="1"/>
  <c r="B27" i="8" s="1"/>
  <c r="B140" i="7"/>
  <c r="B152" i="7" s="1"/>
  <c r="W8" i="7" s="1"/>
  <c r="B151" i="7"/>
  <c r="AZ16" i="6" l="1"/>
  <c r="CK15" i="6" s="1"/>
  <c r="CK5" i="6"/>
  <c r="AZ15" i="6"/>
  <c r="CK14" i="6" s="1"/>
  <c r="CK4" i="6"/>
  <c r="AZ17" i="6"/>
  <c r="CK16" i="6" s="1"/>
  <c r="CK6" i="6"/>
  <c r="AZ14" i="6"/>
  <c r="CK13" i="6" s="1"/>
  <c r="CK3" i="6"/>
  <c r="AZ46" i="6"/>
  <c r="CK45" i="6" s="1"/>
  <c r="AP56" i="6"/>
  <c r="B42" i="7"/>
  <c r="B43" i="7" s="1"/>
  <c r="B73" i="7" s="1"/>
  <c r="W7" i="7" s="1"/>
  <c r="W18" i="7" l="1"/>
  <c r="V31" i="7" s="1"/>
  <c r="W21" i="7"/>
  <c r="B72" i="7"/>
</calcChain>
</file>

<file path=xl/comments1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2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4.xml><?xml version="1.0" encoding="utf-8"?>
<comments xmlns="http://schemas.openxmlformats.org/spreadsheetml/2006/main">
  <authors>
    <author/>
    <author>Glenn Reynders</author>
  </authors>
  <commentList>
    <comment ref="W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Z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5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5.xml><?xml version="1.0" encoding="utf-8"?>
<comments xmlns="http://schemas.openxmlformats.org/spreadsheetml/2006/main">
  <authors>
    <author/>
    <author>Glenn Reynders</author>
  </authors>
  <commentList>
    <comment ref="W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Z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5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6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2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7.xml><?xml version="1.0" encoding="utf-8"?>
<comments xmlns="http://schemas.openxmlformats.org/spreadsheetml/2006/main">
  <authors>
    <author/>
    <author>Glenn Reynders</author>
  </authors>
  <commentList>
    <comment ref="X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5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sharedStrings.xml><?xml version="1.0" encoding="utf-8"?>
<sst xmlns="http://schemas.openxmlformats.org/spreadsheetml/2006/main" count="19552" uniqueCount="512">
  <si>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</si>
  <si>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</si>
  <si>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</si>
  <si>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</si>
  <si>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</si>
  <si>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</si>
  <si>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</si>
  <si>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</si>
  <si>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</si>
  <si>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</si>
  <si>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</si>
  <si>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</si>
  <si>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</si>
  <si>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</si>
  <si>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</si>
  <si>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</si>
  <si>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</si>
  <si>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</si>
  <si>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</si>
  <si>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</si>
  <si>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</si>
  <si>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</si>
  <si>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</si>
  <si>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</si>
  <si>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</si>
  <si>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</si>
  <si>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</si>
  <si>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</si>
  <si>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</si>
  <si>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</si>
  <si>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</si>
  <si>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</si>
  <si>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</si>
  <si>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</si>
  <si>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</si>
  <si>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</si>
  <si>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</si>
  <si>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</si>
  <si>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</si>
  <si>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</si>
  <si>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</si>
  <si>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</si>
  <si>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</si>
  <si>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</si>
  <si>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</si>
  <si>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</si>
  <si>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</si>
  <si>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</si>
  <si>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</si>
  <si>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</si>
  <si>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</si>
  <si>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</si>
  <si>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</si>
  <si>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</si>
  <si>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</si>
  <si>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</si>
  <si>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</si>
  <si>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</si>
  <si>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</si>
  <si>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</si>
  <si>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</si>
  <si>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</si>
  <si>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</si>
  <si>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</si>
  <si>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</si>
  <si>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</si>
  <si>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</si>
  <si>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</si>
  <si>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</si>
  <si>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</si>
  <si>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</si>
  <si>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</si>
  <si>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</si>
  <si>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</si>
  <si>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</si>
  <si>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</si>
  <si>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</si>
  <si>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</si>
  <si>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</si>
  <si>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</si>
  <si>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</si>
  <si>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</si>
  <si>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</si>
  <si>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</si>
  <si>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</si>
  <si>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</si>
  <si>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</si>
  <si>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</si>
  <si>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</si>
  <si>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</si>
  <si>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</si>
  <si>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</si>
  <si>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</si>
  <si>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</si>
  <si>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</si>
  <si>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</si>
  <si>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</si>
  <si>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</si>
  <si>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</si>
  <si>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</si>
  <si>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</si>
  <si>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</si>
  <si>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</si>
  <si>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</si>
  <si>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</si>
  <si>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</si>
  <si>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</si>
  <si>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</si>
  <si>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</si>
  <si>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</si>
  <si>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</si>
  <si>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</si>
  <si>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</si>
  <si>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</si>
  <si>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</si>
  <si>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</si>
  <si>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</si>
  <si>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</si>
  <si>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</si>
  <si>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</si>
  <si>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</si>
  <si>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</si>
  <si>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</si>
  <si>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</si>
  <si>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</si>
  <si>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</si>
  <si>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</si>
  <si>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</si>
  <si>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</si>
  <si>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</si>
  <si>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</si>
  <si>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</si>
  <si>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</si>
  <si>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</si>
  <si>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</si>
  <si>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</si>
  <si>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</si>
  <si>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</si>
  <si>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</si>
  <si>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</si>
  <si>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</si>
  <si>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</si>
  <si>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</si>
  <si>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</si>
  <si>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</si>
  <si>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</si>
  <si>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</si>
  <si>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</si>
  <si>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</si>
  <si>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</si>
  <si>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</si>
  <si>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</si>
  <si>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</si>
  <si>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</si>
  <si>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</si>
  <si>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</si>
  <si>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</si>
  <si>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</si>
  <si>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n50</t>
  </si>
  <si>
    <t>1/h</t>
  </si>
  <si>
    <t>N53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</si>
  <si>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</si>
  <si>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</si>
  <si>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</si>
  <si>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</si>
  <si>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</si>
  <si>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</si>
  <si>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</si>
  <si>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</si>
  <si>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</si>
  <si>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</si>
  <si>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</si>
  <si>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</si>
  <si>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</si>
  <si>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</si>
  <si>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</si>
  <si>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</si>
  <si>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</si>
  <si>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</si>
  <si>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</si>
  <si>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</si>
  <si>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</si>
  <si>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</si>
  <si>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</si>
  <si>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</si>
  <si>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</si>
  <si>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</si>
  <si>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</si>
  <si>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</si>
  <si>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</si>
  <si>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</si>
  <si>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</si>
  <si>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</si>
  <si>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</si>
  <si>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</si>
  <si>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</si>
  <si>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</si>
  <si>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</si>
  <si>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</si>
  <si>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</si>
  <si>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</si>
  <si>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</si>
  <si>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</si>
  <si>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</si>
  <si>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</si>
  <si>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</si>
  <si>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</si>
  <si>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</si>
  <si>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</si>
  <si>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</si>
  <si>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</si>
  <si>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</si>
  <si>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</si>
  <si>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</si>
  <si>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</si>
  <si>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</si>
  <si>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</si>
  <si>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</si>
  <si>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</si>
  <si>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</si>
  <si>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</si>
  <si>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</si>
  <si>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</si>
  <si>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</si>
  <si>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</si>
  <si>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</si>
  <si>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</si>
  <si>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</si>
  <si>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</si>
  <si>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</si>
  <si>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</si>
  <si>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</si>
  <si>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</si>
  <si>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</si>
  <si>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</si>
  <si>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</si>
  <si>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</si>
  <si>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</si>
  <si>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</si>
  <si>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</si>
  <si>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</si>
  <si>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</si>
  <si>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</si>
  <si>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</si>
  <si>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</si>
  <si>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</si>
  <si>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</si>
  <si>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</si>
  <si>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</si>
  <si>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</si>
  <si>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</si>
  <si>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</si>
  <si>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</si>
  <si>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</si>
  <si>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</si>
  <si>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</si>
  <si>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</si>
  <si>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</si>
  <si>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</si>
  <si>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</si>
  <si>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</si>
  <si>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</si>
  <si>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</si>
  <si>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</si>
  <si>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</si>
  <si>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</si>
  <si>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</si>
  <si>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</si>
  <si>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</si>
  <si>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</si>
  <si>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Everything outside insulation layer is ignored (ventilated cavity)</t>
  </si>
  <si>
    <t>Air gap</t>
  </si>
  <si>
    <t>Insulation</t>
  </si>
  <si>
    <t>1 cm isolatie om Uwaarde te halen. In specificatie : geen isolatie?</t>
  </si>
  <si>
    <t>EPS: wij hebben dat thuis en ons huis is van die periode</t>
  </si>
  <si>
    <t>Plaster</t>
  </si>
  <si>
    <t>concrete</t>
  </si>
  <si>
    <t>double glazing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</si>
  <si>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</si>
  <si>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</si>
  <si>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</si>
  <si>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</si>
  <si>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</si>
  <si>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</si>
  <si>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3 cm isolatie to reach tabula value!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</si>
  <si>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</si>
  <si>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</si>
  <si>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</si>
  <si>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</si>
  <si>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</si>
  <si>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</si>
  <si>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</si>
  <si>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</si>
  <si>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</si>
  <si>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</si>
  <si>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</si>
  <si>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</si>
  <si>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</si>
  <si>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</si>
  <si>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</si>
  <si>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</si>
  <si>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</si>
  <si>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</si>
  <si>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</si>
  <si>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</si>
  <si>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</si>
  <si>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</si>
  <si>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</si>
  <si>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</si>
  <si>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</si>
  <si>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Thermal properties: Detached Single Family House 71-90</t>
  </si>
  <si>
    <t>d=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</si>
  <si>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</si>
  <si>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</si>
  <si>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</si>
  <si>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</si>
  <si>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</si>
  <si>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</si>
  <si>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</si>
  <si>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</si>
  <si>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</si>
  <si>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=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</si>
  <si>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</si>
  <si>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</si>
  <si>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</si>
  <si>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</si>
  <si>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</si>
  <si>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</si>
  <si>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</si>
  <si>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</si>
  <si>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</si>
  <si>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</si>
  <si>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</si>
  <si>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</si>
  <si>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</si>
  <si>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</si>
  <si>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</si>
  <si>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</si>
  <si>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</si>
  <si>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</si>
  <si>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</si>
  <si>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</si>
  <si>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</si>
  <si>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</si>
  <si>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</si>
  <si>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</si>
  <si>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</si>
  <si>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 5.339205e-02</t>
  </si>
  <si>
    <t>f3N</t>
  </si>
  <si>
    <t> 6.711553e-01</t>
  </si>
  <si>
    <t>hwN</t>
  </si>
  <si>
    <t> 4.631922e+02</t>
  </si>
  <si>
    <t>hwiN</t>
  </si>
  <si>
    <t>infN</t>
  </si>
  <si>
    <t> 3.735657e+01</t>
  </si>
  <si>
    <t>UwN</t>
  </si>
  <si>
    <t>abs5D</t>
  </si>
  <si>
    <t> 1.693800e-01</t>
  </si>
  <si>
    <t>abs5N</t>
  </si>
  <si>
    <t> 3.395373e-01</t>
  </si>
  <si>
    <t>CfiD </t>
  </si>
  <si>
    <t> 1.385834e+07</t>
  </si>
  <si>
    <t>CfiN</t>
  </si>
  <si>
    <t> 4.368417e+07</t>
  </si>
  <si>
    <t>f5D </t>
  </si>
  <si>
    <t> 6.941760e-02</t>
  </si>
  <si>
    <t>f5N </t>
  </si>
  <si>
    <t> 1.291481e-01</t>
  </si>
  <si>
    <t>UfDN</t>
  </si>
  <si>
    <t> 2.955246e+02</t>
  </si>
  <si>
    <t>Ufi</t>
  </si>
  <si>
    <t> 4.609140e+02</t>
  </si>
  <si>
    <t>UfND</t>
  </si>
  <si>
    <t> 3.468365e+02</t>
  </si>
  <si>
    <t>Check absD</t>
  </si>
  <si>
    <t>Check fi</t>
  </si>
  <si>
    <t>BrickHi</t>
  </si>
  <si>
    <t xml:space="preserve">PRBS </t>
  </si>
  <si>
    <t>IN USE</t>
  </si>
  <si>
    <t>Coefficients:</t>
  </si>
  <si>
    <t>Estimate</t>
  </si>
  <si>
    <t>Std.</t>
  </si>
  <si>
    <t>Error</t>
  </si>
  <si>
    <t>t</t>
  </si>
  <si>
    <t>value</t>
  </si>
  <si>
    <t>Pr(&gt;|t|)</t>
  </si>
  <si>
    <t>Ti0</t>
  </si>
  <si>
    <t>&lt;</t>
  </si>
  <si>
    <t>***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</si>
  <si>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</si>
  <si>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</si>
  <si>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</si>
  <si>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</si>
  <si>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</si>
  <si>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</si>
  <si>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</si>
  <si>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</si>
  <si>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</si>
  <si>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</si>
  <si>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</si>
  <si>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</si>
  <si>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</si>
  <si>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</si>
  <si>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</si>
  <si>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</si>
  <si>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</si>
  <si>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</si>
  <si>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</si>
  <si>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</si>
  <si>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</si>
  <si>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</si>
  <si>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</si>
  <si>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</si>
  <si>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</si>
  <si>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</si>
  <si>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</si>
  <si>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</si>
  <si>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</si>
  <si>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</si>
  <si>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</si>
  <si>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[1]</t>
  </si>
  <si>
    <t>NightZone_4state_B</t>
  </si>
  <si>
    <t>MultiZoneWall_2state_A</t>
  </si>
  <si>
    <t>TfiD0</t>
  </si>
  <si>
    <t>TfiN0</t>
  </si>
  <si>
    <t>CfiD</t>
  </si>
  <si>
    <t>**</t>
  </si>
  <si>
    <t>e66</t>
  </si>
  <si>
    <t>p99</t>
  </si>
  <si>
    <t>##</t>
  </si>
  <si>
    <t>DayZone_5state_B</t>
  </si>
  <si>
    <t>&lt;2e-16</t>
  </si>
  <si>
    <t>*</t>
  </si>
  <si>
    <t>.</t>
  </si>
  <si>
    <t>f5D</t>
  </si>
  <si>
    <t>f5N</t>
  </si>
  <si>
    <t xml:space="preserve">Tabule </t>
  </si>
  <si>
    <t>RC</t>
  </si>
  <si>
    <t>GBPRBS</t>
  </si>
  <si>
    <t>GBINUSE</t>
  </si>
  <si>
    <t>SOLNESW INUSE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</si>
  <si>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</si>
  <si>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</si>
  <si>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</si>
  <si>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</si>
  <si>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</si>
  <si>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</si>
  <si>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</si>
  <si>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</si>
  <si>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</si>
  <si>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</si>
  <si>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</si>
  <si>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</si>
  <si>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</si>
  <si>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</si>
  <si>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</si>
  <si>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</si>
  <si>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</si>
  <si>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NightZone_4state_E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</si>
  <si>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</si>
  <si>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</si>
  <si>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</si>
  <si>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</si>
  <si>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</si>
  <si>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</si>
  <si>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</si>
  <si>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</si>
  <si>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</si>
  <si>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</si>
  <si>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</si>
  <si>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</si>
  <si>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</si>
  <si>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</si>
  <si>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</si>
  <si>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</si>
  <si>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</si>
  <si>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</si>
  <si>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</si>
  <si>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</si>
  <si>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</si>
  <si>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</si>
  <si>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</si>
  <si>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</si>
  <si>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</si>
  <si>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</si>
  <si>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</si>
  <si>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</si>
  <si>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</si>
  <si>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</si>
  <si>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</si>
  <si>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</si>
  <si>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</si>
  <si>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</si>
  <si>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</si>
  <si>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</si>
  <si>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</si>
  <si>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</si>
  <si>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</si>
  <si>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</si>
  <si>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v50</t>
  </si>
  <si>
    <t>plaster</t>
  </si>
  <si>
    <t>number of floors</t>
  </si>
  <si>
    <t>height floor</t>
  </si>
  <si>
    <t>width facade</t>
  </si>
  <si>
    <t>* Allacker T1 = 4.8, T2=9.5 (=heren huis!)</t>
  </si>
  <si>
    <t>depth building</t>
  </si>
  <si>
    <t>*(T1=8 , T2=11.3)</t>
  </si>
  <si>
    <t>A Facade</t>
  </si>
  <si>
    <t>Area Common wall</t>
  </si>
  <si>
    <t>C</t>
  </si>
  <si>
    <t>Common Wall</t>
  </si>
  <si>
    <t>SolNESW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</si>
</sst>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.00_ ;_ * \-#,##0.00_ ;_ * \-??_ ;_ @_ "/>
    <numFmt numFmtId="165" formatCode="0.000"/>
    <numFmt numFmtId="166" formatCode="0.0"/>
    <numFmt numFmtId="167" formatCode="0.0000E+00"/>
    <numFmt numFmtId="168" formatCode="0.00E+000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9" fontId="22" fillId="0" borderId="0"/>
    <xf numFmtId="0" fontId="6" fillId="0" borderId="0"/>
    <xf numFmtId="0" fontId="23" fillId="0" borderId="21" applyNumberFormat="0" applyFill="0" applyAlignment="0" applyProtection="0"/>
    <xf numFmtId="0" fontId="24" fillId="17" borderId="22" applyNumberFormat="0" applyAlignment="0" applyProtection="0"/>
    <xf numFmtId="0" fontId="25" fillId="18" borderId="23" applyNumberFormat="0" applyAlignment="0" applyProtection="0"/>
    <xf numFmtId="0" fontId="3" fillId="19" borderId="0" applyNumberFormat="0" applyBorder="0" applyAlignment="0" applyProtection="0"/>
    <xf numFmtId="0" fontId="3" fillId="0" borderId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23" borderId="0" applyNumberFormat="0" applyBorder="0" applyAlignment="0" applyProtection="0"/>
    <xf numFmtId="0" fontId="29" fillId="28" borderId="0" applyNumberFormat="0" applyBorder="0" applyAlignment="0" applyProtection="0"/>
    <xf numFmtId="43" fontId="22" fillId="0" borderId="0" applyFont="0" applyFill="0" applyBorder="0" applyAlignment="0" applyProtection="0"/>
    <xf numFmtId="0" fontId="1" fillId="30" borderId="0" applyNumberFormat="0" applyBorder="0" applyAlignment="0" applyProtection="0"/>
  </cellStyleXfs>
  <cellXfs count="318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10" borderId="0" xfId="2" applyFont="1" applyFill="1" applyBorder="1" applyAlignment="1" applyProtection="1">
      <alignment horizontal="center"/>
    </xf>
    <xf numFmtId="0" fontId="6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2" fillId="3" borderId="6" xfId="2" applyFont="1" applyFill="1" applyBorder="1" applyAlignment="1" applyProtection="1"/>
    <xf numFmtId="2" fontId="22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/>
    <xf numFmtId="0" fontId="6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2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5" fontId="22" fillId="3" borderId="4" xfId="2" applyNumberFormat="1" applyFont="1" applyFill="1" applyBorder="1" applyAlignment="1" applyProtection="1">
      <alignment horizontal="center"/>
    </xf>
    <xf numFmtId="0" fontId="22" fillId="3" borderId="8" xfId="2" applyFont="1" applyFill="1" applyBorder="1" applyAlignment="1" applyProtection="1"/>
    <xf numFmtId="0" fontId="7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6" fillId="0" borderId="0" xfId="2" applyNumberFormat="1" applyFont="1" applyFill="1" applyBorder="1" applyAlignment="1" applyProtection="1"/>
    <xf numFmtId="2" fontId="6" fillId="10" borderId="0" xfId="2" applyNumberFormat="1" applyFont="1" applyFill="1" applyBorder="1" applyAlignment="1" applyProtection="1"/>
    <xf numFmtId="0" fontId="0" fillId="0" borderId="7" xfId="0" applyBorder="1"/>
    <xf numFmtId="0" fontId="8" fillId="0" borderId="4" xfId="0" applyFont="1" applyBorder="1"/>
    <xf numFmtId="0" fontId="8" fillId="0" borderId="8" xfId="0" applyFont="1" applyBorder="1"/>
    <xf numFmtId="1" fontId="22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5" fontId="0" fillId="0" borderId="0" xfId="0" applyNumberFormat="1" applyBorder="1"/>
    <xf numFmtId="0" fontId="0" fillId="0" borderId="5" xfId="0" applyFont="1" applyBorder="1"/>
    <xf numFmtId="166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6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5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2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5" fontId="0" fillId="0" borderId="6" xfId="0" applyNumberFormat="1" applyBorder="1"/>
    <xf numFmtId="0" fontId="0" fillId="0" borderId="3" xfId="0" applyBorder="1"/>
    <xf numFmtId="0" fontId="5" fillId="4" borderId="0" xfId="2" applyFont="1" applyFill="1" applyBorder="1" applyAlignment="1" applyProtection="1"/>
    <xf numFmtId="2" fontId="5" fillId="4" borderId="0" xfId="2" applyNumberFormat="1" applyFont="1" applyFill="1" applyBorder="1" applyAlignment="1" applyProtection="1"/>
    <xf numFmtId="0" fontId="0" fillId="0" borderId="10" xfId="0" applyBorder="1"/>
    <xf numFmtId="0" fontId="5" fillId="2" borderId="0" xfId="2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>
      <alignment horizontal="center"/>
    </xf>
    <xf numFmtId="1" fontId="22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6" fontId="22" fillId="5" borderId="0" xfId="2" applyNumberFormat="1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3" fillId="0" borderId="1" xfId="2" applyFont="1" applyFill="1" applyBorder="1" applyAlignment="1" applyProtection="1"/>
    <xf numFmtId="0" fontId="5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2" fillId="7" borderId="0" xfId="2" applyNumberFormat="1" applyFont="1" applyFill="1" applyBorder="1" applyAlignment="1" applyProtection="1"/>
    <xf numFmtId="166" fontId="22" fillId="7" borderId="0" xfId="2" applyNumberFormat="1" applyFont="1" applyFill="1" applyBorder="1" applyAlignment="1" applyProtection="1"/>
    <xf numFmtId="9" fontId="22" fillId="7" borderId="0" xfId="2" applyNumberFormat="1" applyFont="1" applyFill="1" applyBorder="1" applyAlignment="1" applyProtection="1"/>
    <xf numFmtId="10" fontId="22" fillId="7" borderId="0" xfId="2" applyNumberFormat="1" applyFont="1" applyFill="1" applyBorder="1" applyAlignment="1" applyProtection="1"/>
    <xf numFmtId="0" fontId="5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4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5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6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14" fillId="13" borderId="14" xfId="2" applyNumberFormat="1" applyFont="1" applyFill="1" applyBorder="1" applyAlignment="1" applyProtection="1">
      <alignment horizontal="right"/>
    </xf>
    <xf numFmtId="2" fontId="17" fillId="14" borderId="14" xfId="2" applyNumberFormat="1" applyFont="1" applyFill="1" applyBorder="1" applyAlignment="1" applyProtection="1">
      <alignment horizontal="right"/>
    </xf>
    <xf numFmtId="2" fontId="18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4" fillId="13" borderId="0" xfId="2" applyNumberFormat="1" applyFont="1" applyFill="1" applyBorder="1" applyAlignment="1" applyProtection="1">
      <alignment horizontal="right"/>
    </xf>
    <xf numFmtId="2" fontId="17" fillId="14" borderId="0" xfId="2" applyNumberFormat="1" applyFont="1" applyFill="1" applyBorder="1" applyAlignment="1" applyProtection="1">
      <alignment horizontal="right"/>
    </xf>
    <xf numFmtId="2" fontId="7" fillId="0" borderId="0" xfId="0" applyNumberFormat="1" applyFont="1" applyBorder="1"/>
    <xf numFmtId="2" fontId="8" fillId="0" borderId="0" xfId="0" applyNumberFormat="1" applyFont="1" applyBorder="1"/>
    <xf numFmtId="2" fontId="14" fillId="13" borderId="15" xfId="2" applyNumberFormat="1" applyFont="1" applyFill="1" applyBorder="1" applyAlignment="1" applyProtection="1"/>
    <xf numFmtId="2" fontId="17" fillId="14" borderId="15" xfId="2" applyNumberFormat="1" applyFont="1" applyFill="1" applyBorder="1" applyAlignment="1" applyProtection="1"/>
    <xf numFmtId="2" fontId="18" fillId="15" borderId="0" xfId="0" applyNumberFormat="1" applyFont="1" applyFill="1" applyBorder="1" applyAlignment="1" applyProtection="1"/>
    <xf numFmtId="2" fontId="6" fillId="0" borderId="0" xfId="0" applyNumberFormat="1" applyFont="1" applyBorder="1" applyAlignment="1" applyProtection="1">
      <alignment horizontal="left"/>
    </xf>
    <xf numFmtId="2" fontId="6" fillId="0" borderId="0" xfId="0" applyNumberFormat="1" applyFont="1" applyBorder="1" applyAlignment="1" applyProtection="1"/>
    <xf numFmtId="2" fontId="14" fillId="13" borderId="14" xfId="2" applyNumberFormat="1" applyFont="1" applyFill="1" applyBorder="1" applyAlignment="1" applyProtection="1"/>
    <xf numFmtId="2" fontId="17" fillId="14" borderId="14" xfId="2" applyNumberFormat="1" applyFont="1" applyFill="1" applyBorder="1" applyAlignment="1" applyProtection="1"/>
    <xf numFmtId="2" fontId="14" fillId="13" borderId="16" xfId="2" applyNumberFormat="1" applyFont="1" applyFill="1" applyBorder="1" applyAlignment="1" applyProtection="1"/>
    <xf numFmtId="2" fontId="18" fillId="15" borderId="2" xfId="0" applyNumberFormat="1" applyFont="1" applyFill="1" applyBorder="1" applyAlignment="1" applyProtection="1"/>
    <xf numFmtId="2" fontId="6" fillId="11" borderId="6" xfId="0" applyNumberFormat="1" applyFont="1" applyFill="1" applyBorder="1" applyAlignment="1" applyProtection="1"/>
    <xf numFmtId="2" fontId="7" fillId="11" borderId="2" xfId="0" applyNumberFormat="1" applyFont="1" applyFill="1" applyBorder="1"/>
    <xf numFmtId="2" fontId="14" fillId="13" borderId="17" xfId="2" applyNumberFormat="1" applyFont="1" applyFill="1" applyBorder="1" applyAlignment="1" applyProtection="1"/>
    <xf numFmtId="2" fontId="19" fillId="15" borderId="0" xfId="0" applyNumberFormat="1" applyFont="1" applyFill="1" applyBorder="1" applyAlignment="1" applyProtection="1"/>
    <xf numFmtId="2" fontId="16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5" fillId="2" borderId="0" xfId="0" applyNumberFormat="1" applyFont="1" applyFill="1" applyBorder="1" applyAlignment="1" applyProtection="1"/>
    <xf numFmtId="2" fontId="0" fillId="0" borderId="2" xfId="0" applyNumberFormat="1" applyBorder="1"/>
    <xf numFmtId="2" fontId="17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4" fillId="13" borderId="13" xfId="2" applyNumberFormat="1" applyFont="1" applyFill="1" applyBorder="1" applyAlignment="1" applyProtection="1">
      <alignment horizontal="right"/>
    </xf>
    <xf numFmtId="2" fontId="14" fillId="13" borderId="16" xfId="2" applyNumberFormat="1" applyFont="1" applyFill="1" applyBorder="1" applyAlignment="1" applyProtection="1">
      <alignment horizontal="right"/>
    </xf>
    <xf numFmtId="2" fontId="17" fillId="14" borderId="19" xfId="2" applyNumberFormat="1" applyFont="1" applyFill="1" applyBorder="1" applyAlignment="1" applyProtection="1">
      <alignment horizontal="right"/>
    </xf>
    <xf numFmtId="2" fontId="14" fillId="13" borderId="20" xfId="2" applyNumberFormat="1" applyFont="1" applyFill="1" applyBorder="1" applyAlignment="1" applyProtection="1"/>
    <xf numFmtId="2" fontId="7" fillId="0" borderId="2" xfId="0" applyNumberFormat="1" applyFont="1" applyBorder="1"/>
    <xf numFmtId="2" fontId="6" fillId="11" borderId="0" xfId="0" applyNumberFormat="1" applyFont="1" applyFill="1" applyBorder="1" applyAlignment="1" applyProtection="1"/>
    <xf numFmtId="0" fontId="6" fillId="12" borderId="0" xfId="2" applyFont="1" applyFill="1" applyBorder="1" applyAlignment="1" applyProtection="1"/>
    <xf numFmtId="0" fontId="7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/>
    <xf numFmtId="0" fontId="6" fillId="0" borderId="0" xfId="2" applyFont="1" applyBorder="1" applyAlignment="1" applyProtection="1"/>
    <xf numFmtId="2" fontId="6" fillId="0" borderId="0" xfId="2" applyNumberFormat="1" applyBorder="1" applyAlignment="1" applyProtection="1"/>
    <xf numFmtId="167" fontId="0" fillId="0" borderId="0" xfId="0" applyNumberFormat="1"/>
    <xf numFmtId="168" fontId="0" fillId="0" borderId="0" xfId="0" applyNumberFormat="1"/>
    <xf numFmtId="0" fontId="25" fillId="18" borderId="23" xfId="5"/>
    <xf numFmtId="0" fontId="3" fillId="0" borderId="0" xfId="7"/>
    <xf numFmtId="0" fontId="23" fillId="0" borderId="21" xfId="3"/>
    <xf numFmtId="0" fontId="3" fillId="19" borderId="0" xfId="6"/>
    <xf numFmtId="165" fontId="3" fillId="19" borderId="0" xfId="6" applyNumberFormat="1"/>
    <xf numFmtId="0" fontId="3" fillId="20" borderId="0" xfId="8" quotePrefix="1"/>
    <xf numFmtId="0" fontId="3" fillId="20" borderId="0" xfId="8" applyFont="1"/>
    <xf numFmtId="0" fontId="3" fillId="20" borderId="0" xfId="8"/>
    <xf numFmtId="0" fontId="3" fillId="19" borderId="0" xfId="6" applyFont="1"/>
    <xf numFmtId="11" fontId="0" fillId="0" borderId="0" xfId="0" applyNumberFormat="1"/>
    <xf numFmtId="43" fontId="3" fillId="19" borderId="0" xfId="6" applyNumberFormat="1"/>
    <xf numFmtId="43" fontId="3" fillId="19" borderId="0" xfId="6" applyNumberFormat="1" applyFont="1"/>
    <xf numFmtId="0" fontId="24" fillId="17" borderId="22" xfId="4"/>
    <xf numFmtId="0" fontId="0" fillId="22" borderId="0" xfId="0" applyFill="1"/>
    <xf numFmtId="0" fontId="26" fillId="21" borderId="0" xfId="9"/>
    <xf numFmtId="165" fontId="26" fillId="21" borderId="0" xfId="9" applyNumberFormat="1"/>
    <xf numFmtId="43" fontId="26" fillId="21" borderId="0" xfId="9" applyNumberFormat="1"/>
    <xf numFmtId="165" fontId="2" fillId="19" borderId="0" xfId="6" applyNumberFormat="1" applyFont="1"/>
    <xf numFmtId="0" fontId="0" fillId="25" borderId="2" xfId="2" applyFont="1" applyFill="1" applyBorder="1" applyAlignment="1" applyProtection="1"/>
    <xf numFmtId="0" fontId="22" fillId="25" borderId="0" xfId="2" applyFont="1" applyFill="1" applyBorder="1" applyAlignment="1" applyProtection="1"/>
    <xf numFmtId="2" fontId="22" fillId="25" borderId="0" xfId="2" applyNumberFormat="1" applyFont="1" applyFill="1" applyBorder="1" applyAlignment="1" applyProtection="1"/>
    <xf numFmtId="0" fontId="0" fillId="25" borderId="11" xfId="2" applyFont="1" applyFill="1" applyBorder="1" applyAlignment="1" applyProtection="1"/>
    <xf numFmtId="0" fontId="7" fillId="26" borderId="9" xfId="0" applyFont="1" applyFill="1" applyBorder="1"/>
    <xf numFmtId="0" fontId="0" fillId="26" borderId="10" xfId="0" applyFill="1" applyBorder="1"/>
    <xf numFmtId="0" fontId="0" fillId="26" borderId="2" xfId="0" applyFill="1" applyBorder="1"/>
    <xf numFmtId="0" fontId="0" fillId="26" borderId="0" xfId="0" applyFill="1" applyBorder="1"/>
    <xf numFmtId="0" fontId="0" fillId="26" borderId="11" xfId="0" applyFill="1" applyBorder="1"/>
    <xf numFmtId="0" fontId="0" fillId="25" borderId="5" xfId="2" applyFont="1" applyFill="1" applyBorder="1" applyAlignment="1" applyProtection="1"/>
    <xf numFmtId="1" fontId="22" fillId="25" borderId="6" xfId="2" applyNumberFormat="1" applyFont="1" applyFill="1" applyBorder="1" applyAlignment="1" applyProtection="1"/>
    <xf numFmtId="0" fontId="0" fillId="25" borderId="0" xfId="2" applyFont="1" applyFill="1" applyBorder="1" applyAlignment="1" applyProtection="1"/>
    <xf numFmtId="0" fontId="0" fillId="26" borderId="2" xfId="0" applyFont="1" applyFill="1" applyBorder="1"/>
    <xf numFmtId="10" fontId="0" fillId="26" borderId="0" xfId="0" applyNumberFormat="1" applyFill="1" applyBorder="1"/>
    <xf numFmtId="2" fontId="0" fillId="26" borderId="11" xfId="0" applyNumberFormat="1" applyFill="1" applyBorder="1"/>
    <xf numFmtId="166" fontId="0" fillId="26" borderId="0" xfId="0" applyNumberFormat="1" applyFill="1" applyBorder="1"/>
    <xf numFmtId="0" fontId="0" fillId="26" borderId="11" xfId="0" applyFont="1" applyFill="1" applyBorder="1"/>
    <xf numFmtId="0" fontId="0" fillId="26" borderId="0" xfId="0" applyFont="1" applyFill="1" applyBorder="1"/>
    <xf numFmtId="2" fontId="0" fillId="26" borderId="11" xfId="0" applyNumberFormat="1" applyFont="1" applyFill="1" applyBorder="1"/>
    <xf numFmtId="0" fontId="0" fillId="25" borderId="5" xfId="2" applyFont="1" applyFill="1" applyBorder="1" applyAlignment="1" applyProtection="1">
      <alignment horizontal="right"/>
    </xf>
    <xf numFmtId="0" fontId="22" fillId="25" borderId="6" xfId="2" applyFont="1" applyFill="1" applyBorder="1" applyAlignment="1" applyProtection="1"/>
    <xf numFmtId="0" fontId="0" fillId="25" borderId="3" xfId="2" applyFont="1" applyFill="1" applyBorder="1" applyAlignment="1" applyProtection="1"/>
    <xf numFmtId="0" fontId="0" fillId="26" borderId="2" xfId="0" applyFont="1" applyFill="1" applyBorder="1" applyAlignment="1">
      <alignment horizontal="right"/>
    </xf>
    <xf numFmtId="0" fontId="0" fillId="26" borderId="9" xfId="0" applyFill="1" applyBorder="1"/>
    <xf numFmtId="2" fontId="0" fillId="26" borderId="0" xfId="0" applyNumberFormat="1" applyFont="1" applyFill="1" applyBorder="1"/>
    <xf numFmtId="9" fontId="0" fillId="26" borderId="0" xfId="1" applyFont="1" applyFill="1" applyBorder="1" applyAlignment="1" applyProtection="1"/>
    <xf numFmtId="2" fontId="0" fillId="26" borderId="0" xfId="0" applyNumberFormat="1" applyFill="1" applyBorder="1"/>
    <xf numFmtId="2" fontId="22" fillId="25" borderId="6" xfId="2" applyNumberFormat="1" applyFont="1" applyFill="1" applyBorder="1" applyAlignment="1" applyProtection="1"/>
    <xf numFmtId="0" fontId="0" fillId="26" borderId="12" xfId="0" applyFill="1" applyBorder="1"/>
    <xf numFmtId="0" fontId="0" fillId="26" borderId="5" xfId="0" applyFont="1" applyFill="1" applyBorder="1"/>
    <xf numFmtId="0" fontId="0" fillId="26" borderId="6" xfId="0" applyFont="1" applyFill="1" applyBorder="1"/>
    <xf numFmtId="0" fontId="0" fillId="25" borderId="4" xfId="2" applyFont="1" applyFill="1" applyBorder="1" applyAlignment="1" applyProtection="1">
      <alignment horizontal="center"/>
    </xf>
    <xf numFmtId="0" fontId="0" fillId="25" borderId="9" xfId="2" applyFont="1" applyFill="1" applyBorder="1" applyAlignment="1" applyProtection="1">
      <alignment horizontal="center"/>
    </xf>
    <xf numFmtId="0" fontId="0" fillId="25" borderId="10" xfId="2" applyFont="1" applyFill="1" applyBorder="1" applyAlignment="1" applyProtection="1">
      <alignment horizontal="center"/>
    </xf>
    <xf numFmtId="0" fontId="0" fillId="25" borderId="12" xfId="2" applyFont="1" applyFill="1" applyBorder="1" applyAlignment="1" applyProtection="1">
      <alignment horizontal="center"/>
    </xf>
    <xf numFmtId="0" fontId="0" fillId="26" borderId="5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2" fontId="0" fillId="26" borderId="6" xfId="0" applyNumberFormat="1" applyFill="1" applyBorder="1" applyAlignment="1">
      <alignment horizontal="center"/>
    </xf>
    <xf numFmtId="49" fontId="0" fillId="26" borderId="3" xfId="0" applyNumberFormat="1" applyFont="1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2" fontId="0" fillId="26" borderId="0" xfId="0" applyNumberFormat="1" applyFill="1" applyBorder="1" applyAlignment="1">
      <alignment horizontal="center"/>
    </xf>
    <xf numFmtId="49" fontId="0" fillId="26" borderId="11" xfId="0" applyNumberFormat="1" applyFont="1" applyFill="1" applyBorder="1" applyAlignment="1">
      <alignment horizontal="center"/>
    </xf>
    <xf numFmtId="164" fontId="4" fillId="26" borderId="0" xfId="2" applyNumberFormat="1" applyFont="1" applyFill="1" applyBorder="1" applyAlignment="1" applyProtection="1">
      <alignment vertical="center"/>
    </xf>
    <xf numFmtId="0" fontId="0" fillId="26" borderId="9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49" fontId="0" fillId="26" borderId="12" xfId="0" applyNumberFormat="1" applyFont="1" applyFill="1" applyBorder="1"/>
    <xf numFmtId="0" fontId="0" fillId="26" borderId="0" xfId="0" applyFill="1"/>
    <xf numFmtId="0" fontId="6" fillId="26" borderId="10" xfId="2" applyFont="1" applyFill="1" applyBorder="1" applyAlignment="1" applyProtection="1"/>
    <xf numFmtId="0" fontId="0" fillId="25" borderId="7" xfId="2" applyFont="1" applyFill="1" applyBorder="1" applyAlignment="1" applyProtection="1"/>
    <xf numFmtId="0" fontId="22" fillId="25" borderId="4" xfId="2" applyFont="1" applyFill="1" applyBorder="1" applyAlignment="1" applyProtection="1"/>
    <xf numFmtId="0" fontId="0" fillId="25" borderId="4" xfId="2" applyFont="1" applyFill="1" applyBorder="1" applyAlignment="1" applyProtection="1">
      <alignment horizontal="right"/>
    </xf>
    <xf numFmtId="165" fontId="22" fillId="25" borderId="4" xfId="2" applyNumberFormat="1" applyFont="1" applyFill="1" applyBorder="1" applyAlignment="1" applyProtection="1">
      <alignment horizontal="center"/>
    </xf>
    <xf numFmtId="0" fontId="22" fillId="25" borderId="8" xfId="2" applyFont="1" applyFill="1" applyBorder="1" applyAlignment="1" applyProtection="1"/>
    <xf numFmtId="0" fontId="0" fillId="26" borderId="7" xfId="0" applyFill="1" applyBorder="1"/>
    <xf numFmtId="0" fontId="8" fillId="26" borderId="4" xfId="0" applyFont="1" applyFill="1" applyBorder="1"/>
    <xf numFmtId="0" fontId="8" fillId="26" borderId="8" xfId="0" applyFont="1" applyFill="1" applyBorder="1"/>
    <xf numFmtId="165" fontId="0" fillId="26" borderId="0" xfId="0" applyNumberFormat="1" applyFill="1" applyBorder="1"/>
    <xf numFmtId="165" fontId="0" fillId="26" borderId="10" xfId="0" applyNumberFormat="1" applyFill="1" applyBorder="1"/>
    <xf numFmtId="0" fontId="0" fillId="26" borderId="6" xfId="0" applyFill="1" applyBorder="1"/>
    <xf numFmtId="165" fontId="0" fillId="26" borderId="6" xfId="0" applyNumberFormat="1" applyFill="1" applyBorder="1"/>
    <xf numFmtId="0" fontId="0" fillId="26" borderId="3" xfId="0" applyFill="1" applyBorder="1"/>
    <xf numFmtId="0" fontId="0" fillId="26" borderId="3" xfId="0" applyFont="1" applyFill="1" applyBorder="1"/>
    <xf numFmtId="0" fontId="6" fillId="26" borderId="0" xfId="2" applyFont="1" applyFill="1" applyBorder="1" applyAlignment="1" applyProtection="1"/>
    <xf numFmtId="0" fontId="0" fillId="25" borderId="27" xfId="2" applyFont="1" applyFill="1" applyBorder="1" applyAlignment="1" applyProtection="1"/>
    <xf numFmtId="0" fontId="22" fillId="25" borderId="28" xfId="2" applyFont="1" applyFill="1" applyBorder="1" applyAlignment="1" applyProtection="1"/>
    <xf numFmtId="0" fontId="0" fillId="25" borderId="28" xfId="2" applyFont="1" applyFill="1" applyBorder="1" applyAlignment="1" applyProtection="1">
      <alignment horizontal="right"/>
    </xf>
    <xf numFmtId="0" fontId="0" fillId="25" borderId="28" xfId="2" applyFont="1" applyFill="1" applyBorder="1" applyAlignment="1" applyProtection="1">
      <alignment horizontal="center"/>
    </xf>
    <xf numFmtId="0" fontId="22" fillId="25" borderId="29" xfId="2" applyFont="1" applyFill="1" applyBorder="1" applyAlignment="1" applyProtection="1"/>
    <xf numFmtId="0" fontId="0" fillId="26" borderId="30" xfId="0" applyFill="1" applyBorder="1"/>
    <xf numFmtId="0" fontId="8" fillId="26" borderId="31" xfId="0" applyFont="1" applyFill="1" applyBorder="1"/>
    <xf numFmtId="0" fontId="8" fillId="26" borderId="32" xfId="0" applyFont="1" applyFill="1" applyBorder="1"/>
    <xf numFmtId="0" fontId="27" fillId="23" borderId="0" xfId="10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29" borderId="0" xfId="0" applyFill="1"/>
    <xf numFmtId="11" fontId="0" fillId="29" borderId="0" xfId="0" applyNumberFormat="1" applyFill="1"/>
    <xf numFmtId="0" fontId="29" fillId="28" borderId="0" xfId="11"/>
    <xf numFmtId="11" fontId="29" fillId="28" borderId="0" xfId="11" applyNumberFormat="1" applyAlignment="1">
      <alignment horizontal="right"/>
    </xf>
    <xf numFmtId="11" fontId="29" fillId="28" borderId="0" xfId="11" applyNumberFormat="1"/>
    <xf numFmtId="165" fontId="29" fillId="28" borderId="0" xfId="11" applyNumberFormat="1" applyAlignment="1">
      <alignment horizontal="right"/>
    </xf>
    <xf numFmtId="2" fontId="29" fillId="28" borderId="0" xfId="11" applyNumberFormat="1" applyAlignment="1">
      <alignment horizontal="right"/>
    </xf>
    <xf numFmtId="1" fontId="29" fillId="28" borderId="0" xfId="11" applyNumberFormat="1" applyAlignment="1">
      <alignment horizontal="right"/>
    </xf>
    <xf numFmtId="0" fontId="29" fillId="28" borderId="0" xfId="11" applyAlignment="1">
      <alignment horizontal="right"/>
    </xf>
    <xf numFmtId="0" fontId="22" fillId="7" borderId="0" xfId="12" applyNumberFormat="1" applyFont="1" applyFill="1" applyBorder="1" applyAlignment="1" applyProtection="1"/>
    <xf numFmtId="0" fontId="30" fillId="26" borderId="0" xfId="0" applyFont="1" applyFill="1" applyBorder="1"/>
    <xf numFmtId="165" fontId="30" fillId="26" borderId="0" xfId="0" applyNumberFormat="1" applyFont="1" applyFill="1" applyBorder="1"/>
    <xf numFmtId="0" fontId="30" fillId="26" borderId="11" xfId="0" applyFont="1" applyFill="1" applyBorder="1"/>
    <xf numFmtId="0" fontId="1" fillId="30" borderId="0" xfId="13" applyFont="1"/>
    <xf numFmtId="0" fontId="31" fillId="29" borderId="0" xfId="13" applyFont="1" applyFill="1"/>
    <xf numFmtId="0" fontId="1" fillId="30" borderId="0" xfId="13"/>
    <xf numFmtId="2" fontId="1" fillId="30" borderId="0" xfId="13" applyNumberFormat="1"/>
    <xf numFmtId="0" fontId="0" fillId="0" borderId="0" xfId="0" quotePrefix="1"/>
    <xf numFmtId="43" fontId="0" fillId="25" borderId="27" xfId="12" applyFont="1" applyFill="1" applyBorder="1" applyAlignment="1" applyProtection="1"/>
    <xf numFmtId="43" fontId="22" fillId="25" borderId="28" xfId="12" applyFont="1" applyFill="1" applyBorder="1" applyAlignment="1" applyProtection="1"/>
    <xf numFmtId="43" fontId="0" fillId="25" borderId="28" xfId="12" applyFont="1" applyFill="1" applyBorder="1" applyAlignment="1" applyProtection="1">
      <alignment horizontal="right"/>
    </xf>
    <xf numFmtId="165" fontId="22" fillId="25" borderId="28" xfId="12" applyNumberFormat="1" applyFont="1" applyFill="1" applyBorder="1" applyAlignment="1" applyProtection="1">
      <alignment horizontal="center"/>
    </xf>
    <xf numFmtId="0" fontId="22" fillId="25" borderId="29" xfId="12" applyNumberFormat="1" applyFont="1" applyFill="1" applyBorder="1" applyAlignment="1" applyProtection="1"/>
    <xf numFmtId="0" fontId="0" fillId="26" borderId="33" xfId="0" applyFill="1" applyBorder="1"/>
    <xf numFmtId="0" fontId="8" fillId="26" borderId="34" xfId="0" applyFont="1" applyFill="1" applyBorder="1"/>
    <xf numFmtId="0" fontId="0" fillId="26" borderId="35" xfId="0" applyFill="1" applyBorder="1"/>
    <xf numFmtId="0" fontId="0" fillId="26" borderId="36" xfId="0" applyFill="1" applyBorder="1"/>
    <xf numFmtId="0" fontId="0" fillId="26" borderId="37" xfId="0" applyFill="1" applyBorder="1"/>
    <xf numFmtId="0" fontId="0" fillId="26" borderId="38" xfId="0" applyFont="1" applyFill="1" applyBorder="1"/>
    <xf numFmtId="0" fontId="0" fillId="26" borderId="38" xfId="0" applyFill="1" applyBorder="1"/>
    <xf numFmtId="165" fontId="0" fillId="26" borderId="38" xfId="0" applyNumberFormat="1" applyFill="1" applyBorder="1"/>
    <xf numFmtId="0" fontId="0" fillId="26" borderId="39" xfId="0" applyFill="1" applyBorder="1"/>
    <xf numFmtId="2" fontId="0" fillId="11" borderId="6" xfId="0" applyNumberFormat="1" applyFill="1" applyBorder="1"/>
    <xf numFmtId="0" fontId="0" fillId="29" borderId="0" xfId="0" applyFill="1" applyBorder="1"/>
    <xf numFmtId="0" fontId="30" fillId="29" borderId="0" xfId="0" applyFont="1" applyFill="1" applyBorder="1"/>
    <xf numFmtId="2" fontId="28" fillId="24" borderId="0" xfId="0" applyNumberFormat="1" applyFont="1" applyFill="1" applyBorder="1" applyAlignment="1">
      <alignment horizontal="center"/>
    </xf>
    <xf numFmtId="11" fontId="24" fillId="17" borderId="22" xfId="4" applyNumberFormat="1" applyAlignment="1">
      <alignment horizontal="right"/>
    </xf>
    <xf numFmtId="165" fontId="24" fillId="17" borderId="22" xfId="4" applyNumberFormat="1" applyAlignment="1">
      <alignment horizontal="right"/>
    </xf>
    <xf numFmtId="2" fontId="24" fillId="17" borderId="22" xfId="4" applyNumberFormat="1" applyAlignment="1">
      <alignment horizontal="right"/>
    </xf>
    <xf numFmtId="1" fontId="24" fillId="17" borderId="22" xfId="4" applyNumberFormat="1" applyAlignment="1">
      <alignment horizontal="right"/>
    </xf>
    <xf numFmtId="11" fontId="24" fillId="17" borderId="22" xfId="4" applyNumberFormat="1"/>
    <xf numFmtId="0" fontId="24" fillId="17" borderId="22" xfId="4" applyAlignment="1">
      <alignment horizontal="right"/>
    </xf>
    <xf numFmtId="2" fontId="0" fillId="11" borderId="6" xfId="0" applyNumberFormat="1" applyFill="1" applyBorder="1"/>
    <xf numFmtId="2" fontId="24" fillId="17" borderId="22" xfId="4" applyNumberFormat="1"/>
    <xf numFmtId="0" fontId="0" fillId="31" borderId="0" xfId="0" applyFill="1"/>
    <xf numFmtId="0" fontId="29" fillId="31" borderId="0" xfId="11" applyFill="1"/>
    <xf numFmtId="11" fontId="29" fillId="31" borderId="0" xfId="11" applyNumberFormat="1" applyFill="1" applyAlignment="1">
      <alignment horizontal="right"/>
    </xf>
    <xf numFmtId="11" fontId="29" fillId="31" borderId="0" xfId="11" applyNumberFormat="1" applyFill="1"/>
    <xf numFmtId="11" fontId="0" fillId="31" borderId="0" xfId="0" applyNumberFormat="1" applyFill="1"/>
    <xf numFmtId="165" fontId="29" fillId="31" borderId="0" xfId="11" applyNumberFormat="1" applyFill="1" applyAlignment="1">
      <alignment horizontal="right"/>
    </xf>
    <xf numFmtId="2" fontId="29" fillId="31" borderId="0" xfId="11" applyNumberFormat="1" applyFill="1" applyAlignment="1">
      <alignment horizontal="right"/>
    </xf>
    <xf numFmtId="1" fontId="29" fillId="31" borderId="0" xfId="11" applyNumberFormat="1" applyFill="1" applyAlignment="1">
      <alignment horizontal="right"/>
    </xf>
    <xf numFmtId="0" fontId="29" fillId="31" borderId="0" xfId="11" applyFill="1" applyAlignment="1">
      <alignment horizontal="right"/>
    </xf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5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28" fillId="24" borderId="24" xfId="0" applyNumberFormat="1" applyFont="1" applyFill="1" applyBorder="1" applyAlignment="1">
      <alignment horizontal="center"/>
    </xf>
    <xf numFmtId="2" fontId="28" fillId="24" borderId="25" xfId="0" applyNumberFormat="1" applyFont="1" applyFill="1" applyBorder="1" applyAlignment="1">
      <alignment horizontal="center"/>
    </xf>
    <xf numFmtId="2" fontId="28" fillId="24" borderId="26" xfId="0" applyNumberFormat="1" applyFont="1" applyFill="1" applyBorder="1" applyAlignment="1">
      <alignment horizontal="center"/>
    </xf>
    <xf numFmtId="0" fontId="0" fillId="27" borderId="24" xfId="0" applyFill="1" applyBorder="1" applyAlignment="1">
      <alignment horizontal="center"/>
    </xf>
    <xf numFmtId="0" fontId="0" fillId="27" borderId="25" xfId="0" applyFill="1" applyBorder="1" applyAlignment="1">
      <alignment horizontal="center"/>
    </xf>
    <xf numFmtId="0" fontId="0" fillId="27" borderId="26" xfId="0" applyFill="1" applyBorder="1" applyAlignment="1">
      <alignment horizontal="center"/>
    </xf>
  </cellXfs>
  <cellStyles count="14">
    <cellStyle name="20% - Accent1" xfId="6" builtinId="30"/>
    <cellStyle name="20% - Accent2" xfId="13" builtinId="34"/>
    <cellStyle name="40% - Accent1 2" xfId="8"/>
    <cellStyle name="Accent3" xfId="9" builtinId="37"/>
    <cellStyle name="Calculation" xfId="4" builtinId="22"/>
    <cellStyle name="Check Cell" xfId="5" builtinId="23"/>
    <cellStyle name="Comma" xfId="12" builtinId="3"/>
    <cellStyle name="Good" xfId="10" builtinId="26"/>
    <cellStyle name="Heading 1" xfId="3" builtinId="16"/>
    <cellStyle name="Neutral" xfId="11" builtinId="28"/>
    <cellStyle name="Normal" xfId="0" builtinId="0"/>
    <cellStyle name="Normal 2" xfId="7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data'!$A$14:$A$21,'Tabula data'!$A$26)</c:f>
              <c:strCache>
                <c:ptCount val="14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 Facade</c:v>
                </c:pt>
                <c:pt idx="11">
                  <c:v>Area Common wall</c:v>
                </c:pt>
                <c:pt idx="12">
                  <c:v>Doors</c:v>
                </c:pt>
                <c:pt idx="13">
                  <c:v>Total windows</c:v>
                </c:pt>
              </c:strCache>
            </c:strRef>
          </c:cat>
          <c:val>
            <c:numRef>
              <c:f>('Tabula data'!$B$4:$B$7,'Tabula data'!$B$10,'Tabula data'!$B$14:$B$21,'Tabula data'!$B$26)</c:f>
              <c:numCache>
                <c:formatCode>General</c:formatCode>
                <c:ptCount val="14"/>
                <c:pt idx="0">
                  <c:v>193.4</c:v>
                </c:pt>
                <c:pt idx="1">
                  <c:v>531.70000000000005</c:v>
                </c:pt>
                <c:pt idx="2">
                  <c:v>381.4</c:v>
                </c:pt>
                <c:pt idx="3">
                  <c:v>101.4</c:v>
                </c:pt>
                <c:pt idx="4" formatCode="0.0">
                  <c:v>151.1</c:v>
                </c:pt>
                <c:pt idx="5">
                  <c:v>88.800000000000011</c:v>
                </c:pt>
                <c:pt idx="6">
                  <c:v>2</c:v>
                </c:pt>
                <c:pt idx="7" formatCode="0.00">
                  <c:v>2.7492244053774564</c:v>
                </c:pt>
                <c:pt idx="8" formatCode="0.00">
                  <c:v>6.6633324995830732</c:v>
                </c:pt>
                <c:pt idx="9" formatCode="0.00">
                  <c:v>13.326664999166146</c:v>
                </c:pt>
                <c:pt idx="10" formatCode="0.00">
                  <c:v>36.63799265799711</c:v>
                </c:pt>
                <c:pt idx="11" formatCode="0.00">
                  <c:v>77.824014684005775</c:v>
                </c:pt>
                <c:pt idx="12">
                  <c:v>9.5</c:v>
                </c:pt>
                <c:pt idx="13">
                  <c:v>30.6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data'!$A$14:$A$21,'Tabula data'!$A$26)</c:f>
              <c:strCache>
                <c:ptCount val="14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 Facade</c:v>
                </c:pt>
                <c:pt idx="11">
                  <c:v>Area Common wall</c:v>
                </c:pt>
                <c:pt idx="12">
                  <c:v>Doors</c:v>
                </c:pt>
                <c:pt idx="13">
                  <c:v>Total windows</c:v>
                </c:pt>
              </c:strCache>
            </c:strRef>
          </c:cat>
          <c:val>
            <c:numRef>
              <c:f>('Tabula data'!$D$4:$D$7,'Tabula data'!$D$10,'Tabula data'!$D$14:$D$21,'Tabula data'!$D$26)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46688"/>
        <c:axId val="223348224"/>
      </c:barChart>
      <c:catAx>
        <c:axId val="22334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3348224"/>
        <c:crossesAt val="0"/>
        <c:auto val="1"/>
        <c:lblAlgn val="ctr"/>
        <c:lblOffset val="100"/>
        <c:noMultiLvlLbl val="1"/>
      </c:catAx>
      <c:valAx>
        <c:axId val="22334822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223346688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1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7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9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1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3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5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7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4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5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6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7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8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9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0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1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2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3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4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5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6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7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8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9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0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1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105822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97155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1"/>
  <sheetViews>
    <sheetView zoomScale="90" zoomScaleNormal="90" workbookViewId="0">
      <selection activeCell="B7" sqref="B7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309" t="s">
        <v>0</v>
      </c>
      <c r="B1" s="309"/>
      <c r="C1" s="309"/>
      <c r="D1" s="309"/>
      <c r="E1" s="309"/>
      <c r="F1" s="309"/>
      <c r="G1" s="309"/>
    </row>
    <row r="3" spans="1:33" x14ac:dyDescent="0.25">
      <c r="A3" s="306" t="s">
        <v>1</v>
      </c>
      <c r="B3" s="306"/>
      <c r="C3" s="306"/>
      <c r="D3" s="306"/>
      <c r="E3" s="306"/>
      <c r="F3" s="306"/>
      <c r="G3" s="306"/>
      <c r="H3" s="306"/>
      <c r="J3" s="306" t="s">
        <v>2</v>
      </c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4"/>
      <c r="V3" s="306" t="s">
        <v>3</v>
      </c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41.552500000000002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91.508334542289276</v>
      </c>
      <c r="R6" s="30">
        <f t="shared" ref="R6:R28" si="2">VLOOKUP(M6,$W$5:$AD$391,8,0)*N6</f>
        <v>18693638.699999999</v>
      </c>
      <c r="S6" s="30">
        <f t="shared" ref="S6:S28" si="3">R6/N6</f>
        <v>449879.99999999994</v>
      </c>
      <c r="T6" s="30">
        <f t="shared" ref="T6:T28" si="4">VLOOKUP(M6,$W$5:$AF$391,10,0)*N6</f>
        <v>18693638.699999999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33.997500000000002</v>
      </c>
      <c r="O7" s="43" t="s">
        <v>39</v>
      </c>
      <c r="P7" s="30">
        <f t="shared" si="0"/>
        <v>2.2022341505875525</v>
      </c>
      <c r="Q7" s="30">
        <f t="shared" si="1"/>
        <v>74.870455534600325</v>
      </c>
      <c r="R7" s="30">
        <f t="shared" si="2"/>
        <v>15294795.300000001</v>
      </c>
      <c r="S7" s="30">
        <f t="shared" si="3"/>
        <v>449880</v>
      </c>
      <c r="T7" s="30">
        <f t="shared" si="4"/>
        <v>15294795.300000001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41.552500000000002</v>
      </c>
      <c r="O8" s="43" t="s">
        <v>45</v>
      </c>
      <c r="P8" s="30">
        <f t="shared" si="0"/>
        <v>2.2022341505875525</v>
      </c>
      <c r="Q8" s="30">
        <f t="shared" si="1"/>
        <v>91.508334542289276</v>
      </c>
      <c r="R8" s="30">
        <f t="shared" si="2"/>
        <v>18693638.699999999</v>
      </c>
      <c r="S8" s="30">
        <f t="shared" si="3"/>
        <v>449879.99999999994</v>
      </c>
      <c r="T8" s="30">
        <f t="shared" si="4"/>
        <v>18693638.699999999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33.997500000000002</v>
      </c>
      <c r="O9" s="43" t="s">
        <v>50</v>
      </c>
      <c r="P9" s="30">
        <f t="shared" si="0"/>
        <v>2.2022341505875525</v>
      </c>
      <c r="Q9" s="30">
        <f t="shared" si="1"/>
        <v>74.870455534600325</v>
      </c>
      <c r="R9" s="30">
        <f t="shared" si="2"/>
        <v>15294795.300000001</v>
      </c>
      <c r="S9" s="30">
        <f t="shared" si="3"/>
        <v>449880</v>
      </c>
      <c r="T9" s="30">
        <f t="shared" si="4"/>
        <v>15294795.300000001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88.800000000000011</v>
      </c>
      <c r="O14" s="43"/>
      <c r="P14" s="30">
        <f t="shared" si="0"/>
        <v>2.5990099009900991</v>
      </c>
      <c r="Q14" s="30">
        <f t="shared" si="1"/>
        <v>230.79207920792084</v>
      </c>
      <c r="R14" s="30">
        <f t="shared" si="2"/>
        <v>39928742.400000006</v>
      </c>
      <c r="S14" s="30">
        <f t="shared" si="3"/>
        <v>449648</v>
      </c>
      <c r="T14" s="30">
        <f t="shared" si="4"/>
        <v>39928742.400000006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101.4</v>
      </c>
      <c r="O15" s="43"/>
      <c r="P15" s="30">
        <f t="shared" si="0"/>
        <v>1.6975498473547073</v>
      </c>
      <c r="Q15" s="30">
        <f t="shared" si="1"/>
        <v>172.13155452176733</v>
      </c>
      <c r="R15" s="30">
        <f t="shared" si="2"/>
        <v>7902102</v>
      </c>
      <c r="S15" s="30">
        <f t="shared" si="3"/>
        <v>77930</v>
      </c>
      <c r="T15" s="30">
        <f t="shared" si="4"/>
        <v>4282122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data'!B21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104.6</v>
      </c>
      <c r="O26" s="43"/>
      <c r="P26" s="30">
        <f t="shared" si="0"/>
        <v>2.0224719101123596</v>
      </c>
      <c r="Q26" s="30">
        <f t="shared" si="1"/>
        <v>211.55056179775281</v>
      </c>
      <c r="R26" s="30">
        <f t="shared" si="2"/>
        <v>17605226</v>
      </c>
      <c r="S26" s="30">
        <f t="shared" si="3"/>
        <v>168310</v>
      </c>
      <c r="T26" s="30">
        <f t="shared" si="4"/>
        <v>17605226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151.10000000000002</v>
      </c>
      <c r="O27" s="43"/>
      <c r="P27" s="30">
        <f t="shared" si="0"/>
        <v>1.9926199261992623</v>
      </c>
      <c r="Q27" s="30">
        <f t="shared" si="1"/>
        <v>301.08487084870859</v>
      </c>
      <c r="R27" s="30">
        <f t="shared" si="2"/>
        <v>22719396.000000004</v>
      </c>
      <c r="S27" s="30">
        <f t="shared" si="3"/>
        <v>150360</v>
      </c>
      <c r="T27" s="30">
        <f t="shared" si="4"/>
        <v>22719396.000000004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1492.3166465299287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06" t="s">
        <v>112</v>
      </c>
      <c r="F34" s="306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307">
        <v>21</v>
      </c>
      <c r="F35" s="307"/>
      <c r="G35" s="76">
        <f>VLOOKUP(D35,A7:B23,2,0)</f>
        <v>167.39999999999998</v>
      </c>
      <c r="K35"/>
      <c r="L35"/>
      <c r="M35" t="s">
        <v>114</v>
      </c>
      <c r="N35" s="3">
        <f>SUM(Q6:Q9,Q15)</f>
        <v>504.88913467554647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308" t="s">
        <v>119</v>
      </c>
      <c r="F37" s="308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75.878969999999995</v>
      </c>
      <c r="O40" t="s">
        <v>125</v>
      </c>
      <c r="P40" s="3">
        <f>SUM(T6:T9,T15)/1000000</f>
        <v>72.258989999999997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40.324621999999998</v>
      </c>
      <c r="O41" t="s">
        <v>125</v>
      </c>
      <c r="P41" s="3">
        <f>SUM(T26:T27)/1000000</f>
        <v>40.324621999999998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39.928742400000004</v>
      </c>
      <c r="P42" s="3">
        <f>T14/1000000</f>
        <v>39.928742400000004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23"/>
  <sheetViews>
    <sheetView tabSelected="1" topLeftCell="AL7" zoomScale="80" zoomScaleNormal="80" workbookViewId="0">
      <selection activeCell="AP4" sqref="AP4:AP50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68" width="9.140625" style="81"/>
    <col min="69" max="69" width="13.5703125" style="81" bestFit="1" customWidth="1"/>
    <col min="70" max="70" width="9.140625" style="81"/>
    <col min="71" max="71" width="9.140625" style="171"/>
    <col min="72" max="72" width="9.140625" style="81"/>
    <col min="73" max="73" width="11.7109375" style="81" customWidth="1"/>
    <col min="74" max="78" width="9.140625" style="81"/>
    <col min="79" max="82" width="9.140625" style="172"/>
    <col min="83" max="83" width="16.5703125" style="172" customWidth="1"/>
    <col min="84" max="84" width="9.140625" style="172"/>
    <col min="85" max="85" width="9.140625" style="81"/>
    <col min="86" max="87" width="9.140625" style="248"/>
    <col min="88" max="88" width="15" style="81" customWidth="1"/>
    <col min="89" max="89" width="12.140625" style="79" customWidth="1"/>
    <col min="90" max="91" width="11.28515625" style="79" customWidth="1"/>
    <col min="92" max="93" width="9.140625" style="81"/>
    <col min="94" max="100" width="9.140625" style="253"/>
    <col min="101" max="101" width="9.140625" style="81"/>
    <col min="102" max="102" width="15.5703125" style="255" bestFit="1" customWidth="1"/>
    <col min="103" max="106" width="9.140625" style="255"/>
    <col min="107" max="107" width="9.140625" style="81"/>
    <col min="108" max="112" width="9.140625" style="170"/>
    <col min="113" max="16384" width="9.140625" style="81"/>
  </cols>
  <sheetData>
    <row r="1" spans="1:112" ht="20.25" customHeight="1" thickTop="1" thickBot="1" x14ac:dyDescent="0.35">
      <c r="A1" s="309" t="s">
        <v>310</v>
      </c>
      <c r="B1" s="309"/>
      <c r="C1" s="309"/>
      <c r="D1" s="309"/>
      <c r="E1" s="309"/>
      <c r="F1" s="309"/>
      <c r="G1" s="309"/>
      <c r="AO1" s="160" t="s">
        <v>312</v>
      </c>
      <c r="BC1" s="81" t="s">
        <v>377</v>
      </c>
      <c r="BT1" s="81" t="s">
        <v>378</v>
      </c>
    </row>
    <row r="2" spans="1:112" thickTop="1" thickBot="1" x14ac:dyDescent="0.3">
      <c r="AO2" s="81" t="s">
        <v>313</v>
      </c>
      <c r="CJ2" s="81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</row>
    <row r="3" spans="1:112" thickTop="1" thickBot="1" x14ac:dyDescent="0.3">
      <c r="A3" s="312" t="s">
        <v>1</v>
      </c>
      <c r="B3" s="313"/>
      <c r="C3" s="313"/>
      <c r="D3" s="313"/>
      <c r="E3" s="313"/>
      <c r="F3" s="313"/>
      <c r="G3" s="313"/>
      <c r="H3" s="314"/>
      <c r="I3" s="288"/>
      <c r="K3" s="306" t="s">
        <v>2</v>
      </c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4"/>
      <c r="W3" s="306" t="s">
        <v>3</v>
      </c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D3" s="81" t="s">
        <v>420</v>
      </c>
      <c r="BE3" s="81" t="s">
        <v>430</v>
      </c>
      <c r="BM3" s="166" t="s">
        <v>316</v>
      </c>
      <c r="BN3" s="161"/>
      <c r="BO3" s="161"/>
      <c r="BP3" s="161"/>
      <c r="BQ3" s="162"/>
      <c r="BR3" s="161"/>
      <c r="BT3" s="81" t="s">
        <v>379</v>
      </c>
      <c r="CA3" s="172" t="s">
        <v>316</v>
      </c>
      <c r="CE3" s="173"/>
      <c r="CJ3" s="81" t="s">
        <v>319</v>
      </c>
      <c r="CK3" s="249">
        <f>AZ4</f>
        <v>0.15329867501846428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</row>
    <row r="4" spans="1:112" ht="15.75" customHeight="1" thickTop="1" thickBot="1" x14ac:dyDescent="0.3">
      <c r="A4" s="176" t="s">
        <v>6</v>
      </c>
      <c r="B4" s="177">
        <f>'Tabula data'!B5</f>
        <v>531.70000000000005</v>
      </c>
      <c r="C4" s="177" t="s">
        <v>7</v>
      </c>
      <c r="D4" s="176" t="s">
        <v>8</v>
      </c>
      <c r="E4" s="177"/>
      <c r="F4" s="177"/>
      <c r="G4" s="178">
        <f>SUM(H6:H13)</f>
        <v>30.599999999999998</v>
      </c>
      <c r="H4" s="179" t="s">
        <v>9</v>
      </c>
      <c r="I4" s="187"/>
      <c r="L4" s="315" t="s">
        <v>2</v>
      </c>
      <c r="M4" s="316"/>
      <c r="N4" s="316"/>
      <c r="O4" s="316"/>
      <c r="P4" s="317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0.15329867501846428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0.15329867501846428</v>
      </c>
      <c r="BA4" s="168" t="s">
        <v>320</v>
      </c>
      <c r="BD4" s="81" t="s">
        <v>379</v>
      </c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s="81" t="s">
        <v>322</v>
      </c>
      <c r="CK4" s="249">
        <f t="shared" ref="CK4:CK49" si="0">AZ5</f>
        <v>0.38555379170255122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429</v>
      </c>
      <c r="CQ4" s="253" t="s">
        <v>420</v>
      </c>
      <c r="CR4" s="253" t="s">
        <v>441</v>
      </c>
    </row>
    <row r="5" spans="1:112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s="81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0.2816515182597264</v>
      </c>
      <c r="AB5" s="226" t="s">
        <v>5</v>
      </c>
      <c r="AC5" s="226"/>
      <c r="AD5" s="226" t="s">
        <v>22</v>
      </c>
      <c r="AE5" s="229">
        <f>SUM(AE7:AE10)</f>
        <v>59808</v>
      </c>
      <c r="AF5" s="14" t="s">
        <v>23</v>
      </c>
      <c r="AG5" s="14">
        <f>SUM(AE9:AE10)</f>
        <v>24108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0.38555379170255122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0.38555379170255122</v>
      </c>
      <c r="BA5" s="168" t="s">
        <v>320</v>
      </c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s="81" t="s">
        <v>323</v>
      </c>
      <c r="CK5" s="249">
        <f t="shared" si="0"/>
        <v>3.3807174217386021E-2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X5" s="255" t="s">
        <v>460</v>
      </c>
      <c r="CY5" s="256" t="s">
        <v>461</v>
      </c>
      <c r="CZ5" s="256" t="s">
        <v>321</v>
      </c>
      <c r="DA5" s="257">
        <f>CR12</f>
        <v>0.96099999999999997</v>
      </c>
      <c r="DB5" s="255" t="s">
        <v>320</v>
      </c>
      <c r="DD5" s="170" t="s">
        <v>460</v>
      </c>
      <c r="DE5" s="289" t="s">
        <v>461</v>
      </c>
      <c r="DF5" s="289" t="s">
        <v>321</v>
      </c>
      <c r="DG5" s="170">
        <f>O$11*$Z$39*$AP$4</f>
        <v>0.26298387699417547</v>
      </c>
      <c r="DH5" s="170" t="s">
        <v>320</v>
      </c>
    </row>
    <row r="6" spans="1:112" ht="15" customHeight="1" thickTop="1" thickBot="1" x14ac:dyDescent="0.3">
      <c r="A6" s="185" t="s">
        <v>34</v>
      </c>
      <c r="B6" s="186">
        <f>'Tabula data'!B4</f>
        <v>193.4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0.12091503267973858</v>
      </c>
      <c r="G6" s="183"/>
      <c r="H6" s="190">
        <f>'Tabula data'!B22*'Tabula RefULG 2'!C45</f>
        <v>3.7</v>
      </c>
      <c r="I6" s="202"/>
      <c r="K6" s="81" t="s">
        <v>24</v>
      </c>
      <c r="L6" s="211">
        <v>0</v>
      </c>
      <c r="M6" s="212">
        <v>1</v>
      </c>
      <c r="N6" s="212" t="s">
        <v>25</v>
      </c>
      <c r="O6" s="213">
        <f>'Tabula data'!B19*C43</f>
        <v>16.822408211117601</v>
      </c>
      <c r="P6" s="214" t="s">
        <v>26</v>
      </c>
      <c r="Q6" s="30">
        <f t="shared" ref="Q6:Q31" si="7">VLOOKUP(N6,$X$5:$AA$391,4,0)</f>
        <v>0.29056172075831888</v>
      </c>
      <c r="R6" s="30">
        <f t="shared" ref="R6:R31" si="8">Q6*O6</f>
        <v>4.8879478771212028</v>
      </c>
      <c r="S6" s="30">
        <f t="shared" ref="S6:S14" si="9">VLOOKUP(N6,$X$5:$AE$391,8,0)*O6</f>
        <v>5659394.570384183</v>
      </c>
      <c r="T6" s="30">
        <f t="shared" ref="T6:T14" si="10">S6/O6</f>
        <v>336420</v>
      </c>
      <c r="U6" s="30">
        <f t="shared" ref="U6:U14" si="11">VLOOKUP(N6,$X$5:$AG$391,10,0)*O6</f>
        <v>3045192.3343765088</v>
      </c>
      <c r="V6" s="31"/>
      <c r="W6" s="15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3.3807174217386021E-2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3.3807174217386021E-2</v>
      </c>
      <c r="BA6" s="168" t="s">
        <v>320</v>
      </c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s="81" t="s">
        <v>324</v>
      </c>
      <c r="CK6" s="249">
        <f t="shared" si="0"/>
        <v>0.19621418761463261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X6" s="255" t="s">
        <v>460</v>
      </c>
      <c r="CY6" s="256" t="s">
        <v>462</v>
      </c>
      <c r="CZ6" s="256" t="s">
        <v>321</v>
      </c>
      <c r="DA6" s="257">
        <f t="shared" ref="DA6:DA23" si="12">CR13</f>
        <v>1.9</v>
      </c>
      <c r="DB6" s="255" t="s">
        <v>320</v>
      </c>
      <c r="DD6" s="170" t="s">
        <v>460</v>
      </c>
      <c r="DE6" s="289" t="s">
        <v>462</v>
      </c>
      <c r="DF6" s="289" t="s">
        <v>321</v>
      </c>
      <c r="DG6" s="170">
        <f>O$10*$Z$39*$AP$4</f>
        <v>0.26658639585710936</v>
      </c>
      <c r="DH6" s="170" t="s">
        <v>320</v>
      </c>
    </row>
    <row r="7" spans="1:112" ht="15" customHeight="1" thickTop="1" thickBot="1" x14ac:dyDescent="0.3">
      <c r="A7" s="188" t="s">
        <v>42</v>
      </c>
      <c r="B7" s="191">
        <f>'Tabula data'!B14</f>
        <v>88.800000000000011</v>
      </c>
      <c r="C7" s="192" t="s">
        <v>9</v>
      </c>
      <c r="D7" s="188" t="s">
        <v>43</v>
      </c>
      <c r="E7" s="183" t="s">
        <v>36</v>
      </c>
      <c r="F7" s="189">
        <f t="shared" si="6"/>
        <v>0.11928104575163399</v>
      </c>
      <c r="G7" s="183"/>
      <c r="H7" s="190">
        <f>'Tabula data'!B23*'Tabula RefULG 2'!C45</f>
        <v>3.65</v>
      </c>
      <c r="I7" s="202"/>
      <c r="K7" s="81" t="s">
        <v>38</v>
      </c>
      <c r="L7" s="215">
        <v>0</v>
      </c>
      <c r="M7" s="216">
        <v>1</v>
      </c>
      <c r="N7" s="216" t="s">
        <v>25</v>
      </c>
      <c r="O7" s="217">
        <f>'Tabula data'!B20*C43</f>
        <v>35.733053277868223</v>
      </c>
      <c r="P7" s="218" t="s">
        <v>39</v>
      </c>
      <c r="Q7" s="30">
        <f t="shared" si="7"/>
        <v>0.29056172075831888</v>
      </c>
      <c r="R7" s="30">
        <f t="shared" si="8"/>
        <v>10.382657448366077</v>
      </c>
      <c r="S7" s="30">
        <f t="shared" si="9"/>
        <v>12021313.783740427</v>
      </c>
      <c r="T7" s="30">
        <f t="shared" si="10"/>
        <v>336420</v>
      </c>
      <c r="U7" s="30">
        <f t="shared" si="11"/>
        <v>6468397.3043597071</v>
      </c>
      <c r="V7" s="31"/>
      <c r="W7" s="153"/>
      <c r="X7" s="182"/>
      <c r="Y7" s="183" t="s">
        <v>40</v>
      </c>
      <c r="Z7" s="183">
        <v>2.5000000000000001E-2</v>
      </c>
      <c r="AA7" s="183">
        <v>1.3</v>
      </c>
      <c r="AB7" s="183">
        <v>1700</v>
      </c>
      <c r="AC7" s="183">
        <v>840</v>
      </c>
      <c r="AD7" s="233">
        <f>Z7/AA7</f>
        <v>1.9230769230769232E-2</v>
      </c>
      <c r="AE7" s="184">
        <f>Z7*AB7*AC7</f>
        <v>35700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0.19621418761463261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0.19621418761463261</v>
      </c>
      <c r="BA7" s="168" t="s">
        <v>320</v>
      </c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290</v>
      </c>
      <c r="CS7" s="254">
        <v>0.17399999999999999</v>
      </c>
      <c r="CT7" s="253">
        <v>1670.17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1.1499999999999999</v>
      </c>
      <c r="DB7" s="255" t="s">
        <v>320</v>
      </c>
      <c r="DD7" s="170" t="s">
        <v>460</v>
      </c>
      <c r="DE7" s="290" t="s">
        <v>463</v>
      </c>
      <c r="DF7" s="289" t="s">
        <v>321</v>
      </c>
      <c r="DG7" s="170">
        <f>O$12*$Z$39*$AP$4</f>
        <v>0.30261158448644848</v>
      </c>
      <c r="DH7" s="170" t="s">
        <v>320</v>
      </c>
    </row>
    <row r="8" spans="1:112" ht="15" customHeight="1" thickTop="1" thickBot="1" x14ac:dyDescent="0.3">
      <c r="A8" s="188" t="s">
        <v>47</v>
      </c>
      <c r="B8" s="191">
        <f>B6-B7</f>
        <v>104.6</v>
      </c>
      <c r="C8" s="183" t="s">
        <v>9</v>
      </c>
      <c r="D8" s="188" t="s">
        <v>48</v>
      </c>
      <c r="E8" s="183" t="s">
        <v>36</v>
      </c>
      <c r="F8" s="189">
        <f t="shared" si="6"/>
        <v>0.13725490196078433</v>
      </c>
      <c r="G8" s="183"/>
      <c r="H8" s="190">
        <f>'Tabula data'!B24*C45</f>
        <v>4.2</v>
      </c>
      <c r="I8" s="202"/>
      <c r="K8" s="81" t="s">
        <v>44</v>
      </c>
      <c r="L8" s="215">
        <v>0</v>
      </c>
      <c r="M8" s="216">
        <v>1</v>
      </c>
      <c r="N8" s="216" t="s">
        <v>25</v>
      </c>
      <c r="O8" s="217">
        <f>O6</f>
        <v>16.822408211117601</v>
      </c>
      <c r="P8" s="218" t="s">
        <v>45</v>
      </c>
      <c r="Q8" s="30">
        <f t="shared" si="7"/>
        <v>0.29056172075831888</v>
      </c>
      <c r="R8" s="30">
        <f t="shared" si="8"/>
        <v>4.8879478771212028</v>
      </c>
      <c r="S8" s="30">
        <f t="shared" si="9"/>
        <v>5659394.570384183</v>
      </c>
      <c r="T8" s="30">
        <f t="shared" si="10"/>
        <v>336420</v>
      </c>
      <c r="U8" s="30">
        <f t="shared" si="11"/>
        <v>3045192.3343765088</v>
      </c>
      <c r="V8" s="31"/>
      <c r="W8" s="15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s="81" t="s">
        <v>325</v>
      </c>
      <c r="CK8" s="251">
        <f t="shared" si="0"/>
        <v>1635553.9200000004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288</v>
      </c>
      <c r="CS8" s="254">
        <v>8.8900000000000007E-2</v>
      </c>
      <c r="CT8" s="253">
        <v>3233.57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0.79</v>
      </c>
      <c r="DB8" s="255" t="s">
        <v>320</v>
      </c>
      <c r="DD8" s="170" t="s">
        <v>460</v>
      </c>
      <c r="DE8" s="291" t="s">
        <v>464</v>
      </c>
      <c r="DF8" s="289" t="s">
        <v>321</v>
      </c>
      <c r="DG8" s="170">
        <f>O$13*$Z$39*$AP$4</f>
        <v>0.27018891472004331</v>
      </c>
      <c r="DH8" s="170" t="s">
        <v>320</v>
      </c>
    </row>
    <row r="9" spans="1:112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0.12254901960784315</v>
      </c>
      <c r="G9" s="183"/>
      <c r="H9" s="190">
        <f>'Tabula data'!B25*'Tabula RefULG 2'!C45</f>
        <v>3.75</v>
      </c>
      <c r="I9" s="202"/>
      <c r="K9" s="81" t="s">
        <v>49</v>
      </c>
      <c r="L9" s="215">
        <v>0</v>
      </c>
      <c r="M9" s="216">
        <v>1</v>
      </c>
      <c r="N9" s="216" t="s">
        <v>25</v>
      </c>
      <c r="O9" s="217">
        <v>0</v>
      </c>
      <c r="P9" s="218" t="s">
        <v>50</v>
      </c>
      <c r="Q9" s="30">
        <f t="shared" si="7"/>
        <v>0.29056172075831888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153"/>
      <c r="X9" s="182"/>
      <c r="Y9" s="193" t="s">
        <v>51</v>
      </c>
      <c r="Z9" s="286">
        <v>0.115</v>
      </c>
      <c r="AA9" s="183">
        <v>3.5999999999999997E-2</v>
      </c>
      <c r="AB9" s="183">
        <v>80</v>
      </c>
      <c r="AC9" s="183">
        <v>840</v>
      </c>
      <c r="AD9" s="233">
        <f>Z9/AA9</f>
        <v>3.1944444444444446</v>
      </c>
      <c r="AE9" s="184">
        <f>Z9*AB9*AC9</f>
        <v>7728.0000000000009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1635553.9200000004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1635553.9200000004</v>
      </c>
      <c r="BA9" s="168" t="s">
        <v>320</v>
      </c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s="81" t="s">
        <v>326</v>
      </c>
      <c r="CK9" s="251">
        <f t="shared" si="0"/>
        <v>12558781.973112725</v>
      </c>
      <c r="CL9" s="251">
        <f t="shared" ref="CL9:CL49" si="13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294</v>
      </c>
      <c r="CS9" s="254">
        <v>7.5200000000000003E-2</v>
      </c>
      <c r="CT9" s="253">
        <v>3910.94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1.95</v>
      </c>
      <c r="DB9" s="255" t="s">
        <v>320</v>
      </c>
      <c r="DD9" s="170" t="s">
        <v>460</v>
      </c>
      <c r="DE9" s="291" t="s">
        <v>465</v>
      </c>
      <c r="DF9" s="289" t="s">
        <v>321</v>
      </c>
      <c r="DG9" s="170">
        <f>O$11*$Z$39*$AP$5</f>
        <v>0.66141752966572653</v>
      </c>
      <c r="DH9" s="170" t="s">
        <v>320</v>
      </c>
    </row>
    <row r="10" spans="1:112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0.12091503267973858</v>
      </c>
      <c r="G10" s="183"/>
      <c r="H10" s="194">
        <f>'Tabula data'!B22*(1-C45)</f>
        <v>3.7</v>
      </c>
      <c r="I10" s="200"/>
      <c r="K10" s="81" t="s">
        <v>53</v>
      </c>
      <c r="L10" s="215">
        <v>0</v>
      </c>
      <c r="M10" s="216">
        <v>1</v>
      </c>
      <c r="N10" s="216" t="s">
        <v>54</v>
      </c>
      <c r="O10" s="217">
        <f>H6</f>
        <v>3.7</v>
      </c>
      <c r="P10" s="218" t="s">
        <v>26</v>
      </c>
      <c r="Q10" s="30">
        <f t="shared" si="7"/>
        <v>2</v>
      </c>
      <c r="R10" s="30">
        <f t="shared" si="8"/>
        <v>7.4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15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12558781.973112725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4">AP10</f>
        <v>12558781.973112725</v>
      </c>
      <c r="BA10" s="168" t="s">
        <v>320</v>
      </c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5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6">BU19</f>
        <v>44000000</v>
      </c>
      <c r="CF10" s="174" t="s">
        <v>320</v>
      </c>
      <c r="CJ10" s="81" t="s">
        <v>327</v>
      </c>
      <c r="CK10" s="251">
        <f t="shared" si="0"/>
        <v>9916707.6854363121</v>
      </c>
      <c r="CL10" s="251">
        <f t="shared" si="13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290</v>
      </c>
      <c r="CS10" s="254">
        <v>8.7999999999999995E-2</v>
      </c>
      <c r="CT10" s="253">
        <v>3299.12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1.81</v>
      </c>
      <c r="DB10" s="255" t="s">
        <v>320</v>
      </c>
      <c r="DD10" s="170" t="s">
        <v>460</v>
      </c>
      <c r="DE10" s="291" t="s">
        <v>466</v>
      </c>
      <c r="DF10" s="289" t="s">
        <v>321</v>
      </c>
      <c r="DG10" s="170">
        <f>O$10*$Z$39*$AP$5</f>
        <v>0.6704780437707365</v>
      </c>
      <c r="DH10" s="170" t="s">
        <v>320</v>
      </c>
    </row>
    <row r="11" spans="1:112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0.11928104575163399</v>
      </c>
      <c r="G11" s="183"/>
      <c r="H11" s="194">
        <f>'Tabula data'!B23*(1-'Tabula RefULG 2'!C45)</f>
        <v>3.65</v>
      </c>
      <c r="I11" s="200"/>
      <c r="K11" s="81" t="s">
        <v>57</v>
      </c>
      <c r="L11" s="215">
        <v>0</v>
      </c>
      <c r="M11" s="216">
        <v>1</v>
      </c>
      <c r="N11" s="216" t="s">
        <v>54</v>
      </c>
      <c r="O11" s="217">
        <f>H7</f>
        <v>3.65</v>
      </c>
      <c r="P11" s="218" t="s">
        <v>39</v>
      </c>
      <c r="Q11" s="30">
        <f t="shared" si="7"/>
        <v>2</v>
      </c>
      <c r="R11" s="30">
        <f t="shared" si="8"/>
        <v>7.3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15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SUM(U27,U30)/2</f>
        <v>9916707.6854363121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4"/>
        <v>9916707.6854363121</v>
      </c>
      <c r="BA11" s="168" t="s">
        <v>320</v>
      </c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5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6"/>
        <v>26300000</v>
      </c>
      <c r="CF11" s="174" t="s">
        <v>320</v>
      </c>
      <c r="CJ11" s="81" t="s">
        <v>328</v>
      </c>
      <c r="CK11" s="251">
        <f t="shared" si="0"/>
        <v>9853248.0000000019</v>
      </c>
      <c r="CL11" s="251">
        <f t="shared" si="13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288</v>
      </c>
      <c r="CS11" s="254">
        <v>9.2399999999999996E-2</v>
      </c>
      <c r="CT11" s="253">
        <v>3113.26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2.2599999999999998</v>
      </c>
      <c r="DB11" s="255" t="s">
        <v>320</v>
      </c>
      <c r="DD11" s="170" t="s">
        <v>460</v>
      </c>
      <c r="DE11" s="291" t="s">
        <v>467</v>
      </c>
      <c r="DF11" s="289" t="s">
        <v>321</v>
      </c>
      <c r="DG11" s="170">
        <f>O$12*$Z$39*$AP$5</f>
        <v>0.76108318482083614</v>
      </c>
      <c r="DH11" s="170" t="s">
        <v>320</v>
      </c>
    </row>
    <row r="12" spans="1:112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0.13725490196078433</v>
      </c>
      <c r="G12" s="183"/>
      <c r="H12" s="194">
        <f>'Tabula data'!B24*(1-'Tabula RefULG 2'!C45)</f>
        <v>4.2</v>
      </c>
      <c r="I12" s="200"/>
      <c r="K12" s="81" t="s">
        <v>59</v>
      </c>
      <c r="L12" s="215">
        <v>0</v>
      </c>
      <c r="M12" s="216">
        <v>1</v>
      </c>
      <c r="N12" s="216" t="s">
        <v>54</v>
      </c>
      <c r="O12" s="217">
        <f>H8</f>
        <v>4.2</v>
      </c>
      <c r="P12" s="218" t="s">
        <v>45</v>
      </c>
      <c r="Q12" s="30">
        <f t="shared" si="7"/>
        <v>2</v>
      </c>
      <c r="R12" s="30">
        <f t="shared" si="8"/>
        <v>8.4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15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9853248.0000000019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4"/>
        <v>9853248.0000000019</v>
      </c>
      <c r="BA12" s="168" t="s">
        <v>320</v>
      </c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0.96099999999999997</v>
      </c>
      <c r="CS12" s="254">
        <v>3.6299999999999999E-2</v>
      </c>
      <c r="CT12" s="253">
        <v>26.48</v>
      </c>
      <c r="CU12" s="253" t="s">
        <v>387</v>
      </c>
      <c r="CV12" s="254">
        <v>2E-16</v>
      </c>
      <c r="CW12" s="81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1.91</v>
      </c>
      <c r="DB12" s="255" t="s">
        <v>320</v>
      </c>
      <c r="DD12" s="170" t="s">
        <v>460</v>
      </c>
      <c r="DE12" s="290" t="s">
        <v>468</v>
      </c>
      <c r="DF12" s="289" t="s">
        <v>321</v>
      </c>
      <c r="DG12" s="170">
        <f>O$13*$Z$39*$AP$5</f>
        <v>0.67953855787574646</v>
      </c>
      <c r="DH12" s="170" t="s">
        <v>320</v>
      </c>
    </row>
    <row r="13" spans="1:112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0.12254901960784315</v>
      </c>
      <c r="G13" s="183"/>
      <c r="H13" s="194">
        <f>'Tabula data'!B25*(1-'Tabula RefULG 2'!C45)</f>
        <v>3.75</v>
      </c>
      <c r="I13" s="200"/>
      <c r="K13" s="81" t="s">
        <v>60</v>
      </c>
      <c r="L13" s="215">
        <v>0</v>
      </c>
      <c r="M13" s="216">
        <v>1</v>
      </c>
      <c r="N13" s="216" t="s">
        <v>54</v>
      </c>
      <c r="O13" s="217">
        <f>H9</f>
        <v>3.75</v>
      </c>
      <c r="P13" s="218" t="s">
        <v>50</v>
      </c>
      <c r="Q13" s="30">
        <f t="shared" si="7"/>
        <v>2</v>
      </c>
      <c r="R13" s="30">
        <f t="shared" si="8"/>
        <v>7.5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153"/>
      <c r="X13" s="225" t="s">
        <v>64</v>
      </c>
      <c r="Y13" s="226"/>
      <c r="Z13" s="227" t="s">
        <v>21</v>
      </c>
      <c r="AA13" s="228">
        <f>1/(1/8+SUM(AD15:AD21)+1/23)</f>
        <v>0.29056172075831888</v>
      </c>
      <c r="AB13" s="226" t="s">
        <v>5</v>
      </c>
      <c r="AC13" s="226"/>
      <c r="AD13" s="226" t="s">
        <v>22</v>
      </c>
      <c r="AE13" s="229">
        <f>SUM(AE17:AE22)</f>
        <v>336420</v>
      </c>
      <c r="AF13" s="14" t="s">
        <v>23</v>
      </c>
      <c r="AG13" s="14">
        <f>SUM(AE20:AE21)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s="81" t="s">
        <v>329</v>
      </c>
      <c r="CK13" s="249">
        <f t="shared" si="0"/>
        <v>4.5989602505539282E-2</v>
      </c>
      <c r="CL13" s="249">
        <f t="shared" si="13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1.9</v>
      </c>
      <c r="CS13" s="254">
        <v>0.124</v>
      </c>
      <c r="CT13" s="253">
        <v>15.36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2"/>
        <v>0.26</v>
      </c>
      <c r="DB13" s="255" t="s">
        <v>320</v>
      </c>
      <c r="DD13" s="170" t="s">
        <v>460</v>
      </c>
      <c r="DE13" s="292" t="s">
        <v>469</v>
      </c>
      <c r="DF13" s="289" t="s">
        <v>321</v>
      </c>
      <c r="DG13" s="170">
        <f>O$11*$Z$39*$AP$6</f>
        <v>5.7996207369925716E-2</v>
      </c>
      <c r="DH13" s="170" t="s">
        <v>320</v>
      </c>
    </row>
    <row r="14" spans="1:112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s="81" t="s">
        <v>61</v>
      </c>
      <c r="L14" s="215" t="s">
        <v>62</v>
      </c>
      <c r="M14" s="216">
        <v>1</v>
      </c>
      <c r="N14" s="216" t="s">
        <v>63</v>
      </c>
      <c r="O14" s="217">
        <f>B7</f>
        <v>88.800000000000011</v>
      </c>
      <c r="P14" s="218"/>
      <c r="Q14" s="30">
        <f t="shared" si="7"/>
        <v>0.26077238296287103</v>
      </c>
      <c r="R14" s="30">
        <f t="shared" si="8"/>
        <v>23.156587607102949</v>
      </c>
      <c r="S14" s="30">
        <f t="shared" si="9"/>
        <v>33690426.960000008</v>
      </c>
      <c r="T14" s="30">
        <f t="shared" si="10"/>
        <v>379396.70000000007</v>
      </c>
      <c r="U14" s="30">
        <f t="shared" si="11"/>
        <v>9853248.0000000019</v>
      </c>
      <c r="V14" s="31"/>
      <c r="W14" s="15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AP4*0.3</f>
        <v>4.5989602505539282E-2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4.5989602505539282E-2</v>
      </c>
      <c r="BA14" s="168" t="s">
        <v>320</v>
      </c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s="81" t="s">
        <v>330</v>
      </c>
      <c r="CK14" s="249">
        <f t="shared" si="0"/>
        <v>0.11566613751076536</v>
      </c>
      <c r="CL14" s="249">
        <f t="shared" si="13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1.1499999999999999</v>
      </c>
      <c r="CS14" s="254">
        <v>2.06E-2</v>
      </c>
      <c r="CT14" s="253">
        <v>56.01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2.4200000000000002E-8</v>
      </c>
      <c r="DB14" s="255" t="s">
        <v>320</v>
      </c>
      <c r="DD14" s="170" t="s">
        <v>460</v>
      </c>
      <c r="DE14" s="292" t="s">
        <v>470</v>
      </c>
      <c r="DF14" s="289" t="s">
        <v>321</v>
      </c>
      <c r="DG14" s="170">
        <f>O$10*$Z$39*$AP$6</f>
        <v>5.8790675964034284E-2</v>
      </c>
      <c r="DH14" s="170" t="s">
        <v>320</v>
      </c>
    </row>
    <row r="15" spans="1:112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s="81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0.2816515182597264</v>
      </c>
      <c r="R15" s="30">
        <f t="shared" si="8"/>
        <v>0</v>
      </c>
      <c r="S15" s="30">
        <f>VLOOKUP(N15,$X$5:$AE$391,8,0)*O25</f>
        <v>6064531.2000000002</v>
      </c>
      <c r="T15" s="30">
        <f>S15/O25</f>
        <v>59808</v>
      </c>
      <c r="U15" s="30">
        <f>VLOOKUP(N15,$X$5:$AG$391,10,0)*O25</f>
        <v>2444551.2000000002</v>
      </c>
      <c r="V15" s="31"/>
      <c r="W15" s="153"/>
      <c r="X15" s="182"/>
      <c r="Y15" s="263" t="s">
        <v>500</v>
      </c>
      <c r="Z15" s="287">
        <v>2.5000000000000001E-2</v>
      </c>
      <c r="AA15" s="263">
        <v>0.6</v>
      </c>
      <c r="AB15" s="263">
        <v>975</v>
      </c>
      <c r="AC15" s="263">
        <v>840</v>
      </c>
      <c r="AD15" s="264">
        <f t="shared" ref="AD15:AD16" si="17">Z15/AA15</f>
        <v>4.1666666666666671E-2</v>
      </c>
      <c r="AE15" s="265">
        <f t="shared" ref="AE15:AE16" si="18">AB15*AC15*Z15</f>
        <v>20475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AP5*0.3</f>
        <v>0.11566613751076536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0.11566613751076536</v>
      </c>
      <c r="BA15" s="168" t="s">
        <v>320</v>
      </c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9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20">BU27</f>
        <v>0.14699999999999999</v>
      </c>
      <c r="CF15" s="174" t="s">
        <v>320</v>
      </c>
      <c r="CJ15" s="81" t="s">
        <v>331</v>
      </c>
      <c r="CK15" s="249">
        <f t="shared" si="0"/>
        <v>0.71014215226521571</v>
      </c>
      <c r="CL15" s="249">
        <f t="shared" si="13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0.79</v>
      </c>
      <c r="CS15" s="254">
        <v>3.4799999999999998E-2</v>
      </c>
      <c r="CT15" s="253">
        <v>22.69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0.50900000000000001</v>
      </c>
      <c r="DB15" s="255" t="s">
        <v>320</v>
      </c>
      <c r="DD15" s="170" t="s">
        <v>460</v>
      </c>
      <c r="DE15" s="292" t="s">
        <v>471</v>
      </c>
      <c r="DF15" s="289" t="s">
        <v>321</v>
      </c>
      <c r="DG15" s="170">
        <f>O$12*$Z$39*$AP$6</f>
        <v>6.673536190512E-2</v>
      </c>
      <c r="DH15" s="170" t="s">
        <v>320</v>
      </c>
    </row>
    <row r="16" spans="1:112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1.3940744625065551</v>
      </c>
      <c r="G16" s="193" t="s">
        <v>70</v>
      </c>
      <c r="H16" s="184"/>
      <c r="I16" s="183"/>
      <c r="K16" s="81" t="s">
        <v>67</v>
      </c>
      <c r="L16" s="215">
        <v>0</v>
      </c>
      <c r="M16" s="216">
        <v>1</v>
      </c>
      <c r="N16" s="216" t="s">
        <v>68</v>
      </c>
      <c r="O16" s="217">
        <f>'Tabula data'!B21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31" si="21">VLOOKUP(N16,$X$5:$AE$391,8,0)*O16</f>
        <v>346940</v>
      </c>
      <c r="T16" s="30">
        <f t="shared" ref="T16:T31" si="22">S16/O16</f>
        <v>36520</v>
      </c>
      <c r="U16" s="30">
        <f t="shared" ref="U16:U31" si="23">VLOOKUP(N16,$X$5:$AG$391,10,0)*O16</f>
        <v>0</v>
      </c>
      <c r="V16" s="31"/>
      <c r="W16" s="153"/>
      <c r="X16" s="182"/>
      <c r="Y16" s="263" t="s">
        <v>283</v>
      </c>
      <c r="Z16" s="287">
        <v>6.7000000000000004E-2</v>
      </c>
      <c r="AA16" s="263">
        <v>2.4E-2</v>
      </c>
      <c r="AB16" s="263">
        <v>80</v>
      </c>
      <c r="AC16" s="263">
        <v>840</v>
      </c>
      <c r="AD16" s="264">
        <f t="shared" si="17"/>
        <v>2.791666666666667</v>
      </c>
      <c r="AE16" s="265">
        <f t="shared" si="18"/>
        <v>4502.4000000000005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AP6*0.3+0.7</f>
        <v>0.71014215226521571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0.71014215226521571</v>
      </c>
      <c r="BA16" s="168" t="s">
        <v>320</v>
      </c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9"/>
        <v>0.53700000000000003</v>
      </c>
      <c r="BR16" s="168" t="s">
        <v>320</v>
      </c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20"/>
        <v>0.73599999999999999</v>
      </c>
      <c r="CF16" s="174" t="s">
        <v>320</v>
      </c>
      <c r="CJ16" s="81" t="s">
        <v>332</v>
      </c>
      <c r="CK16" s="249">
        <f t="shared" si="0"/>
        <v>5.8864256284389779E-2</v>
      </c>
      <c r="CL16" s="249">
        <f t="shared" si="13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1.95</v>
      </c>
      <c r="CS16" s="254">
        <v>4.2700000000000002E-2</v>
      </c>
      <c r="CT16" s="253">
        <v>45.6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2.1199999999999999E-7</v>
      </c>
      <c r="DB16" s="255" t="s">
        <v>320</v>
      </c>
      <c r="DD16" s="170" t="s">
        <v>460</v>
      </c>
      <c r="DE16" s="292" t="s">
        <v>472</v>
      </c>
      <c r="DF16" s="289" t="s">
        <v>321</v>
      </c>
      <c r="DG16" s="170">
        <f>O$13*$Z$39*$AP$6</f>
        <v>5.9585144558142858E-2</v>
      </c>
      <c r="DH16" s="170" t="s">
        <v>320</v>
      </c>
    </row>
    <row r="17" spans="1:112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1.9720785935884175</v>
      </c>
      <c r="G17" s="193"/>
      <c r="H17" s="184"/>
      <c r="I17" s="183"/>
      <c r="K17" s="81" t="s">
        <v>71</v>
      </c>
      <c r="L17" s="215">
        <v>0</v>
      </c>
      <c r="M17" s="216">
        <v>2</v>
      </c>
      <c r="N17" s="216" t="s">
        <v>25</v>
      </c>
      <c r="O17" s="217">
        <f>'Tabula data'!B19*(1-C43)</f>
        <v>19.815584446879509</v>
      </c>
      <c r="P17" s="218" t="s">
        <v>26</v>
      </c>
      <c r="Q17" s="30">
        <f t="shared" si="7"/>
        <v>0.29056172075831888</v>
      </c>
      <c r="R17" s="30">
        <f t="shared" si="8"/>
        <v>5.7576503147170905</v>
      </c>
      <c r="S17" s="30">
        <f t="shared" si="21"/>
        <v>6666358.9196192045</v>
      </c>
      <c r="T17" s="30">
        <f t="shared" si="22"/>
        <v>336420</v>
      </c>
      <c r="U17" s="30">
        <f t="shared" si="23"/>
        <v>3587017.0965741291</v>
      </c>
      <c r="V17" s="31"/>
      <c r="W17" s="153"/>
      <c r="X17" s="182"/>
      <c r="Y17" s="183" t="s">
        <v>76</v>
      </c>
      <c r="Z17" s="183">
        <v>0.1</v>
      </c>
      <c r="AA17" s="183">
        <v>1.1000000000000001</v>
      </c>
      <c r="AB17" s="183">
        <v>1850</v>
      </c>
      <c r="AC17" s="193">
        <v>840</v>
      </c>
      <c r="AD17" s="233">
        <f>Z17/AA17</f>
        <v>9.0909090909090912E-2</v>
      </c>
      <c r="AE17" s="184">
        <f>AB17*AC17*Z17</f>
        <v>155400</v>
      </c>
      <c r="AF17" s="14"/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5.8864256284389779E-2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5.8864256284389779E-2</v>
      </c>
      <c r="BA17" s="168" t="s">
        <v>320</v>
      </c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9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20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1.81</v>
      </c>
      <c r="CS17" s="254">
        <v>0.13600000000000001</v>
      </c>
      <c r="CT17" s="253">
        <v>13.33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2"/>
        <v>0.79900000000000004</v>
      </c>
      <c r="DB17" s="255" t="s">
        <v>320</v>
      </c>
      <c r="DD17" s="170" t="s">
        <v>460</v>
      </c>
      <c r="DE17" s="292" t="s">
        <v>473</v>
      </c>
      <c r="DF17" s="289" t="s">
        <v>321</v>
      </c>
      <c r="DG17" s="170">
        <f>O$11*$Z$39*$AP$7</f>
        <v>0.33660543885290217</v>
      </c>
      <c r="DH17" s="170" t="s">
        <v>320</v>
      </c>
    </row>
    <row r="18" spans="1:112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1.9720785935884175</v>
      </c>
      <c r="G18" s="193"/>
      <c r="H18" s="184"/>
      <c r="I18" s="183"/>
      <c r="K18" s="81" t="s">
        <v>75</v>
      </c>
      <c r="L18" s="215">
        <v>0</v>
      </c>
      <c r="M18" s="216">
        <v>2</v>
      </c>
      <c r="N18" s="216" t="s">
        <v>25</v>
      </c>
      <c r="O18" s="217">
        <f>'Tabula data'!B20*(1-C43)</f>
        <v>42.090961406137552</v>
      </c>
      <c r="P18" s="218" t="s">
        <v>39</v>
      </c>
      <c r="Q18" s="30">
        <f t="shared" si="7"/>
        <v>0.29056172075831888</v>
      </c>
      <c r="R18" s="30">
        <f t="shared" si="8"/>
        <v>12.230022174539316</v>
      </c>
      <c r="S18" s="30">
        <f t="shared" si="21"/>
        <v>14160241.236252796</v>
      </c>
      <c r="T18" s="30">
        <f t="shared" si="22"/>
        <v>336420</v>
      </c>
      <c r="U18" s="30">
        <f t="shared" si="23"/>
        <v>7619305.8337390209</v>
      </c>
      <c r="V18" s="31"/>
      <c r="W18" s="153"/>
      <c r="X18" s="182"/>
      <c r="Y18" s="183" t="s">
        <v>271</v>
      </c>
      <c r="Z18" s="183">
        <v>0</v>
      </c>
      <c r="AA18" s="183">
        <v>0</v>
      </c>
      <c r="AB18" s="183">
        <v>0</v>
      </c>
      <c r="AC18" s="183">
        <v>0</v>
      </c>
      <c r="AD18" s="233">
        <v>0.16</v>
      </c>
      <c r="AE18" s="184">
        <f>Z18*AB18*AC18</f>
        <v>0</v>
      </c>
      <c r="AF18" s="14"/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s="81" t="s">
        <v>333</v>
      </c>
      <c r="CK18" s="252">
        <f t="shared" si="0"/>
        <v>158.07615881036227</v>
      </c>
      <c r="CL18" s="252">
        <f t="shared" si="13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2.2599999999999998</v>
      </c>
      <c r="CS18" s="254">
        <v>2.5499999999999998E-2</v>
      </c>
      <c r="CT18" s="253">
        <v>88.62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7.3900000000000007E-8</v>
      </c>
      <c r="DB18" s="255" t="s">
        <v>320</v>
      </c>
      <c r="DD18" s="170" t="s">
        <v>460</v>
      </c>
      <c r="DE18" s="292" t="s">
        <v>474</v>
      </c>
      <c r="DF18" s="289" t="s">
        <v>321</v>
      </c>
      <c r="DG18" s="170">
        <f>O$10*$Z$39*$AP$7</f>
        <v>0.34121647226184609</v>
      </c>
      <c r="DH18" s="170" t="s">
        <v>320</v>
      </c>
    </row>
    <row r="19" spans="1:112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s="81" t="s">
        <v>79</v>
      </c>
      <c r="L19" s="215">
        <v>0</v>
      </c>
      <c r="M19" s="216">
        <v>2</v>
      </c>
      <c r="N19" s="216" t="s">
        <v>25</v>
      </c>
      <c r="O19" s="217">
        <f>O17</f>
        <v>19.815584446879509</v>
      </c>
      <c r="P19" s="218" t="s">
        <v>45</v>
      </c>
      <c r="Q19" s="30">
        <f t="shared" si="7"/>
        <v>0.29056172075831888</v>
      </c>
      <c r="R19" s="30">
        <f t="shared" si="8"/>
        <v>5.7576503147170905</v>
      </c>
      <c r="S19" s="30">
        <f t="shared" si="21"/>
        <v>6666358.9196192045</v>
      </c>
      <c r="T19" s="30">
        <f t="shared" si="22"/>
        <v>336420</v>
      </c>
      <c r="U19" s="30">
        <f t="shared" si="23"/>
        <v>3587017.0965741291</v>
      </c>
      <c r="V19" s="31"/>
      <c r="W19" s="153"/>
      <c r="X19" s="182"/>
      <c r="Y19" s="183" t="s">
        <v>272</v>
      </c>
      <c r="Z19" s="183">
        <v>0</v>
      </c>
      <c r="AA19" s="183">
        <v>3.5999999999999997E-2</v>
      </c>
      <c r="AB19" s="183">
        <v>26</v>
      </c>
      <c r="AC19" s="183">
        <v>1470</v>
      </c>
      <c r="AD19" s="233">
        <f>Z19/AA19</f>
        <v>0</v>
      </c>
      <c r="AE19" s="184">
        <f>Z19*AB19*AC19</f>
        <v>0</v>
      </c>
      <c r="AF19" s="149" t="s">
        <v>273</v>
      </c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SUM(O6:O9)*(1/(SUM(AD20:AD21)+1/4))</f>
        <v>158.07615881036227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158.07615881036227</v>
      </c>
      <c r="BA19" s="168" t="s">
        <v>320</v>
      </c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s="81" t="s">
        <v>334</v>
      </c>
      <c r="CK19" s="252">
        <f t="shared" si="0"/>
        <v>184.63366336633666</v>
      </c>
      <c r="CL19" s="252">
        <f t="shared" si="13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1.91</v>
      </c>
      <c r="CS19" s="254">
        <v>4.2900000000000001E-2</v>
      </c>
      <c r="CT19" s="253">
        <v>44.62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0.94899999999999995</v>
      </c>
      <c r="DB19" s="255" t="s">
        <v>320</v>
      </c>
      <c r="DD19" s="170" t="s">
        <v>460</v>
      </c>
      <c r="DE19" s="290" t="s">
        <v>475</v>
      </c>
      <c r="DF19" s="289" t="s">
        <v>321</v>
      </c>
      <c r="DG19" s="170">
        <f>O$12*$Z$39*$AP$7</f>
        <v>0.38732680635128475</v>
      </c>
      <c r="DH19" s="170" t="s">
        <v>320</v>
      </c>
    </row>
    <row r="20" spans="1:112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0.15822130299896586</v>
      </c>
      <c r="G20" s="193"/>
      <c r="H20" s="184"/>
      <c r="I20" s="183"/>
      <c r="K20" s="81" t="s">
        <v>82</v>
      </c>
      <c r="L20" s="215">
        <v>0</v>
      </c>
      <c r="M20" s="216">
        <v>2</v>
      </c>
      <c r="N20" s="216" t="s">
        <v>25</v>
      </c>
      <c r="O20" s="217">
        <v>0</v>
      </c>
      <c r="P20" s="218" t="s">
        <v>50</v>
      </c>
      <c r="Q20" s="30">
        <f t="shared" si="7"/>
        <v>0.29056172075831888</v>
      </c>
      <c r="R20" s="30">
        <f t="shared" si="8"/>
        <v>0</v>
      </c>
      <c r="S20" s="30">
        <f t="shared" si="21"/>
        <v>0</v>
      </c>
      <c r="T20" s="30" t="e">
        <f t="shared" si="22"/>
        <v>#DIV/0!</v>
      </c>
      <c r="U20" s="30">
        <f t="shared" si="23"/>
        <v>0</v>
      </c>
      <c r="V20" s="31"/>
      <c r="W20" s="153"/>
      <c r="X20" s="182"/>
      <c r="Y20" s="193" t="s">
        <v>376</v>
      </c>
      <c r="Z20" s="183">
        <v>0.14000000000000001</v>
      </c>
      <c r="AA20" s="183">
        <v>0.9</v>
      </c>
      <c r="AB20" s="183">
        <v>1400</v>
      </c>
      <c r="AC20" s="193">
        <v>840</v>
      </c>
      <c r="AD20" s="233">
        <f>Z20/AA20</f>
        <v>0.15555555555555556</v>
      </c>
      <c r="AE20" s="184">
        <f>Z20*AB20*AC20</f>
        <v>164640.00000000003</v>
      </c>
      <c r="AF20" s="14" t="s">
        <v>274</v>
      </c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SUM(O14)*1/(SUM(AD44:AD45)+1/3)</f>
        <v>184.63366336633666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4">AP20</f>
        <v>184.63366336633666</v>
      </c>
      <c r="BA20" s="168" t="s">
        <v>320</v>
      </c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5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6">BU32</f>
        <v>172</v>
      </c>
      <c r="CF20" s="174" t="s">
        <v>320</v>
      </c>
      <c r="CJ20" s="81" t="s">
        <v>335</v>
      </c>
      <c r="CK20" s="252">
        <f t="shared" si="0"/>
        <v>223.4480638854225</v>
      </c>
      <c r="CL20" s="252">
        <f t="shared" si="13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0.26</v>
      </c>
      <c r="CS20" s="254">
        <v>0.27200000000000002</v>
      </c>
      <c r="CT20" s="253">
        <v>0.96</v>
      </c>
      <c r="CU20" s="253">
        <v>0.33800000000000002</v>
      </c>
      <c r="CX20" s="255" t="s">
        <v>460</v>
      </c>
      <c r="CY20" s="259" t="s">
        <v>476</v>
      </c>
      <c r="CZ20" s="256" t="s">
        <v>321</v>
      </c>
      <c r="DA20" s="257">
        <f t="shared" si="12"/>
        <v>0.79</v>
      </c>
      <c r="DB20" s="255" t="s">
        <v>320</v>
      </c>
      <c r="DD20" s="170" t="s">
        <v>460</v>
      </c>
      <c r="DE20" s="291" t="s">
        <v>476</v>
      </c>
      <c r="DF20" s="289" t="s">
        <v>321</v>
      </c>
      <c r="DG20" s="170">
        <f>O$13*$Z$39*$AP$7</f>
        <v>0.34582750567078996</v>
      </c>
      <c r="DH20" s="170" t="s">
        <v>320</v>
      </c>
    </row>
    <row r="21" spans="1:112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0.15822130299896586</v>
      </c>
      <c r="G21" s="193"/>
      <c r="H21" s="184"/>
      <c r="I21" s="183"/>
      <c r="K21" s="81" t="s">
        <v>84</v>
      </c>
      <c r="L21" s="215">
        <v>0</v>
      </c>
      <c r="M21" s="216">
        <v>2</v>
      </c>
      <c r="N21" s="216" t="s">
        <v>54</v>
      </c>
      <c r="O21" s="217">
        <f>H10</f>
        <v>3.7</v>
      </c>
      <c r="P21" s="218" t="s">
        <v>26</v>
      </c>
      <c r="Q21" s="30">
        <f t="shared" si="7"/>
        <v>2</v>
      </c>
      <c r="R21" s="30">
        <f t="shared" si="8"/>
        <v>7.4</v>
      </c>
      <c r="S21" s="30">
        <f t="shared" si="21"/>
        <v>0</v>
      </c>
      <c r="T21" s="30">
        <f t="shared" si="22"/>
        <v>0</v>
      </c>
      <c r="U21" s="30">
        <f t="shared" si="23"/>
        <v>0</v>
      </c>
      <c r="V21" s="31"/>
      <c r="W21" s="153"/>
      <c r="X21" s="199"/>
      <c r="Y21" s="181" t="s">
        <v>275</v>
      </c>
      <c r="Z21" s="181">
        <v>0.02</v>
      </c>
      <c r="AA21" s="181">
        <v>0.6</v>
      </c>
      <c r="AB21" s="181">
        <v>975</v>
      </c>
      <c r="AC21" s="181">
        <v>840</v>
      </c>
      <c r="AD21" s="234">
        <f>Z21/AA21</f>
        <v>3.3333333333333333E-2</v>
      </c>
      <c r="AE21" s="204">
        <f>Z21*AB21*AC21</f>
        <v>16380</v>
      </c>
      <c r="AF21" s="14"/>
      <c r="AG21" s="14"/>
      <c r="AH21" s="14"/>
      <c r="AM21" s="159" t="s">
        <v>317</v>
      </c>
      <c r="AN21" s="81" t="s">
        <v>318</v>
      </c>
      <c r="AO21" s="81" t="s">
        <v>335</v>
      </c>
      <c r="AP21" s="81">
        <f>2*AA23*O27+O30*1*AA55</f>
        <v>223.4480638854225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4"/>
        <v>223.4480638854225</v>
      </c>
      <c r="BA21" s="168" t="s">
        <v>320</v>
      </c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5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6"/>
        <v>517</v>
      </c>
      <c r="CF21" s="174" t="s">
        <v>320</v>
      </c>
      <c r="CJ21" s="81" t="s">
        <v>336</v>
      </c>
      <c r="CK21" s="252">
        <f t="shared" si="0"/>
        <v>91.340248711679521</v>
      </c>
      <c r="CL21" s="252">
        <f t="shared" si="13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2.4200000000000002E-8</v>
      </c>
      <c r="CS21" s="254">
        <v>1.4100000000000001E-5</v>
      </c>
      <c r="CT21" s="253">
        <v>0</v>
      </c>
      <c r="CU21" s="253">
        <v>0.999</v>
      </c>
      <c r="CX21" s="255" t="s">
        <v>460</v>
      </c>
      <c r="CY21" s="259" t="s">
        <v>477</v>
      </c>
      <c r="CZ21" s="256" t="s">
        <v>321</v>
      </c>
      <c r="DA21" s="257">
        <f t="shared" si="12"/>
        <v>0.64600000000000002</v>
      </c>
      <c r="DB21" s="255" t="s">
        <v>320</v>
      </c>
      <c r="DD21" s="170" t="s">
        <v>460</v>
      </c>
      <c r="DE21" s="291" t="s">
        <v>477</v>
      </c>
      <c r="DF21" s="289" t="s">
        <v>321</v>
      </c>
      <c r="DG21" s="170">
        <f>O$11*$Z$39*$AP$42</f>
        <v>0.39649694711726985</v>
      </c>
      <c r="DH21" s="170" t="s">
        <v>320</v>
      </c>
    </row>
    <row r="22" spans="1:112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8.0230728893550082E-2</v>
      </c>
      <c r="G22" s="183"/>
      <c r="H22" s="184"/>
      <c r="I22" s="183"/>
      <c r="K22" s="81" t="s">
        <v>87</v>
      </c>
      <c r="L22" s="215">
        <v>0</v>
      </c>
      <c r="M22" s="216">
        <v>2</v>
      </c>
      <c r="N22" s="216" t="s">
        <v>54</v>
      </c>
      <c r="O22" s="217">
        <f>H11</f>
        <v>3.65</v>
      </c>
      <c r="P22" s="218" t="s">
        <v>39</v>
      </c>
      <c r="Q22" s="30">
        <f t="shared" si="7"/>
        <v>2</v>
      </c>
      <c r="R22" s="30">
        <f t="shared" si="8"/>
        <v>7.3</v>
      </c>
      <c r="S22" s="30">
        <f t="shared" si="21"/>
        <v>0</v>
      </c>
      <c r="T22" s="30">
        <f t="shared" si="22"/>
        <v>0</v>
      </c>
      <c r="U22" s="30">
        <f t="shared" si="23"/>
        <v>0</v>
      </c>
      <c r="V22" s="31"/>
      <c r="W22" s="153"/>
      <c r="X22" s="223"/>
      <c r="Y22" s="223"/>
      <c r="Z22" s="223"/>
      <c r="AA22" s="223"/>
      <c r="AB22" s="223"/>
      <c r="AC22" s="223"/>
      <c r="AD22" s="223"/>
      <c r="AE22" s="223"/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 Ref1'!B60+SUM(R10:R13)+R16</f>
        <v>91.340248711679521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4"/>
        <v>91.340248711679521</v>
      </c>
      <c r="BA22" s="168" t="s">
        <v>320</v>
      </c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5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6"/>
        <v>256</v>
      </c>
      <c r="CF22" s="174" t="s">
        <v>320</v>
      </c>
      <c r="CJ22" s="81" t="s">
        <v>337</v>
      </c>
      <c r="CK22" s="252">
        <f t="shared" si="0"/>
        <v>22.181606570670908</v>
      </c>
      <c r="CL22" s="252">
        <f t="shared" si="13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0.50900000000000001</v>
      </c>
      <c r="CS22" s="254">
        <v>0.11899999999999999</v>
      </c>
      <c r="CT22" s="253">
        <v>4.28</v>
      </c>
      <c r="CU22" s="254">
        <v>1.9000000000000001E-5</v>
      </c>
      <c r="CV22" s="253" t="s">
        <v>388</v>
      </c>
      <c r="CX22" s="255" t="s">
        <v>460</v>
      </c>
      <c r="CY22" s="259" t="s">
        <v>478</v>
      </c>
      <c r="CZ22" s="256" t="s">
        <v>321</v>
      </c>
      <c r="DA22" s="257">
        <f t="shared" si="12"/>
        <v>9.05E-9</v>
      </c>
      <c r="DB22" s="255" t="s">
        <v>320</v>
      </c>
      <c r="DD22" s="170" t="s">
        <v>460</v>
      </c>
      <c r="DE22" s="291" t="s">
        <v>478</v>
      </c>
      <c r="DF22" s="289" t="s">
        <v>321</v>
      </c>
      <c r="DG22" s="170">
        <f>O$10*$Z$39*$AP$42</f>
        <v>0.40192841214627356</v>
      </c>
      <c r="DH22" s="170" t="s">
        <v>320</v>
      </c>
    </row>
    <row r="23" spans="1:112" ht="15" customHeight="1" thickTop="1" thickBot="1" x14ac:dyDescent="0.3">
      <c r="A23" s="185" t="s">
        <v>91</v>
      </c>
      <c r="B23" s="186">
        <f>B17+B6</f>
        <v>193.4</v>
      </c>
      <c r="C23" s="196" t="s">
        <v>9</v>
      </c>
      <c r="D23" s="182"/>
      <c r="E23" s="183"/>
      <c r="F23" s="183"/>
      <c r="G23" s="183"/>
      <c r="H23" s="184"/>
      <c r="I23" s="183"/>
      <c r="K23" s="81" t="s">
        <v>89</v>
      </c>
      <c r="L23" s="215">
        <v>0</v>
      </c>
      <c r="M23" s="216">
        <v>2</v>
      </c>
      <c r="N23" s="216" t="s">
        <v>54</v>
      </c>
      <c r="O23" s="217">
        <f>H12</f>
        <v>4.2</v>
      </c>
      <c r="P23" s="218" t="s">
        <v>45</v>
      </c>
      <c r="Q23" s="30">
        <f t="shared" si="7"/>
        <v>2</v>
      </c>
      <c r="R23" s="30">
        <f t="shared" si="8"/>
        <v>8.4</v>
      </c>
      <c r="S23" s="30">
        <f t="shared" si="21"/>
        <v>0</v>
      </c>
      <c r="T23" s="30">
        <f t="shared" si="22"/>
        <v>0</v>
      </c>
      <c r="U23" s="30">
        <f t="shared" si="23"/>
        <v>0</v>
      </c>
      <c r="V23" s="31"/>
      <c r="W23" s="153"/>
      <c r="X23" s="225" t="s">
        <v>85</v>
      </c>
      <c r="Y23" s="226"/>
      <c r="Z23" s="227" t="s">
        <v>21</v>
      </c>
      <c r="AA23" s="228">
        <f>(1/(1/4+SUM(AD25:AD27)+1/4))</f>
        <v>1.210762331838565</v>
      </c>
      <c r="AB23" s="226" t="s">
        <v>5</v>
      </c>
      <c r="AC23" s="226"/>
      <c r="AD23" s="226" t="s">
        <v>22</v>
      </c>
      <c r="AE23" s="229">
        <f>SUM(AE25:AE28)</f>
        <v>197400.00000000003</v>
      </c>
      <c r="AF23" s="14" t="s">
        <v>23</v>
      </c>
      <c r="AG23" s="14">
        <f>SUM(AE25:AE27)</f>
        <v>197400.00000000003</v>
      </c>
      <c r="AH23" s="14"/>
      <c r="AM23" s="159" t="s">
        <v>317</v>
      </c>
      <c r="AN23" s="81" t="s">
        <v>318</v>
      </c>
      <c r="AO23" s="81" t="s">
        <v>337</v>
      </c>
      <c r="AP23" s="81">
        <f>SUM(O6:O9)*1/(SUM(AD15:AD19)+1/23)</f>
        <v>22.181606570670908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4"/>
        <v>22.181606570670908</v>
      </c>
      <c r="BA23" s="168" t="s">
        <v>320</v>
      </c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s="81" t="s">
        <v>338</v>
      </c>
      <c r="CK23" s="252">
        <f t="shared" si="0"/>
        <v>8.5524379731987086</v>
      </c>
      <c r="CL23" s="252">
        <f t="shared" si="13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2.1199999999999999E-7</v>
      </c>
      <c r="CS23" s="254">
        <v>1.01E-4</v>
      </c>
      <c r="CT23" s="253">
        <v>0</v>
      </c>
      <c r="CU23" s="253">
        <v>0.998</v>
      </c>
      <c r="CX23" s="255" t="s">
        <v>460</v>
      </c>
      <c r="CY23" s="258" t="s">
        <v>479</v>
      </c>
      <c r="CZ23" s="256" t="s">
        <v>321</v>
      </c>
      <c r="DA23" s="257">
        <f t="shared" si="12"/>
        <v>0.79</v>
      </c>
      <c r="DB23" s="255" t="s">
        <v>320</v>
      </c>
      <c r="DD23" s="170" t="s">
        <v>460</v>
      </c>
      <c r="DE23" s="290" t="s">
        <v>479</v>
      </c>
      <c r="DF23" s="289" t="s">
        <v>321</v>
      </c>
      <c r="DG23" s="170">
        <f>O$12*$Z$39*$AP$42</f>
        <v>0.45624306243631058</v>
      </c>
      <c r="DH23" s="170" t="s">
        <v>320</v>
      </c>
    </row>
    <row r="24" spans="1:112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0.54084798345398133</v>
      </c>
      <c r="G24" s="183"/>
      <c r="H24" s="184"/>
      <c r="I24" s="183"/>
      <c r="K24" s="81" t="s">
        <v>92</v>
      </c>
      <c r="L24" s="215">
        <v>0</v>
      </c>
      <c r="M24" s="216">
        <v>2</v>
      </c>
      <c r="N24" s="216" t="s">
        <v>54</v>
      </c>
      <c r="O24" s="217">
        <f>H13</f>
        <v>3.75</v>
      </c>
      <c r="P24" s="218" t="s">
        <v>50</v>
      </c>
      <c r="Q24" s="30">
        <f t="shared" si="7"/>
        <v>2</v>
      </c>
      <c r="R24" s="30">
        <f t="shared" si="8"/>
        <v>7.5</v>
      </c>
      <c r="S24" s="30">
        <f t="shared" si="21"/>
        <v>0</v>
      </c>
      <c r="T24" s="30">
        <f t="shared" si="22"/>
        <v>0</v>
      </c>
      <c r="U24" s="30">
        <f t="shared" si="23"/>
        <v>0</v>
      </c>
      <c r="V24" s="31"/>
      <c r="W24" s="153"/>
      <c r="X24" s="230"/>
      <c r="Y24" s="231" t="s">
        <v>27</v>
      </c>
      <c r="Z24" s="231" t="s">
        <v>28</v>
      </c>
      <c r="AA24" s="231" t="s">
        <v>29</v>
      </c>
      <c r="AB24" s="231" t="s">
        <v>30</v>
      </c>
      <c r="AC24" s="231" t="s">
        <v>31</v>
      </c>
      <c r="AD24" s="231" t="s">
        <v>32</v>
      </c>
      <c r="AE24" s="232" t="s">
        <v>33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SUM(O14)*1/(SUM(AD46:AD48)/'Verwarming Tabula 2zone Ref1'!H28)</f>
        <v>8.5524379731987086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4"/>
        <v>8.5524379731987086</v>
      </c>
      <c r="BA24" s="168" t="s">
        <v>320</v>
      </c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0.79900000000000004</v>
      </c>
      <c r="CS24" s="254">
        <v>1.6500000000000001E-2</v>
      </c>
      <c r="CT24" s="253">
        <v>48.43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0.625</v>
      </c>
      <c r="DB24" s="255" t="s">
        <v>320</v>
      </c>
      <c r="DD24" s="170" t="s">
        <v>460</v>
      </c>
      <c r="DE24" s="289" t="s">
        <v>480</v>
      </c>
      <c r="DF24" s="289" t="s">
        <v>321</v>
      </c>
      <c r="DG24" s="170">
        <f>O$13*$Z$39*$AP$42</f>
        <v>0.40735987717527727</v>
      </c>
      <c r="DH24" s="170" t="s">
        <v>320</v>
      </c>
    </row>
    <row r="25" spans="1:112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s="81" t="s">
        <v>96</v>
      </c>
      <c r="L25" s="215">
        <v>0</v>
      </c>
      <c r="M25" s="216">
        <v>2</v>
      </c>
      <c r="N25" s="216" t="s">
        <v>20</v>
      </c>
      <c r="O25" s="217">
        <f>'Tabula data'!B7</f>
        <v>101.4</v>
      </c>
      <c r="P25" s="218" t="s">
        <v>97</v>
      </c>
      <c r="Q25" s="30">
        <f t="shared" si="7"/>
        <v>0.2816515182597264</v>
      </c>
      <c r="R25" s="30">
        <f t="shared" si="8"/>
        <v>28.559463951536259</v>
      </c>
      <c r="S25" s="30">
        <f t="shared" si="21"/>
        <v>6064531.2000000002</v>
      </c>
      <c r="T25" s="30">
        <f t="shared" si="22"/>
        <v>59808</v>
      </c>
      <c r="U25" s="30">
        <f t="shared" si="23"/>
        <v>2444551.2000000002</v>
      </c>
      <c r="V25" s="31"/>
      <c r="W25" s="153"/>
      <c r="X25" s="182"/>
      <c r="Y25" s="183" t="s">
        <v>90</v>
      </c>
      <c r="Z25" s="183">
        <v>0.02</v>
      </c>
      <c r="AA25" s="183">
        <v>0.6</v>
      </c>
      <c r="AB25" s="183">
        <v>975</v>
      </c>
      <c r="AC25" s="183">
        <v>840</v>
      </c>
      <c r="AD25" s="233">
        <f>Z25/AA25</f>
        <v>3.3333333333333333E-2</v>
      </c>
      <c r="AE25" s="18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CA25" s="174"/>
      <c r="CB25" s="174"/>
      <c r="CC25" s="174"/>
      <c r="CD25" s="174"/>
      <c r="CE25" s="173"/>
      <c r="CF25" s="174"/>
      <c r="CJ25" s="81" t="s">
        <v>339</v>
      </c>
      <c r="CK25" s="249">
        <f t="shared" si="0"/>
        <v>0.3390162690893378</v>
      </c>
      <c r="CL25" s="249">
        <f t="shared" si="13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7.3900000000000007E-8</v>
      </c>
      <c r="CS25" s="254">
        <v>6.6599999999999998E-6</v>
      </c>
      <c r="CT25" s="253">
        <v>0.01</v>
      </c>
      <c r="CU25" s="253">
        <v>0.99099999999999999</v>
      </c>
      <c r="CZ25" s="256"/>
      <c r="DF25" s="289"/>
    </row>
    <row r="26" spans="1:112" ht="15" customHeight="1" thickTop="1" thickBot="1" x14ac:dyDescent="0.3">
      <c r="A26" s="185" t="s">
        <v>100</v>
      </c>
      <c r="B26" s="203">
        <f>'Tabula data'!B6</f>
        <v>381.4</v>
      </c>
      <c r="C26" s="197" t="s">
        <v>9</v>
      </c>
      <c r="D26" s="182"/>
      <c r="E26" s="183"/>
      <c r="F26" s="183"/>
      <c r="G26" s="183"/>
      <c r="H26" s="184"/>
      <c r="I26" s="183"/>
      <c r="K26" s="81" t="s">
        <v>98</v>
      </c>
      <c r="L26" s="215">
        <v>1</v>
      </c>
      <c r="M26" s="216">
        <v>2</v>
      </c>
      <c r="N26" s="216" t="s">
        <v>99</v>
      </c>
      <c r="O26" s="217">
        <f>'Tabula data'!B4-'Tabula data'!B14</f>
        <v>104.6</v>
      </c>
      <c r="P26" s="218"/>
      <c r="Q26" s="30">
        <f t="shared" si="7"/>
        <v>1.0482529118136439</v>
      </c>
      <c r="R26" s="30">
        <f t="shared" si="8"/>
        <v>109.64725457570714</v>
      </c>
      <c r="S26" s="30">
        <f t="shared" si="21"/>
        <v>48695484</v>
      </c>
      <c r="T26" s="30">
        <f t="shared" si="22"/>
        <v>465540</v>
      </c>
      <c r="U26" s="30">
        <f t="shared" si="23"/>
        <v>48695484</v>
      </c>
      <c r="V26" s="31"/>
      <c r="W26" s="153"/>
      <c r="X26" s="182"/>
      <c r="Y26" s="183" t="s">
        <v>93</v>
      </c>
      <c r="Z26" s="183">
        <v>0.14000000000000001</v>
      </c>
      <c r="AA26" s="183">
        <v>0.54</v>
      </c>
      <c r="AB26" s="183">
        <v>1400</v>
      </c>
      <c r="AC26" s="183">
        <v>840</v>
      </c>
      <c r="AD26" s="233">
        <f>Z26/AA26</f>
        <v>0.25925925925925924</v>
      </c>
      <c r="AE26" s="184">
        <f>Z26*AB26*AC26</f>
        <v>164640.00000000003</v>
      </c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0.3390162690893378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0.3390162690893378</v>
      </c>
      <c r="BA26" s="168" t="s">
        <v>320</v>
      </c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s="81" t="s">
        <v>340</v>
      </c>
      <c r="CK26" s="249">
        <f t="shared" si="0"/>
        <v>0.4390113750995821</v>
      </c>
      <c r="CL26" s="249">
        <f t="shared" si="13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0.94899999999999995</v>
      </c>
      <c r="CS26" s="254">
        <v>9.7699999999999992E-3</v>
      </c>
      <c r="CT26" s="253">
        <v>97.12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9"/>
      <c r="DF26" s="289"/>
    </row>
    <row r="27" spans="1:112" ht="15" customHeight="1" thickTop="1" thickBot="1" x14ac:dyDescent="0.3">
      <c r="A27" s="182"/>
      <c r="B27" s="202">
        <f>SUM(O6:O25)</f>
        <v>381.4</v>
      </c>
      <c r="C27" s="184" t="s">
        <v>9</v>
      </c>
      <c r="D27" s="182"/>
      <c r="E27" s="183"/>
      <c r="F27" s="183"/>
      <c r="G27" s="183"/>
      <c r="H27" s="184"/>
      <c r="I27" s="183"/>
      <c r="K27" s="81" t="s">
        <v>101</v>
      </c>
      <c r="L27" s="215">
        <v>1</v>
      </c>
      <c r="M27" s="216">
        <v>1</v>
      </c>
      <c r="N27" s="216" t="s">
        <v>85</v>
      </c>
      <c r="O27" s="217">
        <f>SUM(O6:O9)</f>
        <v>69.377869700103432</v>
      </c>
      <c r="P27" s="218"/>
      <c r="Q27" s="30">
        <f t="shared" si="7"/>
        <v>1.210762331838565</v>
      </c>
      <c r="R27" s="30">
        <f t="shared" si="8"/>
        <v>84.000111296089358</v>
      </c>
      <c r="S27" s="30">
        <f t="shared" si="21"/>
        <v>13695191.47880042</v>
      </c>
      <c r="T27" s="30">
        <f t="shared" si="22"/>
        <v>197400.00000000003</v>
      </c>
      <c r="U27" s="30">
        <f t="shared" si="23"/>
        <v>13695191.47880042</v>
      </c>
      <c r="V27" s="31"/>
      <c r="W27" s="153"/>
      <c r="X27" s="199"/>
      <c r="Y27" s="181" t="s">
        <v>90</v>
      </c>
      <c r="Z27" s="181">
        <v>0.02</v>
      </c>
      <c r="AA27" s="181">
        <v>0.6</v>
      </c>
      <c r="AB27" s="181">
        <v>975</v>
      </c>
      <c r="AC27" s="181">
        <v>840</v>
      </c>
      <c r="AD27" s="234">
        <f>Z27/AA27</f>
        <v>3.3333333333333333E-2</v>
      </c>
      <c r="AE27" s="204">
        <f>Z27*AB27*AC27</f>
        <v>16380</v>
      </c>
      <c r="AF27" s="14"/>
      <c r="AG27" s="14"/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0.4390113750995821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7">AP27</f>
        <v>0.4390113750995821</v>
      </c>
      <c r="BA27" s="168" t="s">
        <v>320</v>
      </c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8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9">BU54</f>
        <v>0.22700000000000001</v>
      </c>
      <c r="CF27" s="174" t="s">
        <v>320</v>
      </c>
      <c r="CJ27" s="81" t="s">
        <v>341</v>
      </c>
      <c r="CK27" s="249">
        <f t="shared" si="0"/>
        <v>2.8325079598911795E-2</v>
      </c>
      <c r="CL27" s="249">
        <f t="shared" si="13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0.79</v>
      </c>
      <c r="CS27" s="254">
        <v>1.5800000000000002E-2</v>
      </c>
      <c r="CT27" s="253">
        <v>49.88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992000000</v>
      </c>
      <c r="DB27" s="255" t="s">
        <v>320</v>
      </c>
      <c r="DD27" s="170" t="s">
        <v>460</v>
      </c>
      <c r="DE27" s="289" t="s">
        <v>328</v>
      </c>
      <c r="DF27" s="289" t="s">
        <v>321</v>
      </c>
      <c r="DG27" s="293">
        <f>AP12</f>
        <v>9853248.0000000019</v>
      </c>
      <c r="DH27" s="170" t="s">
        <v>320</v>
      </c>
    </row>
    <row r="28" spans="1:112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s="81" t="s">
        <v>102</v>
      </c>
      <c r="L28" s="215">
        <v>2</v>
      </c>
      <c r="M28" s="216">
        <v>2</v>
      </c>
      <c r="N28" s="216" t="s">
        <v>85</v>
      </c>
      <c r="O28" s="217">
        <f>SUM(O17:O20)</f>
        <v>81.722130299896577</v>
      </c>
      <c r="P28" s="218"/>
      <c r="Q28" s="30">
        <f t="shared" si="7"/>
        <v>1.210762331838565</v>
      </c>
      <c r="R28" s="30">
        <f t="shared" si="8"/>
        <v>98.946077044717825</v>
      </c>
      <c r="S28" s="30">
        <f t="shared" si="21"/>
        <v>16131948.521199586</v>
      </c>
      <c r="T28" s="30">
        <f t="shared" si="22"/>
        <v>197400.00000000003</v>
      </c>
      <c r="U28" s="30">
        <f t="shared" si="23"/>
        <v>16131948.521199586</v>
      </c>
      <c r="V28" s="31"/>
      <c r="W28" s="153"/>
      <c r="X28" s="223"/>
      <c r="Y28" s="223"/>
      <c r="Z28" s="223"/>
      <c r="AA28" s="223"/>
      <c r="AB28" s="223"/>
      <c r="AC28" s="223"/>
      <c r="AD28" s="223"/>
      <c r="AE28" s="223"/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2.8325079598911795E-2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7"/>
        <v>2.8325079598911795E-2</v>
      </c>
      <c r="BA28" s="168" t="s">
        <v>320</v>
      </c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8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9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0.64600000000000002</v>
      </c>
      <c r="CS28" s="254">
        <v>1.2699999999999999E-2</v>
      </c>
      <c r="CT28" s="253">
        <v>50.86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30">CR34</f>
        <v>2990000</v>
      </c>
      <c r="DB28" s="255" t="s">
        <v>320</v>
      </c>
      <c r="DD28" s="170" t="s">
        <v>460</v>
      </c>
      <c r="DE28" s="291" t="s">
        <v>325</v>
      </c>
      <c r="DF28" s="289" t="s">
        <v>321</v>
      </c>
      <c r="DG28" s="293">
        <f>AP9</f>
        <v>1635553.9200000004</v>
      </c>
      <c r="DH28" s="170" t="s">
        <v>320</v>
      </c>
    </row>
    <row r="29" spans="1:112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L29" s="215">
        <v>2</v>
      </c>
      <c r="M29" s="216">
        <v>2</v>
      </c>
      <c r="N29" s="216" t="s">
        <v>99</v>
      </c>
      <c r="O29" s="217">
        <f>B8-B7</f>
        <v>15.799999999999983</v>
      </c>
      <c r="P29" s="222"/>
      <c r="Q29" s="30">
        <f t="shared" si="7"/>
        <v>1.0482529118136439</v>
      </c>
      <c r="R29" s="30">
        <f t="shared" si="8"/>
        <v>16.562396006655554</v>
      </c>
      <c r="S29" s="30">
        <f t="shared" si="21"/>
        <v>7355531.9999999916</v>
      </c>
      <c r="T29" s="30">
        <f t="shared" si="22"/>
        <v>465540</v>
      </c>
      <c r="U29" s="30">
        <f t="shared" si="23"/>
        <v>7355531.9999999916</v>
      </c>
      <c r="W29" s="153"/>
      <c r="X29" s="225" t="s">
        <v>99</v>
      </c>
      <c r="Y29" s="226"/>
      <c r="Z29" s="227" t="s">
        <v>21</v>
      </c>
      <c r="AA29" s="228">
        <f>1/(1/5+SUM(AD31:AD34)+1/3)</f>
        <v>1.0482529118136439</v>
      </c>
      <c r="AB29" s="226" t="s">
        <v>5</v>
      </c>
      <c r="AC29" s="226"/>
      <c r="AD29" s="226" t="s">
        <v>22</v>
      </c>
      <c r="AE29" s="229">
        <f>SUM(AE31:AE35)</f>
        <v>465540</v>
      </c>
      <c r="AF29" s="14" t="s">
        <v>23</v>
      </c>
      <c r="AG29" s="14">
        <f>SUM(AE31:AE34)</f>
        <v>465540</v>
      </c>
      <c r="AH29" s="14"/>
      <c r="AQ29" s="81" t="s">
        <v>320</v>
      </c>
      <c r="AV29" s="168"/>
      <c r="AW29" s="168"/>
      <c r="AX29" s="168"/>
      <c r="AY29" s="169"/>
      <c r="BA29" s="168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s="81" t="s">
        <v>342</v>
      </c>
      <c r="CK29" s="251">
        <f t="shared" si="0"/>
        <v>1162464.1599999999</v>
      </c>
      <c r="CL29" s="251">
        <f t="shared" si="13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9.05E-9</v>
      </c>
      <c r="CS29" s="254">
        <v>3.1300000000000001E-6</v>
      </c>
      <c r="CT29" s="253">
        <v>0</v>
      </c>
      <c r="CU29" s="253">
        <v>0.998</v>
      </c>
      <c r="CX29" s="255" t="s">
        <v>460</v>
      </c>
      <c r="CY29" s="259" t="s">
        <v>326</v>
      </c>
      <c r="CZ29" s="256" t="s">
        <v>321</v>
      </c>
      <c r="DA29" s="257">
        <f t="shared" si="30"/>
        <v>44100000</v>
      </c>
      <c r="DB29" s="255" t="s">
        <v>320</v>
      </c>
      <c r="DD29" s="170" t="s">
        <v>460</v>
      </c>
      <c r="DE29" s="291" t="s">
        <v>326</v>
      </c>
      <c r="DF29" s="289" t="s">
        <v>321</v>
      </c>
      <c r="DG29" s="293">
        <f>AP10</f>
        <v>12558781.973112725</v>
      </c>
      <c r="DH29" s="170" t="s">
        <v>320</v>
      </c>
    </row>
    <row r="30" spans="1:112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L30" s="215" t="s">
        <v>509</v>
      </c>
      <c r="M30" s="216">
        <v>1</v>
      </c>
      <c r="N30" s="216" t="s">
        <v>510</v>
      </c>
      <c r="O30" s="217">
        <f>O7</f>
        <v>35.733053277868223</v>
      </c>
      <c r="P30" s="218"/>
      <c r="Q30" s="30">
        <f t="shared" si="7"/>
        <v>1.5517241379310345</v>
      </c>
      <c r="R30" s="30">
        <f t="shared" si="8"/>
        <v>55.447841293243791</v>
      </c>
      <c r="S30" s="30">
        <f t="shared" si="21"/>
        <v>0</v>
      </c>
      <c r="T30" s="30">
        <f t="shared" si="22"/>
        <v>0</v>
      </c>
      <c r="U30" s="30">
        <f t="shared" si="23"/>
        <v>6138223.8920722036</v>
      </c>
      <c r="X30" s="230"/>
      <c r="Y30" s="231" t="s">
        <v>27</v>
      </c>
      <c r="Z30" s="231" t="s">
        <v>28</v>
      </c>
      <c r="AA30" s="231" t="s">
        <v>29</v>
      </c>
      <c r="AB30" s="231" t="s">
        <v>30</v>
      </c>
      <c r="AC30" s="231" t="s">
        <v>31</v>
      </c>
      <c r="AD30" s="231" t="s">
        <v>32</v>
      </c>
      <c r="AE30" s="232" t="s">
        <v>33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1162464.1599999999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1162464.1599999999</v>
      </c>
      <c r="BA30" s="168" t="s">
        <v>320</v>
      </c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s="81" t="s">
        <v>343</v>
      </c>
      <c r="CK30" s="251">
        <f t="shared" si="0"/>
        <v>17237891.226887278</v>
      </c>
      <c r="CL30" s="251">
        <f t="shared" si="13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0.79</v>
      </c>
      <c r="CS30" s="254">
        <v>7.62E-3</v>
      </c>
      <c r="CT30" s="253">
        <v>103.67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30"/>
        <v>26300000</v>
      </c>
      <c r="DB30" s="255" t="s">
        <v>320</v>
      </c>
      <c r="DD30" s="170" t="s">
        <v>460</v>
      </c>
      <c r="DE30" s="291" t="s">
        <v>327</v>
      </c>
      <c r="DF30" s="289" t="s">
        <v>321</v>
      </c>
      <c r="DG30" s="293">
        <f>AP11</f>
        <v>9916707.6854363121</v>
      </c>
      <c r="DH30" s="170" t="s">
        <v>320</v>
      </c>
    </row>
    <row r="31" spans="1:112" ht="15" customHeight="1" thickTop="1" thickBot="1" x14ac:dyDescent="0.3">
      <c r="L31" s="220" t="s">
        <v>509</v>
      </c>
      <c r="M31" s="221">
        <v>2</v>
      </c>
      <c r="N31" s="221" t="s">
        <v>510</v>
      </c>
      <c r="O31" s="217">
        <f>O18</f>
        <v>42.090961406137552</v>
      </c>
      <c r="P31" s="222"/>
      <c r="Q31" s="30">
        <f t="shared" si="7"/>
        <v>1.5517241379310345</v>
      </c>
      <c r="R31" s="30">
        <f t="shared" si="8"/>
        <v>65.313560802627237</v>
      </c>
      <c r="S31" s="30">
        <f t="shared" si="21"/>
        <v>0</v>
      </c>
      <c r="T31" s="30">
        <f t="shared" si="22"/>
        <v>0</v>
      </c>
      <c r="U31" s="30">
        <f t="shared" si="23"/>
        <v>7230385.3503463091</v>
      </c>
      <c r="X31" s="205"/>
      <c r="Y31" s="206" t="s">
        <v>103</v>
      </c>
      <c r="Z31" s="206">
        <v>0.02</v>
      </c>
      <c r="AA31" s="206">
        <v>0.18</v>
      </c>
      <c r="AB31" s="206">
        <v>550</v>
      </c>
      <c r="AC31" s="206">
        <v>1880</v>
      </c>
      <c r="AD31" s="236">
        <f>Z31/AA31</f>
        <v>0.11111111111111112</v>
      </c>
      <c r="AE31" s="237">
        <f>Z31*AB31*AC31</f>
        <v>20680</v>
      </c>
      <c r="AF31" s="14" t="s">
        <v>104</v>
      </c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17237891.226887278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1">AP31</f>
        <v>17237891.226887278</v>
      </c>
      <c r="BA31" s="168" t="s">
        <v>320</v>
      </c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2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3">BU59</f>
        <v>37600000</v>
      </c>
      <c r="CF31" s="174" t="s">
        <v>320</v>
      </c>
      <c r="CJ31" s="81" t="s">
        <v>344</v>
      </c>
      <c r="CK31" s="251">
        <f t="shared" si="0"/>
        <v>15358932.935772944</v>
      </c>
      <c r="CL31" s="251">
        <f t="shared" si="13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0.625</v>
      </c>
      <c r="CS31" s="254">
        <v>1.23E-2</v>
      </c>
      <c r="CT31" s="253">
        <v>50.97</v>
      </c>
      <c r="CU31" s="253" t="s">
        <v>387</v>
      </c>
      <c r="CV31" s="254">
        <v>2E-16</v>
      </c>
      <c r="CW31" s="81" t="s">
        <v>388</v>
      </c>
      <c r="CZ31" s="256"/>
      <c r="DF31" s="289"/>
    </row>
    <row r="32" spans="1:112" ht="15" customHeight="1" thickTop="1" thickBot="1" x14ac:dyDescent="0.3">
      <c r="L32" s="81"/>
      <c r="M32" s="81"/>
      <c r="N32" s="81"/>
      <c r="Q32" s="81"/>
      <c r="R32" s="81"/>
      <c r="X32" s="182"/>
      <c r="Y32" s="183" t="s">
        <v>129</v>
      </c>
      <c r="Z32" s="183">
        <v>0.08</v>
      </c>
      <c r="AA32" s="183">
        <v>0.6</v>
      </c>
      <c r="AB32" s="183">
        <v>1100</v>
      </c>
      <c r="AC32" s="183">
        <v>860</v>
      </c>
      <c r="AD32" s="233">
        <f>Z32/AA32</f>
        <v>0.13333333333333333</v>
      </c>
      <c r="AE32" s="184">
        <f>Z32*AB32*AC32</f>
        <v>75680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SUM(U28,U31,U29)/2</f>
        <v>15358932.935772944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1"/>
        <v>15358932.935772944</v>
      </c>
      <c r="BA32" s="168" t="s">
        <v>320</v>
      </c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2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3"/>
        <v>6950000</v>
      </c>
      <c r="CF32" s="174" t="s">
        <v>320</v>
      </c>
      <c r="CJ32" s="81" t="s">
        <v>345</v>
      </c>
      <c r="CK32" s="249">
        <f t="shared" si="0"/>
        <v>0.10170488072680134</v>
      </c>
      <c r="CL32" s="249">
        <f t="shared" si="13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965000000</v>
      </c>
      <c r="CS32" s="254">
        <v>400000000</v>
      </c>
      <c r="CT32" s="253">
        <v>2.41</v>
      </c>
      <c r="CU32" s="253">
        <v>1.6E-2</v>
      </c>
      <c r="CV32" s="253" t="s">
        <v>432</v>
      </c>
      <c r="CX32" s="255" t="s">
        <v>460</v>
      </c>
      <c r="CY32" s="259" t="s">
        <v>481</v>
      </c>
      <c r="CZ32" s="256" t="s">
        <v>321</v>
      </c>
      <c r="DA32" s="257">
        <f>CR47</f>
        <v>381</v>
      </c>
      <c r="DB32" s="255" t="s">
        <v>320</v>
      </c>
      <c r="DD32" s="170" t="s">
        <v>460</v>
      </c>
      <c r="DE32" s="291" t="s">
        <v>333</v>
      </c>
      <c r="DF32" s="289" t="s">
        <v>321</v>
      </c>
      <c r="DG32" s="170">
        <f>AP19</f>
        <v>158.07615881036227</v>
      </c>
      <c r="DH32" s="170" t="s">
        <v>320</v>
      </c>
    </row>
    <row r="33" spans="1:11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06" t="s">
        <v>112</v>
      </c>
      <c r="F33" s="306"/>
      <c r="G33" s="72" t="s">
        <v>113</v>
      </c>
      <c r="L33" s="81"/>
      <c r="M33" s="81"/>
      <c r="N33" s="81"/>
      <c r="Q33" s="69" t="s">
        <v>106</v>
      </c>
      <c r="R33" s="70">
        <f>SUM(R4:R13)+R14*0.5+SUM(R17:R25)+R16</f>
        <v>183.2416337616697</v>
      </c>
      <c r="S33" s="69" t="s">
        <v>107</v>
      </c>
      <c r="X33" s="182"/>
      <c r="Y33" s="183" t="s">
        <v>276</v>
      </c>
      <c r="Z33" s="183">
        <v>0.2</v>
      </c>
      <c r="AA33" s="183">
        <v>1.4</v>
      </c>
      <c r="AB33" s="183">
        <v>2100</v>
      </c>
      <c r="AC33" s="183">
        <v>840</v>
      </c>
      <c r="AD33" s="233">
        <f>Z33/AA33</f>
        <v>0.14285714285714288</v>
      </c>
      <c r="AE33" s="184">
        <f>Z33*AB33*AC33</f>
        <v>352800</v>
      </c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AP26*0.3</f>
        <v>0.10170488072680134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1"/>
        <v>0.10170488072680134</v>
      </c>
      <c r="BA33" s="168" t="s">
        <v>320</v>
      </c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s="81" t="s">
        <v>346</v>
      </c>
      <c r="CK33" s="249">
        <f t="shared" si="0"/>
        <v>0.13170341252987464</v>
      </c>
      <c r="CL33" s="249">
        <f t="shared" si="13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992000000</v>
      </c>
      <c r="CS33" s="254">
        <v>47300000</v>
      </c>
      <c r="CT33" s="253">
        <v>20.97</v>
      </c>
      <c r="CU33" s="253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4">CR48</f>
        <v>174</v>
      </c>
      <c r="DB33" s="255" t="s">
        <v>320</v>
      </c>
      <c r="DD33" s="170" t="s">
        <v>460</v>
      </c>
      <c r="DE33" s="291" t="s">
        <v>334</v>
      </c>
      <c r="DF33" s="289" t="s">
        <v>321</v>
      </c>
      <c r="DG33" s="170">
        <f>AP20</f>
        <v>184.63366336633666</v>
      </c>
      <c r="DH33" s="170" t="s">
        <v>320</v>
      </c>
    </row>
    <row r="34" spans="1:112" ht="15" customHeight="1" thickTop="1" thickBot="1" x14ac:dyDescent="0.3">
      <c r="A34" s="73">
        <v>1</v>
      </c>
      <c r="B34" s="74">
        <f>B7*3.5</f>
        <v>310.80000000000007</v>
      </c>
      <c r="C34" s="73"/>
      <c r="D34" s="73" t="s">
        <v>42</v>
      </c>
      <c r="E34" s="307">
        <v>21</v>
      </c>
      <c r="F34" s="307"/>
      <c r="G34" s="76">
        <f>VLOOKUP(D34,A6:B22,2,0)</f>
        <v>88.800000000000011</v>
      </c>
      <c r="L34" s="81"/>
      <c r="M34" s="81"/>
      <c r="N34" s="81"/>
      <c r="Q34" s="81"/>
      <c r="R34" s="81" t="e">
        <f>G4*Z37</f>
        <v>#VALUE!</v>
      </c>
      <c r="X34" s="199"/>
      <c r="Y34" s="181" t="s">
        <v>80</v>
      </c>
      <c r="Z34" s="181">
        <v>0.02</v>
      </c>
      <c r="AA34" s="181">
        <v>0.6</v>
      </c>
      <c r="AB34" s="181">
        <v>975</v>
      </c>
      <c r="AC34" s="181">
        <v>840</v>
      </c>
      <c r="AD34" s="234">
        <f>Z34/AA34</f>
        <v>3.3333333333333333E-2</v>
      </c>
      <c r="AE34" s="204">
        <f>Z34*AB34*AC34</f>
        <v>16380</v>
      </c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AP27*0.3</f>
        <v>0.13170341252987464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1"/>
        <v>0.13170341252987464</v>
      </c>
      <c r="BA34" s="168" t="s">
        <v>320</v>
      </c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5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36">BU66</f>
        <v>7.8100000000000001E-3</v>
      </c>
      <c r="CF34" s="174" t="s">
        <v>320</v>
      </c>
      <c r="CJ34" s="81" t="s">
        <v>348</v>
      </c>
      <c r="CK34" s="249">
        <f t="shared" si="0"/>
        <v>0.70849752387967346</v>
      </c>
      <c r="CL34" s="249">
        <f t="shared" si="13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2990000</v>
      </c>
      <c r="CS34" s="254">
        <v>56300</v>
      </c>
      <c r="CT34" s="253">
        <v>53.15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4"/>
        <v>516</v>
      </c>
      <c r="DB34" s="255" t="s">
        <v>320</v>
      </c>
      <c r="DD34" s="170" t="s">
        <v>460</v>
      </c>
      <c r="DE34" s="292" t="s">
        <v>335</v>
      </c>
      <c r="DF34" s="289" t="s">
        <v>321</v>
      </c>
      <c r="DG34" s="170">
        <f>AP21</f>
        <v>223.4480638854225</v>
      </c>
      <c r="DH34" s="170" t="s">
        <v>320</v>
      </c>
    </row>
    <row r="35" spans="1:112" ht="15" customHeight="1" thickTop="1" thickBot="1" x14ac:dyDescent="0.3">
      <c r="A35" s="73">
        <v>2</v>
      </c>
      <c r="B35" s="74">
        <f>B4-B34</f>
        <v>220.89999999999998</v>
      </c>
      <c r="C35" s="73"/>
      <c r="D35" s="73" t="s">
        <v>116</v>
      </c>
      <c r="E35" s="77">
        <v>18</v>
      </c>
      <c r="F35" s="77"/>
      <c r="G35" s="76">
        <f>VLOOKUP(D35,A7:B23,2,0)</f>
        <v>104.6</v>
      </c>
      <c r="L35" s="81"/>
      <c r="M35" s="81"/>
      <c r="N35" s="81" t="s">
        <v>114</v>
      </c>
      <c r="O35" s="153">
        <f>SUM(R6:R9,R15,R17:R20,R25)</f>
        <v>72.46333995811824</v>
      </c>
      <c r="P35" s="153"/>
      <c r="Q35" s="81"/>
      <c r="R35" s="81"/>
      <c r="X35" s="183"/>
      <c r="Y35" s="183"/>
      <c r="Z35" s="183"/>
      <c r="AA35" s="183"/>
      <c r="AB35" s="183"/>
      <c r="AC35" s="183"/>
      <c r="AD35" s="233"/>
      <c r="AE35" s="183"/>
      <c r="AF35" s="14"/>
      <c r="AG35" s="14"/>
      <c r="AH35" s="14"/>
      <c r="AM35" s="159" t="s">
        <v>317</v>
      </c>
      <c r="AN35" s="81" t="s">
        <v>318</v>
      </c>
      <c r="AO35" s="81" t="s">
        <v>348</v>
      </c>
      <c r="AP35" s="81">
        <f>AP28*0.3+0.7</f>
        <v>0.70849752387967346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1"/>
        <v>0.70849752387967346</v>
      </c>
      <c r="BA35" s="168" t="s">
        <v>320</v>
      </c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5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36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44100000</v>
      </c>
      <c r="CS35" s="254">
        <v>1060000</v>
      </c>
      <c r="CT35" s="253">
        <v>41.43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4"/>
        <v>254</v>
      </c>
      <c r="DB35" s="255" t="s">
        <v>320</v>
      </c>
      <c r="DD35" s="170" t="s">
        <v>460</v>
      </c>
      <c r="DE35" s="292" t="s">
        <v>336</v>
      </c>
      <c r="DF35" s="289" t="s">
        <v>321</v>
      </c>
      <c r="DG35" s="170">
        <f>AP22</f>
        <v>91.340248711679521</v>
      </c>
      <c r="DH35" s="170" t="s">
        <v>320</v>
      </c>
    </row>
    <row r="36" spans="1:11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08" t="s">
        <v>119</v>
      </c>
      <c r="F36" s="308"/>
      <c r="G36" s="76">
        <f>B17</f>
        <v>0</v>
      </c>
      <c r="L36" s="81"/>
      <c r="M36" s="81"/>
      <c r="N36" s="81" t="s">
        <v>117</v>
      </c>
      <c r="O36" s="153">
        <f>SUM(R10:R13,R21:R24)</f>
        <v>61.199999999999996</v>
      </c>
      <c r="Q36" s="81"/>
      <c r="R36" s="81"/>
      <c r="X36" s="223"/>
      <c r="Y36" s="223"/>
      <c r="Z36" s="224" t="s">
        <v>4</v>
      </c>
      <c r="AA36" s="224">
        <v>5</v>
      </c>
      <c r="AB36" s="224" t="s">
        <v>5</v>
      </c>
      <c r="AC36" s="223"/>
      <c r="AD36" s="223"/>
      <c r="AE36" s="223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s="81" t="s">
        <v>350</v>
      </c>
      <c r="CK36" s="252">
        <f t="shared" si="0"/>
        <v>240.60470670304119</v>
      </c>
      <c r="CL36" s="252">
        <f t="shared" si="13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26300000</v>
      </c>
      <c r="CS36" s="254">
        <v>370000</v>
      </c>
      <c r="CT36" s="253">
        <v>71.150000000000006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254</v>
      </c>
      <c r="DB36" s="255" t="s">
        <v>320</v>
      </c>
      <c r="DD36" s="170" t="s">
        <v>460</v>
      </c>
      <c r="DE36" s="294" t="s">
        <v>338</v>
      </c>
      <c r="DF36" s="289" t="s">
        <v>321</v>
      </c>
      <c r="DG36" s="170">
        <f>AP24</f>
        <v>8.5524379731987086</v>
      </c>
      <c r="DH36" s="170" t="s">
        <v>320</v>
      </c>
    </row>
    <row r="37" spans="1:112" ht="15" customHeight="1" thickTop="1" thickBot="1" x14ac:dyDescent="0.3">
      <c r="L37" s="81"/>
      <c r="M37" s="81"/>
      <c r="N37" s="81" t="s">
        <v>120</v>
      </c>
      <c r="O37" s="153">
        <f>'Verwarming Tabula'!B60</f>
        <v>138.03320000000002</v>
      </c>
      <c r="Q37" s="81"/>
      <c r="R37" s="81"/>
      <c r="X37" s="225" t="s">
        <v>115</v>
      </c>
      <c r="Y37" s="226"/>
      <c r="Z37" s="227" t="s">
        <v>21</v>
      </c>
      <c r="AA37" s="207">
        <v>2</v>
      </c>
      <c r="AB37" s="226" t="s">
        <v>5</v>
      </c>
      <c r="AC37" s="226"/>
      <c r="AD37" s="226" t="s">
        <v>22</v>
      </c>
      <c r="AE37" s="229">
        <f>SUM(AE38:AE39)</f>
        <v>0</v>
      </c>
      <c r="AF37" s="14" t="s">
        <v>23</v>
      </c>
      <c r="AG37" s="14">
        <f>SUM(AE39:AE40)</f>
        <v>0</v>
      </c>
      <c r="AH37" s="14"/>
      <c r="AM37" s="159" t="s">
        <v>317</v>
      </c>
      <c r="AN37" s="81" t="s">
        <v>318</v>
      </c>
      <c r="AO37" s="81" t="s">
        <v>350</v>
      </c>
      <c r="AP37" s="81">
        <f>SUM(O17:O20)*(1/(SUM(AD20:AD21)+1/4))+O25*(1/(SUM(AD9:AD10)/2+1/4))</f>
        <v>240.60470670304119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240.60470670304119</v>
      </c>
      <c r="BA37" s="168" t="s">
        <v>320</v>
      </c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s="81" t="s">
        <v>352</v>
      </c>
      <c r="CK37" s="252">
        <f t="shared" si="0"/>
        <v>296.33050690537397</v>
      </c>
      <c r="CL37" s="252">
        <f t="shared" si="13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-5.75</v>
      </c>
      <c r="CS37" s="254">
        <v>6.8500000000000005E-2</v>
      </c>
      <c r="CT37" s="253">
        <v>-83.95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735.29411764705878</v>
      </c>
      <c r="DB37" s="255" t="s">
        <v>320</v>
      </c>
      <c r="DD37" s="170" t="s">
        <v>460</v>
      </c>
      <c r="DE37" s="294" t="s">
        <v>337</v>
      </c>
      <c r="DF37" s="289" t="s">
        <v>321</v>
      </c>
      <c r="DG37" s="170">
        <f>AP23</f>
        <v>22.181606570670908</v>
      </c>
      <c r="DH37" s="170" t="s">
        <v>320</v>
      </c>
    </row>
    <row r="38" spans="1:112" ht="15" customHeight="1" thickTop="1" thickBot="1" x14ac:dyDescent="0.3">
      <c r="B38" s="153"/>
      <c r="L38" s="81"/>
      <c r="M38" s="81"/>
      <c r="N38" s="81"/>
      <c r="O38" s="153"/>
      <c r="Q38" s="81"/>
      <c r="R38" s="81"/>
      <c r="X38" s="205"/>
      <c r="Y38" s="206" t="s">
        <v>16</v>
      </c>
      <c r="Z38" s="206">
        <v>1.361</v>
      </c>
      <c r="AA38" s="206" t="s">
        <v>5</v>
      </c>
      <c r="AB38" s="206"/>
      <c r="AC38" s="206"/>
      <c r="AD38" s="206">
        <f>(AA37-(1-AD39)*Z38)/AD39</f>
        <v>3.9169999999999998</v>
      </c>
      <c r="AE38" s="238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2*AA23*O28+1*O31*AA55+2*O29*AA29</f>
        <v>296.33050690537397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37">AP38</f>
        <v>296.33050690537397</v>
      </c>
      <c r="BA38" s="168" t="s">
        <v>320</v>
      </c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38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39">BU70</f>
        <v>191</v>
      </c>
      <c r="CF38" s="174" t="s">
        <v>320</v>
      </c>
      <c r="CJ38" s="81" t="s">
        <v>353</v>
      </c>
      <c r="CK38" s="252">
        <f t="shared" si="0"/>
        <v>49.995061545984576</v>
      </c>
      <c r="CL38" s="252">
        <f t="shared" si="13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-16.3</v>
      </c>
      <c r="CS38" s="254">
        <v>336</v>
      </c>
      <c r="CT38" s="253">
        <v>-0.05</v>
      </c>
      <c r="CU38" s="253">
        <v>0.96099999999999997</v>
      </c>
      <c r="CX38" s="255" t="s">
        <v>460</v>
      </c>
      <c r="CY38" s="258" t="s">
        <v>329</v>
      </c>
      <c r="CZ38" s="256" t="s">
        <v>321</v>
      </c>
      <c r="DA38" s="257">
        <f>CR42</f>
        <v>7.6999999999999999E-2</v>
      </c>
      <c r="DB38" s="255" t="s">
        <v>320</v>
      </c>
      <c r="DD38" s="170" t="s">
        <v>460</v>
      </c>
      <c r="DE38" s="290" t="s">
        <v>329</v>
      </c>
      <c r="DF38" s="289" t="s">
        <v>321</v>
      </c>
      <c r="DG38" s="170">
        <f>AP14</f>
        <v>4.5989602505539282E-2</v>
      </c>
      <c r="DH38" s="170" t="s">
        <v>320</v>
      </c>
    </row>
    <row r="39" spans="1:112" ht="15" customHeight="1" thickTop="1" thickBot="1" x14ac:dyDescent="0.3">
      <c r="L39" s="81"/>
      <c r="M39" s="81"/>
      <c r="N39" s="81" t="s">
        <v>122</v>
      </c>
      <c r="O39" s="153">
        <f>B4*1.204*1012*5/1000000</f>
        <v>3.2392440080000005</v>
      </c>
      <c r="P39" s="81" t="s">
        <v>123</v>
      </c>
      <c r="R39" s="81"/>
      <c r="X39" s="199"/>
      <c r="Y39" s="181" t="s">
        <v>121</v>
      </c>
      <c r="Z39" s="181">
        <v>0.47</v>
      </c>
      <c r="AA39" s="181"/>
      <c r="AB39" s="181"/>
      <c r="AC39" s="181"/>
      <c r="AD39" s="181">
        <v>0.25</v>
      </c>
      <c r="AE39" s="204"/>
      <c r="AF39" s="149" t="s">
        <v>277</v>
      </c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 Ref1'!B139+SUM(R21:R24)</f>
        <v>49.995061545984576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37"/>
        <v>49.995061545984576</v>
      </c>
      <c r="BA39" s="168" t="s">
        <v>320</v>
      </c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38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39"/>
        <v>2.0199999999999999E-19</v>
      </c>
      <c r="CF39" s="174" t="s">
        <v>320</v>
      </c>
      <c r="CJ39" s="81" t="s">
        <v>355</v>
      </c>
      <c r="CK39" s="252">
        <f t="shared" si="0"/>
        <v>81.339111876478967</v>
      </c>
      <c r="CL39" s="252">
        <f t="shared" si="13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4.8600000000000003</v>
      </c>
      <c r="CS39" s="254">
        <v>0.25900000000000001</v>
      </c>
      <c r="CT39" s="253">
        <v>18.75</v>
      </c>
      <c r="CU39" s="253" t="s">
        <v>387</v>
      </c>
      <c r="CV39" s="254">
        <v>2E-16</v>
      </c>
      <c r="CW39" s="81" t="s">
        <v>388</v>
      </c>
      <c r="CX39" s="255" t="s">
        <v>460</v>
      </c>
      <c r="CY39" s="259" t="s">
        <v>330</v>
      </c>
      <c r="CZ39" s="256" t="s">
        <v>321</v>
      </c>
      <c r="DA39" s="257">
        <f t="shared" ref="DA39:DA42" si="40">CR43</f>
        <v>0.14699999999999999</v>
      </c>
      <c r="DB39" s="255" t="s">
        <v>320</v>
      </c>
      <c r="DD39" s="170" t="s">
        <v>460</v>
      </c>
      <c r="DE39" s="291" t="s">
        <v>330</v>
      </c>
      <c r="DF39" s="289" t="s">
        <v>321</v>
      </c>
      <c r="DG39" s="170">
        <f>AP15</f>
        <v>0.11566613751076536</v>
      </c>
      <c r="DH39" s="170" t="s">
        <v>320</v>
      </c>
    </row>
    <row r="40" spans="1:112" ht="15" customHeight="1" thickTop="1" thickBot="1" x14ac:dyDescent="0.3">
      <c r="A40" s="81" t="s">
        <v>278</v>
      </c>
      <c r="L40" s="81"/>
      <c r="M40" s="81"/>
      <c r="N40" s="81" t="s">
        <v>124</v>
      </c>
      <c r="O40" s="153">
        <f>SUM(S6:S9,S15)/1000000</f>
        <v>29.404634124508792</v>
      </c>
      <c r="P40" s="81" t="s">
        <v>125</v>
      </c>
      <c r="Q40" s="153">
        <f>SUM(U6:U9,U15)/1000000</f>
        <v>15.003333173112724</v>
      </c>
      <c r="R40" s="81"/>
      <c r="X40" s="223"/>
      <c r="Y40" s="223"/>
      <c r="Z40" s="223"/>
      <c r="AA40" s="223"/>
      <c r="AB40" s="223"/>
      <c r="AC40" s="223"/>
      <c r="AD40" s="223"/>
      <c r="AE40" s="223"/>
      <c r="AF40" s="14"/>
      <c r="AG40" s="14"/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SUM(O17:O20)*1/(SUM(AD15:AD19)+1/23)+O25*1/(SUM(AD7:AD8)+SUM(AD9:AD10)/2+1/23)</f>
        <v>81.339111876478967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37"/>
        <v>81.339111876478967</v>
      </c>
      <c r="BA40" s="168" t="s">
        <v>320</v>
      </c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-15.8</v>
      </c>
      <c r="CS40" s="254">
        <v>472</v>
      </c>
      <c r="CT40" s="253">
        <v>-0.03</v>
      </c>
      <c r="CU40" s="253">
        <v>0.97299999999999998</v>
      </c>
      <c r="CX40" s="255" t="s">
        <v>460</v>
      </c>
      <c r="CY40" s="259" t="s">
        <v>331</v>
      </c>
      <c r="CZ40" s="256" t="s">
        <v>321</v>
      </c>
      <c r="DA40" s="257">
        <f t="shared" si="40"/>
        <v>0.73299999999999998</v>
      </c>
      <c r="DB40" s="255" t="s">
        <v>320</v>
      </c>
      <c r="DD40" s="170" t="s">
        <v>460</v>
      </c>
      <c r="DE40" s="291" t="s">
        <v>331</v>
      </c>
      <c r="DF40" s="289" t="s">
        <v>321</v>
      </c>
      <c r="DG40" s="170">
        <f>AP16</f>
        <v>0.71014215226521571</v>
      </c>
      <c r="DH40" s="170" t="s">
        <v>320</v>
      </c>
    </row>
    <row r="41" spans="1:112" ht="15" customHeight="1" thickTop="1" thickBot="1" x14ac:dyDescent="0.3">
      <c r="A41" s="150" t="s">
        <v>279</v>
      </c>
      <c r="L41" s="81"/>
      <c r="M41" s="81"/>
      <c r="N41" s="81" t="s">
        <v>126</v>
      </c>
      <c r="O41" s="153">
        <f>SUM(S26:S27)/1000000</f>
        <v>62.390675478800418</v>
      </c>
      <c r="P41" s="81" t="s">
        <v>125</v>
      </c>
      <c r="Q41" s="153">
        <f>SUM(U26:U27)/1000000</f>
        <v>62.390675478800418</v>
      </c>
      <c r="R41" s="81"/>
      <c r="X41" s="223"/>
      <c r="Y41" s="223"/>
      <c r="Z41" s="224" t="s">
        <v>4</v>
      </c>
      <c r="AA41" s="224">
        <v>0.85</v>
      </c>
      <c r="AB41" s="224" t="s">
        <v>5</v>
      </c>
      <c r="AC41" s="223"/>
      <c r="AD41" s="223"/>
      <c r="AE41" s="223"/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s="81" t="s">
        <v>356</v>
      </c>
      <c r="CK41" s="249">
        <f t="shared" si="0"/>
        <v>0.23112617144696584</v>
      </c>
      <c r="CL41" s="249">
        <f t="shared" si="13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-12.7</v>
      </c>
      <c r="CS41" s="254">
        <v>261</v>
      </c>
      <c r="CT41" s="253">
        <v>-0.05</v>
      </c>
      <c r="CU41" s="253">
        <v>0.96099999999999997</v>
      </c>
      <c r="CX41" s="255" t="s">
        <v>460</v>
      </c>
      <c r="CY41" s="256" t="s">
        <v>332</v>
      </c>
      <c r="CZ41" s="256" t="s">
        <v>321</v>
      </c>
      <c r="DA41" s="257">
        <f t="shared" si="40"/>
        <v>6.1400000000000003E-2</v>
      </c>
      <c r="DB41" s="255" t="s">
        <v>320</v>
      </c>
      <c r="DD41" s="170" t="s">
        <v>460</v>
      </c>
      <c r="DE41" s="289" t="s">
        <v>332</v>
      </c>
      <c r="DF41" s="289" t="s">
        <v>321</v>
      </c>
      <c r="DG41" s="170">
        <f>AP17</f>
        <v>5.8864256284389779E-2</v>
      </c>
      <c r="DH41" s="170" t="s">
        <v>320</v>
      </c>
    </row>
    <row r="42" spans="1:112" ht="15" customHeight="1" thickTop="1" thickBot="1" x14ac:dyDescent="0.3">
      <c r="A42" s="81" t="s">
        <v>280</v>
      </c>
      <c r="C42" s="81">
        <f>0.55</f>
        <v>0.55000000000000004</v>
      </c>
      <c r="L42" s="81"/>
      <c r="M42" s="81"/>
      <c r="N42" s="81" t="s">
        <v>127</v>
      </c>
      <c r="O42" s="153">
        <f>S14/1000000</f>
        <v>33.690426960000011</v>
      </c>
      <c r="Q42" s="153">
        <f>U14/1000000</f>
        <v>9.8532480000000024</v>
      </c>
      <c r="R42" s="81"/>
      <c r="X42" s="225" t="s">
        <v>63</v>
      </c>
      <c r="Y42" s="226"/>
      <c r="Z42" s="227" t="s">
        <v>21</v>
      </c>
      <c r="AA42" s="228">
        <f>1/(1/10+SUM(AD44:AD48))</f>
        <v>0.26077238296287103</v>
      </c>
      <c r="AB42" s="226" t="s">
        <v>5</v>
      </c>
      <c r="AC42" s="226"/>
      <c r="AD42" s="226" t="s">
        <v>22</v>
      </c>
      <c r="AE42" s="229">
        <f>SUM(AE44:AE48)</f>
        <v>379396.7</v>
      </c>
      <c r="AF42" s="14" t="s">
        <v>23</v>
      </c>
      <c r="AG42" s="14">
        <f>SUM(AE44:AE45)</f>
        <v>110960</v>
      </c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0.23112617144696584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0.23112617144696584</v>
      </c>
      <c r="BA42" s="168" t="s">
        <v>320</v>
      </c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s="81" t="s">
        <v>358</v>
      </c>
      <c r="CK42" s="249">
        <f t="shared" si="0"/>
        <v>0.19364727621216821</v>
      </c>
      <c r="CL42" s="249">
        <f t="shared" si="13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7.6999999999999999E-2</v>
      </c>
      <c r="CS42" s="254">
        <v>7.1900000000000002E-4</v>
      </c>
      <c r="CT42" s="253">
        <v>107.04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0"/>
        <v>5.0099999999999999E-2</v>
      </c>
      <c r="DB42" s="255" t="s">
        <v>320</v>
      </c>
      <c r="DD42" s="170" t="s">
        <v>460</v>
      </c>
      <c r="DE42" s="289" t="s">
        <v>434</v>
      </c>
      <c r="DF42" s="289" t="s">
        <v>321</v>
      </c>
      <c r="DG42" s="170">
        <f>AP46</f>
        <v>6.9337851434089756E-2</v>
      </c>
      <c r="DH42" s="170" t="s">
        <v>320</v>
      </c>
    </row>
    <row r="43" spans="1:112" ht="15" customHeight="1" thickTop="1" thickBot="1" x14ac:dyDescent="0.3">
      <c r="A43" s="81" t="s">
        <v>281</v>
      </c>
      <c r="C43" s="81">
        <f>B7/B6</f>
        <v>0.45915201654601867</v>
      </c>
      <c r="D43" s="81" t="s">
        <v>282</v>
      </c>
      <c r="L43" s="81"/>
      <c r="M43" s="81"/>
      <c r="N43" s="81"/>
      <c r="Q43" s="81"/>
      <c r="R43" s="81"/>
      <c r="X43" s="230"/>
      <c r="Y43" s="231" t="s">
        <v>27</v>
      </c>
      <c r="Z43" s="231" t="s">
        <v>28</v>
      </c>
      <c r="AA43" s="231" t="s">
        <v>29</v>
      </c>
      <c r="AB43" s="231" t="s">
        <v>30</v>
      </c>
      <c r="AC43" s="231" t="s">
        <v>31</v>
      </c>
      <c r="AD43" s="231" t="s">
        <v>32</v>
      </c>
      <c r="AE43" s="232" t="s">
        <v>33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0.19364727621216821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1">AP43</f>
        <v>0.19364727621216821</v>
      </c>
      <c r="BA43" s="168" t="s">
        <v>320</v>
      </c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s="81" t="s">
        <v>360</v>
      </c>
      <c r="CK43" s="251">
        <f t="shared" si="0"/>
        <v>24347742</v>
      </c>
      <c r="CL43" s="251">
        <f t="shared" si="13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0.14699999999999999</v>
      </c>
      <c r="CS43" s="254">
        <v>9.3999999999999997E-4</v>
      </c>
      <c r="CT43" s="253">
        <v>156.41</v>
      </c>
      <c r="CU43" s="253" t="s">
        <v>387</v>
      </c>
      <c r="CV43" s="254">
        <v>2E-16</v>
      </c>
      <c r="CW43" s="81" t="s">
        <v>388</v>
      </c>
      <c r="CZ43" s="256"/>
      <c r="DF43" s="289"/>
    </row>
    <row r="44" spans="1:112" ht="15" customHeight="1" thickTop="1" thickBot="1" x14ac:dyDescent="0.3">
      <c r="A44" s="81" t="s">
        <v>285</v>
      </c>
      <c r="C44" s="81">
        <v>0.7</v>
      </c>
      <c r="E44" s="79"/>
      <c r="L44" s="81"/>
      <c r="M44" s="81"/>
      <c r="N44" s="81"/>
      <c r="Q44" s="81"/>
      <c r="R44" s="81"/>
      <c r="X44" s="205"/>
      <c r="Y44" s="206" t="s">
        <v>128</v>
      </c>
      <c r="Z44" s="206">
        <v>0.02</v>
      </c>
      <c r="AA44" s="206">
        <v>1.4</v>
      </c>
      <c r="AB44" s="206">
        <v>2100</v>
      </c>
      <c r="AC44" s="206">
        <v>840</v>
      </c>
      <c r="AD44" s="236">
        <f>Z44/AA44</f>
        <v>1.4285714285714287E-2</v>
      </c>
      <c r="AE44" s="237">
        <f>Z44*AB44*AC44</f>
        <v>35280</v>
      </c>
      <c r="AF44" s="14" t="s">
        <v>104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24347742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1"/>
        <v>24347742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s="81" t="s">
        <v>362</v>
      </c>
      <c r="CK44" s="251">
        <f t="shared" si="0"/>
        <v>24347742</v>
      </c>
      <c r="CL44" s="251">
        <f t="shared" si="13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0.73299999999999998</v>
      </c>
      <c r="CS44" s="254">
        <v>5.4799999999999996E-3</v>
      </c>
      <c r="CT44" s="253">
        <v>133.83000000000001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2.4900000000000001E-12</v>
      </c>
      <c r="DB44" s="255" t="s">
        <v>320</v>
      </c>
      <c r="DD44" s="170" t="s">
        <v>460</v>
      </c>
      <c r="DE44" s="294" t="s">
        <v>482</v>
      </c>
      <c r="DF44" s="289" t="s">
        <v>321</v>
      </c>
      <c r="DG44" s="170">
        <f>O$11*$Z$39*$AP$26</f>
        <v>0.58158240962275898</v>
      </c>
      <c r="DH44" s="170" t="s">
        <v>320</v>
      </c>
    </row>
    <row r="45" spans="1:112" ht="15" customHeight="1" thickTop="1" thickBot="1" x14ac:dyDescent="0.3">
      <c r="A45" s="81" t="s">
        <v>286</v>
      </c>
      <c r="C45" s="81">
        <v>0.5</v>
      </c>
      <c r="E45" s="79"/>
      <c r="L45" s="81"/>
      <c r="M45" s="81"/>
      <c r="N45" s="81"/>
      <c r="Q45" s="81"/>
      <c r="R45" s="81"/>
      <c r="X45" s="182"/>
      <c r="Y45" s="183" t="s">
        <v>129</v>
      </c>
      <c r="Z45" s="183">
        <v>0.08</v>
      </c>
      <c r="AA45" s="183">
        <v>0.6</v>
      </c>
      <c r="AB45" s="183">
        <v>1100</v>
      </c>
      <c r="AC45" s="183">
        <v>860</v>
      </c>
      <c r="AD45" s="233">
        <f>Z45/AA45</f>
        <v>0.13333333333333333</v>
      </c>
      <c r="AE45" s="184">
        <f>Z45*AB45*AC45</f>
        <v>75680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24347742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1"/>
        <v>24347742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s="81" t="s">
        <v>364</v>
      </c>
      <c r="CK45" s="249">
        <f t="shared" si="0"/>
        <v>6.9337851434089756E-2</v>
      </c>
      <c r="CL45" s="249">
        <f t="shared" si="13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6.1400000000000003E-2</v>
      </c>
      <c r="CS45" s="254">
        <v>3.2400000000000001E-4</v>
      </c>
      <c r="CT45" s="253">
        <v>189.39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2">CR70</f>
        <v>1.6E-11</v>
      </c>
      <c r="DB45" s="255" t="s">
        <v>320</v>
      </c>
      <c r="DD45" s="170" t="s">
        <v>460</v>
      </c>
      <c r="DE45" s="294" t="s">
        <v>483</v>
      </c>
      <c r="DF45" s="289" t="s">
        <v>321</v>
      </c>
      <c r="DG45" s="170">
        <f>O$10*$Z$39*$AP$26</f>
        <v>0.58954929194635841</v>
      </c>
      <c r="DH45" s="170" t="s">
        <v>320</v>
      </c>
    </row>
    <row r="46" spans="1:112" ht="15" customHeight="1" thickTop="1" thickBot="1" x14ac:dyDescent="0.3">
      <c r="L46" s="81"/>
      <c r="M46" s="81"/>
      <c r="N46" s="81"/>
      <c r="Q46" s="81"/>
      <c r="R46" s="81"/>
      <c r="X46" s="182"/>
      <c r="Y46" s="183" t="s">
        <v>283</v>
      </c>
      <c r="Z46" s="286">
        <v>8.6999999999999994E-2</v>
      </c>
      <c r="AA46" s="183">
        <v>2.5000000000000001E-2</v>
      </c>
      <c r="AB46" s="183">
        <v>30</v>
      </c>
      <c r="AC46" s="183">
        <v>1470</v>
      </c>
      <c r="AD46" s="233">
        <f>Z46/AA46</f>
        <v>3.4799999999999995</v>
      </c>
      <c r="AE46" s="184">
        <f>Z46*AB46*AC46</f>
        <v>3836.7</v>
      </c>
      <c r="AF46" s="149" t="s">
        <v>284</v>
      </c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AP42*0.3</f>
        <v>6.9337851434089756E-2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1"/>
        <v>6.9337851434089756E-2</v>
      </c>
      <c r="BA46" s="168" t="s">
        <v>320</v>
      </c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s="81" t="s">
        <v>366</v>
      </c>
      <c r="CK46" s="249">
        <f t="shared" si="0"/>
        <v>5.8094182863650458E-2</v>
      </c>
      <c r="CL46" s="249">
        <f t="shared" si="13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5.0099999999999999E-2</v>
      </c>
      <c r="CS46" s="254">
        <v>2.4699999999999999E-4</v>
      </c>
      <c r="CT46" s="253">
        <v>202.31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2"/>
        <v>0.251</v>
      </c>
      <c r="DB46" s="255" t="s">
        <v>320</v>
      </c>
      <c r="DD46" s="170" t="s">
        <v>460</v>
      </c>
      <c r="DE46" s="294" t="s">
        <v>484</v>
      </c>
      <c r="DF46" s="289" t="s">
        <v>321</v>
      </c>
      <c r="DG46" s="170">
        <f>O$12*$Z$39*$AP$26</f>
        <v>0.66921811518235275</v>
      </c>
      <c r="DH46" s="170" t="s">
        <v>320</v>
      </c>
    </row>
    <row r="47" spans="1:112" ht="15" customHeight="1" thickTop="1" thickBot="1" x14ac:dyDescent="0.3">
      <c r="B47" s="153"/>
      <c r="L47" s="81"/>
      <c r="M47" s="81"/>
      <c r="N47" s="81"/>
      <c r="Q47" s="81"/>
      <c r="R47" s="81"/>
      <c r="X47" s="182"/>
      <c r="Y47" s="183" t="s">
        <v>131</v>
      </c>
      <c r="Z47" s="183">
        <v>0.15</v>
      </c>
      <c r="AA47" s="183">
        <v>1.4</v>
      </c>
      <c r="AB47" s="183">
        <v>2100</v>
      </c>
      <c r="AC47" s="183">
        <v>840</v>
      </c>
      <c r="AD47" s="233">
        <f>Z47/AA47</f>
        <v>0.10714285714285715</v>
      </c>
      <c r="AE47" s="184">
        <f>Z47*AB47*AC47</f>
        <v>264600</v>
      </c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AP43*0.3</f>
        <v>5.8094182863650458E-2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1"/>
        <v>5.8094182863650458E-2</v>
      </c>
      <c r="BA47" s="168" t="s">
        <v>320</v>
      </c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s="81" t="s">
        <v>368</v>
      </c>
      <c r="CK47" s="252">
        <f t="shared" si="0"/>
        <v>438.58901830282855</v>
      </c>
      <c r="CL47" s="252">
        <f t="shared" si="13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381</v>
      </c>
      <c r="CS47" s="254">
        <v>2.57</v>
      </c>
      <c r="CT47" s="253">
        <v>148.35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2"/>
        <v>0.91700000000000004</v>
      </c>
      <c r="DB47" s="255" t="s">
        <v>320</v>
      </c>
      <c r="DD47" s="170" t="s">
        <v>460</v>
      </c>
      <c r="DE47" s="294" t="s">
        <v>485</v>
      </c>
      <c r="DF47" s="289" t="s">
        <v>321</v>
      </c>
      <c r="DG47" s="170">
        <f>O$13*$Z$39*$AP$26</f>
        <v>0.59751617426995784</v>
      </c>
      <c r="DH47" s="170" t="s">
        <v>320</v>
      </c>
    </row>
    <row r="48" spans="1:112" ht="15" customHeight="1" thickTop="1" thickBot="1" x14ac:dyDescent="0.3">
      <c r="B48" s="153"/>
      <c r="L48" s="81"/>
      <c r="M48" s="81"/>
      <c r="N48" s="81"/>
      <c r="Q48" s="81"/>
      <c r="R48" s="81"/>
      <c r="X48" s="199"/>
      <c r="Y48" s="181" t="s">
        <v>132</v>
      </c>
      <c r="Z48" s="181">
        <v>0</v>
      </c>
      <c r="AA48" s="181">
        <v>0.02</v>
      </c>
      <c r="AB48" s="181">
        <v>30</v>
      </c>
      <c r="AC48" s="181">
        <v>1470</v>
      </c>
      <c r="AD48" s="234">
        <f>Z48/AA48</f>
        <v>0</v>
      </c>
      <c r="AE48" s="204">
        <f>Z48*AB48*AC48</f>
        <v>0</v>
      </c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AA29*4*O26</f>
        <v>438.58901830282855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1"/>
        <v>438.58901830282855</v>
      </c>
      <c r="BA48" s="168" t="s">
        <v>320</v>
      </c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s="81" t="s">
        <v>370</v>
      </c>
      <c r="CK48" s="252">
        <f t="shared" si="0"/>
        <v>219.29450915141427</v>
      </c>
      <c r="CL48" s="252">
        <f t="shared" si="13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174</v>
      </c>
      <c r="CS48" s="254">
        <v>1.1399999999999999</v>
      </c>
      <c r="CT48" s="253">
        <v>152.13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2"/>
        <v>0.41599999999999998</v>
      </c>
      <c r="DB48" s="255" t="s">
        <v>320</v>
      </c>
      <c r="DD48" s="170" t="s">
        <v>460</v>
      </c>
      <c r="DE48" s="294" t="s">
        <v>486</v>
      </c>
      <c r="DF48" s="289" t="s">
        <v>321</v>
      </c>
      <c r="DG48" s="170">
        <f>O$11*$Z$39*$AP$27</f>
        <v>0.75312401398333306</v>
      </c>
      <c r="DH48" s="170" t="s">
        <v>320</v>
      </c>
    </row>
    <row r="49" spans="2:112" ht="15" customHeight="1" thickTop="1" thickBot="1" x14ac:dyDescent="0.3">
      <c r="B49" s="153"/>
      <c r="L49" s="81"/>
      <c r="M49" s="81"/>
      <c r="N49" s="81"/>
      <c r="Q49" s="81"/>
      <c r="R49" s="81"/>
      <c r="X49" s="183"/>
      <c r="Y49" s="183"/>
      <c r="Z49" s="183"/>
      <c r="AA49" s="183"/>
      <c r="AB49" s="183"/>
      <c r="AC49" s="183"/>
      <c r="AD49" s="233"/>
      <c r="AE49" s="183"/>
      <c r="AF49" s="14"/>
      <c r="AG49" s="14"/>
      <c r="AH49" s="14"/>
      <c r="AM49" s="159" t="s">
        <v>317</v>
      </c>
      <c r="AN49" s="81" t="s">
        <v>318</v>
      </c>
      <c r="AO49" s="81" t="s">
        <v>370</v>
      </c>
      <c r="AP49" s="81">
        <f>AP50/2</f>
        <v>219.29450915141427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1"/>
        <v>219.29450915141427</v>
      </c>
      <c r="BA49" s="168" t="s">
        <v>320</v>
      </c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3">BU95</f>
        <v>3.7399999999999998E-4</v>
      </c>
      <c r="CF49" s="174" t="s">
        <v>320</v>
      </c>
      <c r="CJ49" s="81" t="s">
        <v>372</v>
      </c>
      <c r="CK49" s="252">
        <f t="shared" si="0"/>
        <v>438.58901830282855</v>
      </c>
      <c r="CL49" s="252">
        <f t="shared" si="13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516</v>
      </c>
      <c r="CS49" s="254">
        <v>3.29</v>
      </c>
      <c r="CT49" s="253">
        <v>156.82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2"/>
        <v>0.56999999999999995</v>
      </c>
      <c r="DB49" s="255" t="s">
        <v>320</v>
      </c>
      <c r="DD49" s="170" t="s">
        <v>460</v>
      </c>
      <c r="DE49" s="294" t="s">
        <v>487</v>
      </c>
      <c r="DF49" s="289" t="s">
        <v>321</v>
      </c>
      <c r="DG49" s="170">
        <f>O$10*$Z$39*$AP$27</f>
        <v>0.76344078129817328</v>
      </c>
      <c r="DH49" s="170" t="s">
        <v>320</v>
      </c>
    </row>
    <row r="50" spans="2:112" ht="15" customHeight="1" thickTop="1" thickBot="1" x14ac:dyDescent="0.3">
      <c r="L50" s="81"/>
      <c r="M50" s="81"/>
      <c r="N50" s="81"/>
      <c r="Q50" s="81"/>
      <c r="R50" s="81"/>
      <c r="X50" s="223"/>
      <c r="Y50" s="223"/>
      <c r="Z50" s="239" t="s">
        <v>436</v>
      </c>
      <c r="AA50" s="239">
        <v>4</v>
      </c>
      <c r="AB50" s="239" t="s">
        <v>5</v>
      </c>
      <c r="AC50" s="223"/>
      <c r="AD50" s="223"/>
      <c r="AE50" s="223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438.58901830282855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1"/>
        <v>438.58901830282855</v>
      </c>
      <c r="BA50" s="168" t="s">
        <v>320</v>
      </c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3"/>
        <v>308</v>
      </c>
      <c r="CF50" s="174" t="s">
        <v>320</v>
      </c>
      <c r="CP50" s="253" t="s">
        <v>429</v>
      </c>
      <c r="CQ50" s="253" t="s">
        <v>120</v>
      </c>
      <c r="CR50" s="254">
        <v>254</v>
      </c>
      <c r="CS50" s="254">
        <v>2.98</v>
      </c>
      <c r="CT50" s="253">
        <v>85.35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2"/>
        <v>0.32</v>
      </c>
      <c r="DB50" s="255" t="s">
        <v>320</v>
      </c>
      <c r="DD50" s="170" t="s">
        <v>460</v>
      </c>
      <c r="DE50" s="294" t="s">
        <v>488</v>
      </c>
      <c r="DF50" s="289" t="s">
        <v>321</v>
      </c>
      <c r="DG50" s="170">
        <f>O$12*$Z$39*$AP$27</f>
        <v>0.86660845444657508</v>
      </c>
      <c r="DH50" s="170" t="s">
        <v>320</v>
      </c>
    </row>
    <row r="51" spans="2:112" ht="15" customHeight="1" thickTop="1" thickBot="1" x14ac:dyDescent="0.3">
      <c r="L51" s="81"/>
      <c r="M51" s="81"/>
      <c r="N51" s="81"/>
      <c r="Q51" s="81"/>
      <c r="R51" s="81"/>
      <c r="X51" s="240" t="s">
        <v>68</v>
      </c>
      <c r="Y51" s="241"/>
      <c r="Z51" s="242" t="s">
        <v>21</v>
      </c>
      <c r="AA51" s="243">
        <v>4</v>
      </c>
      <c r="AB51" s="241" t="s">
        <v>5</v>
      </c>
      <c r="AC51" s="241"/>
      <c r="AD51" s="241" t="s">
        <v>22</v>
      </c>
      <c r="AE51" s="244">
        <f>0.04*550*1660</f>
        <v>36520</v>
      </c>
      <c r="AF51" s="14" t="s">
        <v>23</v>
      </c>
      <c r="AG51" s="14">
        <f>SUM(AE53:AE54)</f>
        <v>0</v>
      </c>
      <c r="AH51" s="14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-5.16</v>
      </c>
      <c r="CS51" s="254">
        <v>2.1899999999999999E-2</v>
      </c>
      <c r="CT51" s="253">
        <v>-235.07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2"/>
        <v>3.6400000000000002E-2</v>
      </c>
      <c r="DB51" s="255" t="s">
        <v>320</v>
      </c>
      <c r="DD51" s="170" t="s">
        <v>460</v>
      </c>
      <c r="DE51" s="294" t="s">
        <v>489</v>
      </c>
      <c r="DF51" s="289" t="s">
        <v>321</v>
      </c>
      <c r="DG51" s="170">
        <f>O$13*$Z$39*$AP$27</f>
        <v>0.77375754861301338</v>
      </c>
      <c r="DH51" s="170" t="s">
        <v>320</v>
      </c>
    </row>
    <row r="52" spans="2:112" thickTop="1" thickBot="1" x14ac:dyDescent="0.3">
      <c r="X52" s="245"/>
      <c r="Y52" s="246" t="s">
        <v>16</v>
      </c>
      <c r="Z52" s="246">
        <v>4</v>
      </c>
      <c r="AA52" s="246" t="s">
        <v>5</v>
      </c>
      <c r="AB52" s="246"/>
      <c r="AC52" s="246" t="s">
        <v>311</v>
      </c>
      <c r="AD52" s="246">
        <f>0.11*(1/AA51-1/23-1/8)</f>
        <v>8.9673913043478264E-3</v>
      </c>
      <c r="AE52" s="247"/>
      <c r="AF52" s="14"/>
      <c r="AG52" s="14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-6.29</v>
      </c>
      <c r="CS52" s="254">
        <v>2.35E-2</v>
      </c>
      <c r="CT52" s="253">
        <v>-267.63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2"/>
        <v>7.1600000000000001E-6</v>
      </c>
      <c r="DB52" s="255" t="s">
        <v>320</v>
      </c>
      <c r="DD52" s="170" t="s">
        <v>460</v>
      </c>
      <c r="DE52" s="294" t="s">
        <v>490</v>
      </c>
      <c r="DF52" s="289" t="s">
        <v>321</v>
      </c>
      <c r="DG52" s="170">
        <f>O$11*$Z$39*$AP$28</f>
        <v>4.8591674051933181E-2</v>
      </c>
      <c r="DH52" s="170" t="s">
        <v>320</v>
      </c>
    </row>
    <row r="53" spans="2:112" thickTop="1" thickBot="1" x14ac:dyDescent="0.3"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-6.63</v>
      </c>
      <c r="CS53" s="254">
        <v>4.0300000000000002E-2</v>
      </c>
      <c r="CT53" s="253">
        <v>-164.68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2"/>
        <v>5.7599999999999998E-10</v>
      </c>
      <c r="DB53" s="255" t="s">
        <v>320</v>
      </c>
      <c r="DD53" s="170" t="s">
        <v>460</v>
      </c>
      <c r="DE53" s="294" t="s">
        <v>491</v>
      </c>
      <c r="DF53" s="289" t="s">
        <v>321</v>
      </c>
      <c r="DG53" s="170">
        <f>O$10*$Z$39*$AP$28</f>
        <v>4.9257313422507609E-2</v>
      </c>
      <c r="DH53" s="170" t="s">
        <v>320</v>
      </c>
    </row>
    <row r="54" spans="2:112" thickTop="1" thickBot="1" x14ac:dyDescent="0.3">
      <c r="AO54" s="170" t="s">
        <v>374</v>
      </c>
      <c r="AP54" s="170">
        <f>SUM(AP42,AP4:AP7)</f>
        <v>1</v>
      </c>
      <c r="AQ54" s="170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-6.31</v>
      </c>
      <c r="CS54" s="254">
        <v>2.5399999999999999E-2</v>
      </c>
      <c r="CT54" s="253">
        <v>-248.63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2"/>
        <v>1.2099999999999999E-5</v>
      </c>
      <c r="DB54" s="255" t="s">
        <v>320</v>
      </c>
      <c r="DD54" s="170" t="s">
        <v>460</v>
      </c>
      <c r="DE54" s="294" t="s">
        <v>492</v>
      </c>
      <c r="DF54" s="289" t="s">
        <v>321</v>
      </c>
      <c r="DG54" s="170">
        <f>O$12*$Z$39*$AP$28</f>
        <v>5.5913707128251881E-2</v>
      </c>
      <c r="DH54" s="170" t="s">
        <v>320</v>
      </c>
    </row>
    <row r="55" spans="2:112" thickTop="1" thickBot="1" x14ac:dyDescent="0.3">
      <c r="X55" s="271" t="s">
        <v>510</v>
      </c>
      <c r="Y55" s="272"/>
      <c r="Z55" s="273" t="s">
        <v>21</v>
      </c>
      <c r="AA55" s="274">
        <f>(1/(1/4+SUM(AD57:AD59)+1/4))</f>
        <v>1.5517241379310345</v>
      </c>
      <c r="AB55" s="272" t="s">
        <v>5</v>
      </c>
      <c r="AC55" s="272"/>
      <c r="AD55" s="272" t="s">
        <v>22</v>
      </c>
      <c r="AE55" s="275">
        <f>SUM(AE54:AE54)</f>
        <v>0</v>
      </c>
      <c r="AF55" s="14" t="s">
        <v>23</v>
      </c>
      <c r="AG55" s="14">
        <f>SUM(AE57:AE58)</f>
        <v>171780</v>
      </c>
      <c r="AO55" s="170" t="s">
        <v>374</v>
      </c>
      <c r="AP55" s="170">
        <f>SUM(AP43,AP26:AP28)</f>
        <v>1</v>
      </c>
      <c r="AQ55" s="170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CP55" s="253" t="s">
        <v>429</v>
      </c>
      <c r="CQ55" s="253" t="s">
        <v>415</v>
      </c>
      <c r="CR55" s="254">
        <v>-6.26</v>
      </c>
      <c r="CS55" s="254">
        <v>2.47E-2</v>
      </c>
      <c r="CT55" s="253">
        <v>-253.93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2"/>
        <v>2.3700000000000001E-16</v>
      </c>
      <c r="DB55" s="255" t="s">
        <v>320</v>
      </c>
      <c r="DD55" s="170" t="s">
        <v>460</v>
      </c>
      <c r="DE55" s="294" t="s">
        <v>493</v>
      </c>
      <c r="DF55" s="289" t="s">
        <v>321</v>
      </c>
      <c r="DG55" s="170">
        <f>O$13*$Z$39*$AP$28</f>
        <v>4.9922952793082037E-2</v>
      </c>
      <c r="DH55" s="170" t="s">
        <v>320</v>
      </c>
    </row>
    <row r="56" spans="2:112" thickTop="1" thickBot="1" x14ac:dyDescent="0.3">
      <c r="X56" s="276"/>
      <c r="Y56" s="231" t="s">
        <v>27</v>
      </c>
      <c r="Z56" s="231" t="s">
        <v>28</v>
      </c>
      <c r="AA56" s="231" t="s">
        <v>29</v>
      </c>
      <c r="AB56" s="231" t="s">
        <v>30</v>
      </c>
      <c r="AC56" s="231" t="s">
        <v>31</v>
      </c>
      <c r="AD56" s="231" t="s">
        <v>32</v>
      </c>
      <c r="AE56" s="277" t="s">
        <v>33</v>
      </c>
      <c r="AF56" s="24"/>
      <c r="AO56" s="170" t="s">
        <v>375</v>
      </c>
      <c r="AP56" s="170">
        <f>SUM(AP46,AP14:AP17)</f>
        <v>0.99999999999999978</v>
      </c>
      <c r="AQ56" s="170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1.3600000000000001E-3</v>
      </c>
      <c r="CS56" s="254">
        <v>2.1699999999999999E-5</v>
      </c>
      <c r="CT56" s="253">
        <v>62.73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2"/>
        <v>0.85399999999999998</v>
      </c>
      <c r="DB56" s="255" t="s">
        <v>320</v>
      </c>
      <c r="DD56" s="170" t="s">
        <v>460</v>
      </c>
      <c r="DE56" s="294" t="s">
        <v>494</v>
      </c>
      <c r="DF56" s="289" t="s">
        <v>321</v>
      </c>
      <c r="DG56" s="170">
        <f>O$11*$Z$39*$AP$43</f>
        <v>0.3322019023419745</v>
      </c>
      <c r="DH56" s="170" t="s">
        <v>320</v>
      </c>
    </row>
    <row r="57" spans="2:112" thickTop="1" thickBot="1" x14ac:dyDescent="0.3">
      <c r="X57" s="278"/>
      <c r="Y57" s="183" t="s">
        <v>90</v>
      </c>
      <c r="Z57" s="183">
        <v>0.02</v>
      </c>
      <c r="AA57" s="183">
        <v>0.6</v>
      </c>
      <c r="AB57" s="183">
        <v>975</v>
      </c>
      <c r="AC57" s="183">
        <v>840</v>
      </c>
      <c r="AD57" s="233">
        <f>Z57/AA57</f>
        <v>3.3333333333333333E-2</v>
      </c>
      <c r="AE57" s="279">
        <f>Z57*AB57*AC57</f>
        <v>16380</v>
      </c>
      <c r="AO57" s="170" t="s">
        <v>375</v>
      </c>
      <c r="AP57" s="170">
        <f>SUM(AP47,AP33:AP35)</f>
        <v>0.99999999999999989</v>
      </c>
      <c r="AQ57" s="170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134</v>
      </c>
      <c r="CS57" s="254">
        <v>0.86899999999999999</v>
      </c>
      <c r="CT57" s="253">
        <v>154.47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2"/>
        <v>1.94</v>
      </c>
      <c r="DB57" s="255" t="s">
        <v>320</v>
      </c>
      <c r="DD57" s="170" t="s">
        <v>460</v>
      </c>
      <c r="DE57" s="294" t="s">
        <v>495</v>
      </c>
      <c r="DF57" s="289" t="s">
        <v>321</v>
      </c>
      <c r="DG57" s="170">
        <f>O$10*$Z$39*$AP$43</f>
        <v>0.33675261333296047</v>
      </c>
      <c r="DH57" s="170" t="s">
        <v>320</v>
      </c>
    </row>
    <row r="58" spans="2:112" thickTop="1" thickBot="1" x14ac:dyDescent="0.3">
      <c r="X58" s="278"/>
      <c r="Y58" s="183" t="s">
        <v>376</v>
      </c>
      <c r="Z58" s="183">
        <v>0.1</v>
      </c>
      <c r="AA58" s="183">
        <v>0.9</v>
      </c>
      <c r="AB58" s="183">
        <v>1850</v>
      </c>
      <c r="AC58" s="183">
        <v>840</v>
      </c>
      <c r="AD58" s="233">
        <f>Z58/AA58</f>
        <v>0.11111111111111112</v>
      </c>
      <c r="AE58" s="279">
        <f>Z58*AB58*AC58</f>
        <v>155400</v>
      </c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4520</v>
      </c>
      <c r="CS58" s="254">
        <v>1820</v>
      </c>
      <c r="CT58" s="253">
        <v>2.4900000000000002</v>
      </c>
      <c r="CU58" s="253">
        <v>1.2999999999999999E-2</v>
      </c>
      <c r="CV58" s="253" t="s">
        <v>432</v>
      </c>
      <c r="CX58" s="255" t="s">
        <v>460</v>
      </c>
      <c r="CY58" s="261" t="s">
        <v>496</v>
      </c>
      <c r="CZ58" s="256" t="s">
        <v>321</v>
      </c>
      <c r="DA58" s="257">
        <f t="shared" si="42"/>
        <v>0.65800000000000003</v>
      </c>
      <c r="DB58" s="255" t="s">
        <v>320</v>
      </c>
      <c r="DD58" s="170" t="s">
        <v>460</v>
      </c>
      <c r="DE58" s="294" t="s">
        <v>496</v>
      </c>
      <c r="DF58" s="289" t="s">
        <v>321</v>
      </c>
      <c r="DG58" s="170">
        <f>O$12*$Z$39*$AP$43</f>
        <v>0.38225972324282004</v>
      </c>
      <c r="DH58" s="170" t="s">
        <v>320</v>
      </c>
    </row>
    <row r="59" spans="2:112" thickTop="1" thickBot="1" x14ac:dyDescent="0.3">
      <c r="X59" s="280"/>
      <c r="Y59" s="281" t="s">
        <v>272</v>
      </c>
      <c r="Z59" s="282">
        <v>0</v>
      </c>
      <c r="AA59" s="282">
        <v>3.5999999999999997E-2</v>
      </c>
      <c r="AB59" s="282">
        <v>26</v>
      </c>
      <c r="AC59" s="282">
        <v>1470</v>
      </c>
      <c r="AD59" s="283">
        <f>Z59/AA59</f>
        <v>0</v>
      </c>
      <c r="AE59" s="284">
        <f>Z59*AB59*AC59</f>
        <v>0</v>
      </c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CP59" s="253" t="s">
        <v>429</v>
      </c>
      <c r="CQ59" s="253" t="s">
        <v>419</v>
      </c>
      <c r="CR59" s="254">
        <v>254</v>
      </c>
      <c r="CS59" s="254">
        <v>250</v>
      </c>
      <c r="CT59" s="253">
        <v>1.01</v>
      </c>
      <c r="CU59" s="253">
        <v>0.31</v>
      </c>
      <c r="CX59" s="255" t="s">
        <v>460</v>
      </c>
      <c r="CY59" s="261" t="s">
        <v>497</v>
      </c>
      <c r="CZ59" s="256" t="s">
        <v>321</v>
      </c>
      <c r="DA59" s="257">
        <f t="shared" si="42"/>
        <v>2.4400000000000001E-12</v>
      </c>
      <c r="DB59" s="255" t="s">
        <v>320</v>
      </c>
      <c r="DD59" s="170" t="s">
        <v>460</v>
      </c>
      <c r="DE59" s="294" t="s">
        <v>497</v>
      </c>
      <c r="DF59" s="289" t="s">
        <v>321</v>
      </c>
      <c r="DG59" s="170">
        <f>O$13*$Z$39*$AP$43</f>
        <v>0.34130332432394644</v>
      </c>
      <c r="DH59" s="170" t="s">
        <v>320</v>
      </c>
    </row>
    <row r="60" spans="2:112" thickTop="1" thickBot="1" x14ac:dyDescent="0.3"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4"/>
      <c r="DF60" s="289"/>
    </row>
    <row r="61" spans="2:112" thickTop="1" thickBot="1" x14ac:dyDescent="0.3"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708000</v>
      </c>
      <c r="DB61" s="255" t="s">
        <v>320</v>
      </c>
      <c r="DD61" s="170" t="s">
        <v>460</v>
      </c>
      <c r="DE61" s="294" t="s">
        <v>342</v>
      </c>
      <c r="DF61" s="289" t="s">
        <v>321</v>
      </c>
      <c r="DG61" s="293">
        <f>AP30</f>
        <v>1162464.1599999999</v>
      </c>
      <c r="DH61" s="170" t="s">
        <v>320</v>
      </c>
    </row>
    <row r="62" spans="2:112" thickTop="1" thickBot="1" x14ac:dyDescent="0.3"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CP62" s="253" t="s">
        <v>429</v>
      </c>
      <c r="CQ62" s="253" t="s">
        <v>420</v>
      </c>
      <c r="CR62" s="253" t="s">
        <v>458</v>
      </c>
      <c r="CX62" s="255" t="s">
        <v>460</v>
      </c>
      <c r="CY62" s="261" t="s">
        <v>343</v>
      </c>
      <c r="CZ62" s="256" t="s">
        <v>321</v>
      </c>
      <c r="DA62" s="257">
        <f t="shared" ref="DA62:DA63" si="44">CR87</f>
        <v>31600000</v>
      </c>
      <c r="DB62" s="255" t="s">
        <v>320</v>
      </c>
      <c r="DD62" s="170" t="s">
        <v>460</v>
      </c>
      <c r="DE62" s="294" t="s">
        <v>343</v>
      </c>
      <c r="DF62" s="289" t="s">
        <v>321</v>
      </c>
      <c r="DG62" s="293">
        <f>AP31</f>
        <v>17237891.226887278</v>
      </c>
      <c r="DH62" s="170" t="s">
        <v>320</v>
      </c>
    </row>
    <row r="63" spans="2:112" thickTop="1" thickBot="1" x14ac:dyDescent="0.3"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CP63" s="253" t="s">
        <v>429</v>
      </c>
      <c r="CQ63" s="253" t="s">
        <v>379</v>
      </c>
      <c r="CX63" s="255" t="s">
        <v>460</v>
      </c>
      <c r="CY63" s="261" t="s">
        <v>344</v>
      </c>
      <c r="CZ63" s="256" t="s">
        <v>321</v>
      </c>
      <c r="DA63" s="257">
        <f t="shared" si="44"/>
        <v>6440000</v>
      </c>
      <c r="DB63" s="255" t="s">
        <v>320</v>
      </c>
      <c r="DD63" s="170" t="s">
        <v>460</v>
      </c>
      <c r="DE63" s="294" t="s">
        <v>344</v>
      </c>
      <c r="DF63" s="289" t="s">
        <v>321</v>
      </c>
      <c r="DG63" s="293">
        <f>AP32</f>
        <v>15358932.935772944</v>
      </c>
      <c r="DH63" s="170" t="s">
        <v>320</v>
      </c>
    </row>
    <row r="64" spans="2:112" thickTop="1" thickBot="1" x14ac:dyDescent="0.3"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Z64" s="256"/>
      <c r="DF64" s="289"/>
    </row>
    <row r="65" spans="55:112" thickTop="1" thickBot="1" x14ac:dyDescent="0.3"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289</v>
      </c>
      <c r="CS65" s="254">
        <v>0.21299999999999999</v>
      </c>
      <c r="CT65" s="253">
        <v>1357.3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9.4299999999999995E-2</v>
      </c>
      <c r="DB65" s="255" t="s">
        <v>320</v>
      </c>
      <c r="DD65" s="170" t="s">
        <v>460</v>
      </c>
      <c r="DE65" s="294" t="s">
        <v>345</v>
      </c>
      <c r="DF65" s="289" t="s">
        <v>321</v>
      </c>
      <c r="DG65" s="170">
        <f>AP33</f>
        <v>0.10170488072680134</v>
      </c>
      <c r="DH65" s="170" t="s">
        <v>320</v>
      </c>
    </row>
    <row r="66" spans="55:112" thickTop="1" thickBot="1" x14ac:dyDescent="0.3"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284</v>
      </c>
      <c r="CS66" s="254">
        <v>0.33200000000000002</v>
      </c>
      <c r="CT66" s="253">
        <v>856.05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45">CR94</f>
        <v>7.45E-3</v>
      </c>
      <c r="DB66" s="255" t="s">
        <v>320</v>
      </c>
      <c r="DD66" s="170" t="s">
        <v>460</v>
      </c>
      <c r="DE66" s="294" t="s">
        <v>346</v>
      </c>
      <c r="DF66" s="289" t="s">
        <v>321</v>
      </c>
      <c r="DG66" s="170">
        <f>AP34</f>
        <v>0.13170341252987464</v>
      </c>
      <c r="DH66" s="170" t="s">
        <v>320</v>
      </c>
    </row>
    <row r="67" spans="55:112" thickTop="1" thickBot="1" x14ac:dyDescent="0.3"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290</v>
      </c>
      <c r="CS67" s="254">
        <v>8.3699999999999997E-2</v>
      </c>
      <c r="CT67" s="253">
        <v>3467.87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45"/>
        <v>0.69499999999999995</v>
      </c>
      <c r="DB67" s="255" t="s">
        <v>320</v>
      </c>
      <c r="DD67" s="170" t="s">
        <v>460</v>
      </c>
      <c r="DE67" s="294" t="s">
        <v>348</v>
      </c>
      <c r="DF67" s="289" t="s">
        <v>321</v>
      </c>
      <c r="DG67" s="170">
        <f>AP35</f>
        <v>0.70849752387967346</v>
      </c>
      <c r="DH67" s="170" t="s">
        <v>320</v>
      </c>
    </row>
    <row r="68" spans="55:112" thickTop="1" thickBot="1" x14ac:dyDescent="0.3"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CP68" s="253" t="s">
        <v>429</v>
      </c>
      <c r="CQ68" s="253" t="s">
        <v>391</v>
      </c>
      <c r="CR68" s="254">
        <v>291</v>
      </c>
      <c r="CS68" s="254">
        <v>9.0200000000000002E-2</v>
      </c>
      <c r="CT68" s="253">
        <v>3230.43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45"/>
        <v>5.01E-11</v>
      </c>
      <c r="DB68" s="255" t="s">
        <v>320</v>
      </c>
      <c r="DD68" s="170" t="s">
        <v>460</v>
      </c>
      <c r="DE68" s="294" t="s">
        <v>435</v>
      </c>
      <c r="DF68" s="289" t="s">
        <v>321</v>
      </c>
      <c r="DG68" s="170">
        <f>AP47</f>
        <v>5.8094182863650458E-2</v>
      </c>
      <c r="DH68" s="170" t="s">
        <v>320</v>
      </c>
    </row>
    <row r="69" spans="55:112" thickTop="1" thickBot="1" x14ac:dyDescent="0.3"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2.4900000000000001E-12</v>
      </c>
      <c r="CS69" s="254">
        <v>1.19E-10</v>
      </c>
      <c r="CT69" s="253">
        <v>0.02</v>
      </c>
      <c r="CU69" s="253">
        <v>0.98</v>
      </c>
      <c r="CZ69" s="256"/>
      <c r="DF69" s="289"/>
    </row>
    <row r="70" spans="55:112" thickTop="1" thickBot="1" x14ac:dyDescent="0.3"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1.6E-11</v>
      </c>
      <c r="CS70" s="254">
        <v>6.8200000000000002E-10</v>
      </c>
      <c r="CT70" s="253">
        <v>0.02</v>
      </c>
      <c r="CU70" s="253">
        <v>0.98</v>
      </c>
      <c r="CX70" s="255" t="s">
        <v>460</v>
      </c>
      <c r="CY70" s="261" t="s">
        <v>498</v>
      </c>
      <c r="CZ70" s="256" t="s">
        <v>321</v>
      </c>
      <c r="DA70" s="257">
        <f>CR97</f>
        <v>463</v>
      </c>
      <c r="DB70" s="255" t="s">
        <v>320</v>
      </c>
      <c r="DD70" s="170" t="s">
        <v>460</v>
      </c>
      <c r="DE70" s="294" t="s">
        <v>350</v>
      </c>
      <c r="DF70" s="289" t="s">
        <v>321</v>
      </c>
      <c r="DG70" s="170">
        <f>AP37</f>
        <v>240.60470670304119</v>
      </c>
      <c r="DH70" s="170" t="s">
        <v>320</v>
      </c>
    </row>
    <row r="71" spans="55:112" thickTop="1" thickBot="1" x14ac:dyDescent="0.3"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CP71" s="253" t="s">
        <v>429</v>
      </c>
      <c r="CQ71" s="253" t="s">
        <v>443</v>
      </c>
      <c r="CR71" s="254">
        <v>0.251</v>
      </c>
      <c r="CS71" s="254">
        <v>5.0299999999999997E-2</v>
      </c>
      <c r="CT71" s="253">
        <v>4.99</v>
      </c>
      <c r="CU71" s="254">
        <v>6.1999999999999999E-7</v>
      </c>
      <c r="CV71" s="253" t="s">
        <v>388</v>
      </c>
      <c r="CX71" s="255" t="s">
        <v>460</v>
      </c>
      <c r="CY71" s="261" t="s">
        <v>352</v>
      </c>
      <c r="CZ71" s="256" t="s">
        <v>321</v>
      </c>
      <c r="DA71" s="257">
        <f t="shared" ref="DA71:DA72" si="46">CR98</f>
        <v>185</v>
      </c>
      <c r="DB71" s="255" t="s">
        <v>320</v>
      </c>
      <c r="DD71" s="170" t="s">
        <v>460</v>
      </c>
      <c r="DE71" s="294" t="s">
        <v>352</v>
      </c>
      <c r="DF71" s="289" t="s">
        <v>321</v>
      </c>
      <c r="DG71" s="170">
        <f>AP38</f>
        <v>296.33050690537397</v>
      </c>
      <c r="DH71" s="170" t="s">
        <v>320</v>
      </c>
    </row>
    <row r="72" spans="55:112" thickTop="1" thickBot="1" x14ac:dyDescent="0.3"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0.91700000000000004</v>
      </c>
      <c r="CS72" s="254">
        <v>0.10100000000000001</v>
      </c>
      <c r="CT72" s="253">
        <v>9.11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46"/>
        <v>1.5399999999999999E-16</v>
      </c>
      <c r="DB72" s="255" t="s">
        <v>320</v>
      </c>
      <c r="DD72" s="170" t="s">
        <v>460</v>
      </c>
      <c r="DE72" s="294" t="s">
        <v>353</v>
      </c>
      <c r="DF72" s="289" t="s">
        <v>321</v>
      </c>
      <c r="DG72" s="170">
        <f>AP39</f>
        <v>49.995061545984576</v>
      </c>
      <c r="DH72" s="170" t="s">
        <v>320</v>
      </c>
    </row>
    <row r="73" spans="55:112" thickTop="1" thickBot="1" x14ac:dyDescent="0.3"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0.41599999999999998</v>
      </c>
      <c r="CS73" s="254">
        <v>2.7E-2</v>
      </c>
      <c r="CT73" s="253">
        <v>15.4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787.40157480314951</v>
      </c>
      <c r="DB73" s="255" t="s">
        <v>320</v>
      </c>
      <c r="DD73" s="170" t="s">
        <v>460</v>
      </c>
      <c r="DE73" s="294" t="s">
        <v>355</v>
      </c>
      <c r="DF73" s="289" t="s">
        <v>321</v>
      </c>
      <c r="DG73" s="170">
        <f>AP40</f>
        <v>81.339111876478967</v>
      </c>
      <c r="DH73" s="170" t="s">
        <v>320</v>
      </c>
    </row>
    <row r="74" spans="55:112" thickTop="1" thickBot="1" x14ac:dyDescent="0.3"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0.56999999999999995</v>
      </c>
      <c r="CS74" s="254">
        <v>6.4899999999999999E-2</v>
      </c>
      <c r="CT74" s="253">
        <v>8.7899999999999991</v>
      </c>
      <c r="CU74" s="253" t="s">
        <v>387</v>
      </c>
      <c r="CV74" s="254">
        <v>2E-16</v>
      </c>
      <c r="CW74" s="81" t="s">
        <v>388</v>
      </c>
      <c r="CZ74" s="256"/>
      <c r="DF74" s="289"/>
    </row>
    <row r="75" spans="55:112" thickTop="1" thickBot="1" x14ac:dyDescent="0.3"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0.32</v>
      </c>
      <c r="CS75" s="254">
        <v>1.41E-2</v>
      </c>
      <c r="CT75" s="253">
        <v>22.69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25100000</v>
      </c>
      <c r="DB75" s="255" t="s">
        <v>320</v>
      </c>
      <c r="DD75" s="170" t="s">
        <v>460</v>
      </c>
      <c r="DE75" s="294" t="s">
        <v>425</v>
      </c>
      <c r="DF75" s="289" t="s">
        <v>321</v>
      </c>
      <c r="DG75" s="170">
        <f>AP44</f>
        <v>24347742</v>
      </c>
      <c r="DH75" s="170" t="s">
        <v>320</v>
      </c>
    </row>
    <row r="76" spans="55:112" thickTop="1" thickBot="1" x14ac:dyDescent="0.3"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3.6400000000000002E-2</v>
      </c>
      <c r="CS76" s="254">
        <v>6.1500000000000001E-3</v>
      </c>
      <c r="CT76" s="253">
        <v>5.92</v>
      </c>
      <c r="CU76" s="254">
        <v>3.3999999999999998E-9</v>
      </c>
      <c r="CV76" s="253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42200000</v>
      </c>
      <c r="DB76" s="255" t="s">
        <v>320</v>
      </c>
      <c r="DD76" s="170" t="s">
        <v>460</v>
      </c>
      <c r="DE76" s="294" t="s">
        <v>362</v>
      </c>
      <c r="DF76" s="289" t="s">
        <v>321</v>
      </c>
      <c r="DG76" s="170">
        <f>AP45</f>
        <v>24347742</v>
      </c>
      <c r="DH76" s="170" t="s">
        <v>320</v>
      </c>
    </row>
    <row r="77" spans="55:112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7.1600000000000001E-6</v>
      </c>
      <c r="CS77" s="254">
        <v>5.1799999999999999E-5</v>
      </c>
      <c r="CT77" s="253">
        <v>0.14000000000000001</v>
      </c>
      <c r="CU77" s="253">
        <v>0.89</v>
      </c>
      <c r="CX77" s="255" t="s">
        <v>460</v>
      </c>
      <c r="CY77" s="261" t="s">
        <v>368</v>
      </c>
      <c r="CZ77" s="256" t="s">
        <v>321</v>
      </c>
      <c r="DA77" s="257">
        <f>CR121</f>
        <v>246</v>
      </c>
      <c r="DB77" s="255" t="s">
        <v>320</v>
      </c>
      <c r="DD77" s="170" t="s">
        <v>460</v>
      </c>
      <c r="DE77" s="294" t="s">
        <v>368</v>
      </c>
      <c r="DF77" s="289" t="s">
        <v>321</v>
      </c>
      <c r="DG77" s="170">
        <f>AP48</f>
        <v>438.58901830282855</v>
      </c>
      <c r="DH77" s="170" t="s">
        <v>320</v>
      </c>
    </row>
    <row r="78" spans="55:112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5.7599999999999998E-10</v>
      </c>
      <c r="CS78" s="254">
        <v>1.9499999999999999E-8</v>
      </c>
      <c r="CT78" s="253">
        <v>0.03</v>
      </c>
      <c r="CU78" s="253">
        <v>0.98</v>
      </c>
      <c r="CX78" s="255" t="s">
        <v>460</v>
      </c>
      <c r="CY78" s="261" t="s">
        <v>370</v>
      </c>
      <c r="CZ78" s="256" t="s">
        <v>321</v>
      </c>
      <c r="DA78" s="257">
        <f t="shared" ref="DA78:DA79" si="47">CR122</f>
        <v>3.7399999999999998E-4</v>
      </c>
      <c r="DB78" s="255" t="s">
        <v>320</v>
      </c>
      <c r="DD78" s="170" t="s">
        <v>460</v>
      </c>
      <c r="DE78" s="294" t="s">
        <v>370</v>
      </c>
      <c r="DF78" s="289" t="s">
        <v>321</v>
      </c>
      <c r="DG78" s="170">
        <f>AP49</f>
        <v>219.29450915141427</v>
      </c>
      <c r="DH78" s="170" t="s">
        <v>320</v>
      </c>
    </row>
    <row r="79" spans="55:112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1.2099999999999999E-5</v>
      </c>
      <c r="CS79" s="254">
        <v>1.8900000000000001E-4</v>
      </c>
      <c r="CT79" s="253">
        <v>0.06</v>
      </c>
      <c r="CU79" s="253">
        <v>0.95</v>
      </c>
      <c r="CX79" s="255" t="s">
        <v>460</v>
      </c>
      <c r="CY79" s="261" t="s">
        <v>372</v>
      </c>
      <c r="CZ79" s="256" t="s">
        <v>321</v>
      </c>
      <c r="DA79" s="257">
        <f t="shared" si="47"/>
        <v>308</v>
      </c>
      <c r="DB79" s="255" t="s">
        <v>320</v>
      </c>
      <c r="DD79" s="170" t="s">
        <v>460</v>
      </c>
      <c r="DE79" s="294" t="s">
        <v>372</v>
      </c>
      <c r="DF79" s="289" t="s">
        <v>321</v>
      </c>
      <c r="DG79" s="170">
        <f>AP50</f>
        <v>438.58901830282855</v>
      </c>
      <c r="DH79" s="170" t="s">
        <v>320</v>
      </c>
    </row>
    <row r="80" spans="55:112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2.3700000000000001E-16</v>
      </c>
      <c r="CS80" s="254">
        <v>1.7E-14</v>
      </c>
      <c r="CT80" s="253">
        <v>0.01</v>
      </c>
      <c r="CU80" s="253">
        <v>0.99</v>
      </c>
    </row>
    <row r="81" spans="55:10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CP81" s="253" t="s">
        <v>429</v>
      </c>
      <c r="CQ81" s="253" t="s">
        <v>451</v>
      </c>
      <c r="CR81" s="254">
        <v>0.85399999999999998</v>
      </c>
      <c r="CS81" s="254">
        <v>5.6099999999999997E-2</v>
      </c>
      <c r="CT81" s="253">
        <v>15.22</v>
      </c>
      <c r="CU81" s="253" t="s">
        <v>387</v>
      </c>
      <c r="CV81" s="254">
        <v>2E-16</v>
      </c>
      <c r="CW81" s="81" t="s">
        <v>388</v>
      </c>
    </row>
    <row r="82" spans="55:10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CP82" s="253" t="s">
        <v>429</v>
      </c>
      <c r="CQ82" s="253" t="s">
        <v>452</v>
      </c>
      <c r="CR82" s="254">
        <v>1.94</v>
      </c>
      <c r="CS82" s="254">
        <v>0.14000000000000001</v>
      </c>
      <c r="CT82" s="253">
        <v>13.86</v>
      </c>
      <c r="CU82" s="253" t="s">
        <v>387</v>
      </c>
      <c r="CV82" s="254">
        <v>2E-16</v>
      </c>
      <c r="CW82" s="81" t="s">
        <v>388</v>
      </c>
    </row>
    <row r="83" spans="55:10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CP83" s="253" t="s">
        <v>429</v>
      </c>
      <c r="CQ83" s="253" t="s">
        <v>453</v>
      </c>
      <c r="CR83" s="254">
        <v>0.65800000000000003</v>
      </c>
      <c r="CS83" s="254">
        <v>2.9499999999999998E-2</v>
      </c>
      <c r="CT83" s="253">
        <v>22.28</v>
      </c>
      <c r="CU83" s="253" t="s">
        <v>387</v>
      </c>
      <c r="CV83" s="254">
        <v>2E-16</v>
      </c>
      <c r="CW83" s="81" t="s">
        <v>388</v>
      </c>
    </row>
    <row r="84" spans="55:10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2.4400000000000001E-12</v>
      </c>
      <c r="CS84" s="254">
        <v>1.1800000000000001E-10</v>
      </c>
      <c r="CT84" s="253">
        <v>0.02</v>
      </c>
      <c r="CU84" s="253">
        <v>0.98</v>
      </c>
    </row>
    <row r="85" spans="55:10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996000000</v>
      </c>
      <c r="CS85" s="254">
        <v>169000</v>
      </c>
      <c r="CT85" s="253">
        <v>5907.37</v>
      </c>
      <c r="CU85" s="253" t="s">
        <v>387</v>
      </c>
      <c r="CV85" s="254">
        <v>2E-16</v>
      </c>
      <c r="CW85" s="81" t="s">
        <v>388</v>
      </c>
    </row>
    <row r="86" spans="55:10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CP86" s="253" t="s">
        <v>429</v>
      </c>
      <c r="CQ86" s="253" t="s">
        <v>398</v>
      </c>
      <c r="CR86" s="254">
        <v>708000</v>
      </c>
      <c r="CS86" s="254">
        <v>10200</v>
      </c>
      <c r="CT86" s="253">
        <v>69.400000000000006</v>
      </c>
      <c r="CU86" s="253" t="s">
        <v>387</v>
      </c>
      <c r="CV86" s="254">
        <v>2E-16</v>
      </c>
      <c r="CW86" s="81" t="s">
        <v>388</v>
      </c>
    </row>
    <row r="87" spans="55:10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CP87" s="253" t="s">
        <v>429</v>
      </c>
      <c r="CQ87" s="253" t="s">
        <v>299</v>
      </c>
      <c r="CR87" s="254">
        <v>31600000</v>
      </c>
      <c r="CS87" s="254">
        <v>5160000</v>
      </c>
      <c r="CT87" s="253">
        <v>6.13</v>
      </c>
      <c r="CU87" s="254">
        <v>9.5999999999999999E-10</v>
      </c>
      <c r="CV87" s="253" t="s">
        <v>388</v>
      </c>
    </row>
    <row r="88" spans="55:10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CP88" s="253" t="s">
        <v>429</v>
      </c>
      <c r="CQ88" s="253" t="s">
        <v>301</v>
      </c>
      <c r="CR88" s="254">
        <v>6440000</v>
      </c>
      <c r="CS88" s="254">
        <v>127000</v>
      </c>
      <c r="CT88" s="253">
        <v>50.85</v>
      </c>
      <c r="CU88" s="253" t="s">
        <v>387</v>
      </c>
      <c r="CV88" s="254">
        <v>2E-16</v>
      </c>
      <c r="CW88" s="81" t="s">
        <v>388</v>
      </c>
    </row>
    <row r="89" spans="55:10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CP89" s="253" t="s">
        <v>429</v>
      </c>
      <c r="CQ89" s="253" t="s">
        <v>399</v>
      </c>
      <c r="CR89" s="254">
        <v>-1.81</v>
      </c>
      <c r="CS89" s="254">
        <v>3.32E-2</v>
      </c>
      <c r="CT89" s="253">
        <v>-54.6</v>
      </c>
      <c r="CU89" s="253" t="s">
        <v>387</v>
      </c>
      <c r="CV89" s="254">
        <v>2E-16</v>
      </c>
      <c r="CW89" s="81" t="s">
        <v>388</v>
      </c>
    </row>
    <row r="90" spans="55:10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-23</v>
      </c>
      <c r="CS90" s="254">
        <v>2.1999999999999999E-2</v>
      </c>
      <c r="CT90" s="253">
        <v>-1044.5999999999999</v>
      </c>
      <c r="CU90" s="253" t="s">
        <v>387</v>
      </c>
      <c r="CV90" s="254">
        <v>2E-16</v>
      </c>
      <c r="CW90" s="81" t="s">
        <v>388</v>
      </c>
    </row>
    <row r="91" spans="55:10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-25.8</v>
      </c>
      <c r="CS91" s="254">
        <v>9.0900000000000009E-3</v>
      </c>
      <c r="CT91" s="253">
        <v>-2836.26</v>
      </c>
      <c r="CU91" s="253" t="s">
        <v>387</v>
      </c>
      <c r="CV91" s="254">
        <v>2E-16</v>
      </c>
      <c r="CW91" s="81" t="s">
        <v>388</v>
      </c>
    </row>
    <row r="92" spans="55:10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-28.1</v>
      </c>
      <c r="CS92" s="254">
        <v>1.8800000000000001E-2</v>
      </c>
      <c r="CT92" s="253">
        <v>-1494.4</v>
      </c>
      <c r="CU92" s="253" t="s">
        <v>387</v>
      </c>
      <c r="CV92" s="254">
        <v>2E-16</v>
      </c>
      <c r="CW92" s="81" t="s">
        <v>388</v>
      </c>
    </row>
    <row r="93" spans="55:10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9.4299999999999995E-2</v>
      </c>
      <c r="CS93" s="254">
        <v>4.2300000000000003E-3</v>
      </c>
      <c r="CT93" s="253">
        <v>22.29</v>
      </c>
      <c r="CU93" s="253" t="s">
        <v>387</v>
      </c>
      <c r="CV93" s="254">
        <v>2E-16</v>
      </c>
      <c r="CW93" s="81" t="s">
        <v>388</v>
      </c>
    </row>
    <row r="94" spans="55:10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7.45E-3</v>
      </c>
      <c r="CS94" s="254">
        <v>2.5399999999999999E-4</v>
      </c>
      <c r="CT94" s="253">
        <v>29.32</v>
      </c>
      <c r="CU94" s="253" t="s">
        <v>387</v>
      </c>
      <c r="CV94" s="254">
        <v>2E-16</v>
      </c>
      <c r="CW94" s="81" t="s">
        <v>388</v>
      </c>
    </row>
    <row r="95" spans="55:10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CP95" s="253" t="s">
        <v>429</v>
      </c>
      <c r="CQ95" s="253" t="s">
        <v>406</v>
      </c>
      <c r="CR95" s="254">
        <v>0.69499999999999995</v>
      </c>
      <c r="CS95" s="254">
        <v>4.5799999999999999E-3</v>
      </c>
      <c r="CT95" s="253">
        <v>151.77000000000001</v>
      </c>
      <c r="CU95" s="253" t="s">
        <v>387</v>
      </c>
      <c r="CV95" s="254">
        <v>2E-16</v>
      </c>
      <c r="CW95" s="81" t="s">
        <v>388</v>
      </c>
    </row>
    <row r="96" spans="55:10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5.01E-11</v>
      </c>
      <c r="CS96" s="254">
        <v>1.4100000000000001E-9</v>
      </c>
      <c r="CT96" s="253">
        <v>0.04</v>
      </c>
      <c r="CU96" s="253">
        <v>0.97</v>
      </c>
    </row>
    <row r="97" spans="94:101" thickTop="1" thickBot="1" x14ac:dyDescent="0.3">
      <c r="CP97" s="253" t="s">
        <v>429</v>
      </c>
      <c r="CQ97" s="253" t="s">
        <v>409</v>
      </c>
      <c r="CR97" s="254">
        <v>463</v>
      </c>
      <c r="CS97" s="254">
        <v>7.79</v>
      </c>
      <c r="CT97" s="253">
        <v>59.43</v>
      </c>
      <c r="CU97" s="253" t="s">
        <v>387</v>
      </c>
      <c r="CV97" s="254">
        <v>2E-16</v>
      </c>
      <c r="CW97" s="81" t="s">
        <v>388</v>
      </c>
    </row>
    <row r="98" spans="94:101" thickTop="1" thickBot="1" x14ac:dyDescent="0.3">
      <c r="CP98" s="253" t="s">
        <v>429</v>
      </c>
      <c r="CQ98" s="253" t="s">
        <v>293</v>
      </c>
      <c r="CR98" s="254">
        <v>185</v>
      </c>
      <c r="CS98" s="254">
        <v>2.06</v>
      </c>
      <c r="CT98" s="253">
        <v>89.9</v>
      </c>
      <c r="CU98" s="253" t="s">
        <v>387</v>
      </c>
      <c r="CV98" s="254">
        <v>2E-16</v>
      </c>
      <c r="CW98" s="81" t="s">
        <v>388</v>
      </c>
    </row>
    <row r="99" spans="94:101" thickTop="1" thickBot="1" x14ac:dyDescent="0.3">
      <c r="CP99" s="253" t="s">
        <v>429</v>
      </c>
      <c r="CQ99" s="253" t="s">
        <v>120</v>
      </c>
      <c r="CR99" s="254">
        <v>1.5399999999999999E-16</v>
      </c>
      <c r="CS99" s="254">
        <v>8.3600000000000002E-15</v>
      </c>
      <c r="CT99" s="253">
        <v>0.02</v>
      </c>
      <c r="CU99" s="253">
        <v>0.99</v>
      </c>
    </row>
    <row r="100" spans="94:101" thickTop="1" thickBot="1" x14ac:dyDescent="0.3">
      <c r="CP100" s="253" t="s">
        <v>429</v>
      </c>
      <c r="CQ100" s="253" t="s">
        <v>411</v>
      </c>
      <c r="CR100" s="254">
        <v>-4.53</v>
      </c>
      <c r="CS100" s="254">
        <v>1.7399999999999999E-2</v>
      </c>
      <c r="CT100" s="253">
        <v>-260.18</v>
      </c>
      <c r="CU100" s="253" t="s">
        <v>387</v>
      </c>
      <c r="CV100" s="254">
        <v>2E-16</v>
      </c>
      <c r="CW100" s="81" t="s">
        <v>388</v>
      </c>
    </row>
    <row r="101" spans="94:101" thickTop="1" thickBot="1" x14ac:dyDescent="0.3">
      <c r="CP101" s="253" t="s">
        <v>429</v>
      </c>
      <c r="CQ101" s="253" t="s">
        <v>412</v>
      </c>
      <c r="CR101" s="254">
        <v>-4.75</v>
      </c>
      <c r="CS101" s="254">
        <v>2.07E-2</v>
      </c>
      <c r="CT101" s="253">
        <v>-229.24</v>
      </c>
      <c r="CU101" s="253" t="s">
        <v>387</v>
      </c>
      <c r="CV101" s="254">
        <v>2E-16</v>
      </c>
      <c r="CW101" s="81" t="s">
        <v>388</v>
      </c>
    </row>
    <row r="102" spans="94:101" thickTop="1" thickBot="1" x14ac:dyDescent="0.3">
      <c r="CP102" s="253" t="s">
        <v>429</v>
      </c>
      <c r="CQ102" s="253" t="s">
        <v>413</v>
      </c>
      <c r="CR102" s="254">
        <v>-7.82</v>
      </c>
      <c r="CS102" s="254">
        <v>3.1899999999999998E-2</v>
      </c>
      <c r="CT102" s="253">
        <v>-245.39</v>
      </c>
      <c r="CU102" s="253" t="s">
        <v>387</v>
      </c>
      <c r="CV102" s="254">
        <v>2E-16</v>
      </c>
      <c r="CW102" s="81" t="s">
        <v>388</v>
      </c>
    </row>
    <row r="103" spans="94:101" thickTop="1" thickBot="1" x14ac:dyDescent="0.3">
      <c r="CP103" s="253" t="s">
        <v>429</v>
      </c>
      <c r="CQ103" s="253" t="s">
        <v>414</v>
      </c>
      <c r="CR103" s="254">
        <v>-7.09</v>
      </c>
      <c r="CS103" s="254">
        <v>2.4299999999999999E-2</v>
      </c>
      <c r="CT103" s="253">
        <v>-291.55</v>
      </c>
      <c r="CU103" s="253" t="s">
        <v>387</v>
      </c>
      <c r="CV103" s="254">
        <v>2E-16</v>
      </c>
      <c r="CW103" s="81" t="s">
        <v>388</v>
      </c>
    </row>
    <row r="104" spans="94:101" thickTop="1" thickBot="1" x14ac:dyDescent="0.3">
      <c r="CP104" s="253" t="s">
        <v>429</v>
      </c>
      <c r="CQ104" s="253" t="s">
        <v>416</v>
      </c>
      <c r="CR104" s="254">
        <v>1.2700000000000001E-3</v>
      </c>
      <c r="CS104" s="254">
        <v>4.0200000000000001E-5</v>
      </c>
      <c r="CT104" s="253">
        <v>31.65</v>
      </c>
      <c r="CU104" s="253" t="s">
        <v>387</v>
      </c>
      <c r="CV104" s="254">
        <v>2E-16</v>
      </c>
      <c r="CW104" s="81" t="s">
        <v>388</v>
      </c>
    </row>
    <row r="105" spans="94:101" thickTop="1" thickBot="1" x14ac:dyDescent="0.3">
      <c r="CP105" s="253" t="s">
        <v>429</v>
      </c>
      <c r="CQ105" s="253" t="s">
        <v>417</v>
      </c>
      <c r="CR105" s="254">
        <v>387</v>
      </c>
      <c r="CS105" s="254">
        <v>4.18</v>
      </c>
      <c r="CT105" s="253">
        <v>92.37</v>
      </c>
      <c r="CU105" s="253" t="s">
        <v>387</v>
      </c>
      <c r="CV105" s="254">
        <v>2E-16</v>
      </c>
      <c r="CW105" s="81" t="s">
        <v>388</v>
      </c>
    </row>
    <row r="106" spans="94:101" thickTop="1" thickBot="1" x14ac:dyDescent="0.3">
      <c r="CP106" s="253" t="s">
        <v>429</v>
      </c>
      <c r="CQ106" s="253" t="s">
        <v>418</v>
      </c>
      <c r="CR106" s="254">
        <v>1920</v>
      </c>
      <c r="CS106" s="254">
        <v>3.74</v>
      </c>
      <c r="CT106" s="253">
        <v>512.21</v>
      </c>
      <c r="CU106" s="253" t="s">
        <v>387</v>
      </c>
      <c r="CV106" s="254">
        <v>2E-16</v>
      </c>
      <c r="CW106" s="81" t="s">
        <v>388</v>
      </c>
    </row>
    <row r="108" spans="94:101" thickTop="1" thickBot="1" x14ac:dyDescent="0.3">
      <c r="CP108" s="253" t="s">
        <v>429</v>
      </c>
      <c r="CQ108" s="253" t="s">
        <v>420</v>
      </c>
      <c r="CR108" s="253" t="s">
        <v>422</v>
      </c>
    </row>
    <row r="109" spans="94:101" thickTop="1" thickBot="1" x14ac:dyDescent="0.3">
      <c r="CP109" s="253" t="s">
        <v>429</v>
      </c>
      <c r="CQ109" s="253" t="s">
        <v>379</v>
      </c>
    </row>
    <row r="110" spans="94:10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</row>
    <row r="111" spans="94:101" thickTop="1" thickBot="1" x14ac:dyDescent="0.3">
      <c r="CP111" s="253" t="s">
        <v>429</v>
      </c>
      <c r="CQ111" s="253" t="s">
        <v>423</v>
      </c>
      <c r="CR111" s="254">
        <v>290</v>
      </c>
      <c r="CS111" s="254">
        <v>0.34799999999999998</v>
      </c>
      <c r="CT111" s="253">
        <v>833.57</v>
      </c>
      <c r="CU111" s="253" t="s">
        <v>387</v>
      </c>
      <c r="CV111" s="254">
        <v>2E-16</v>
      </c>
      <c r="CW111" s="81" t="s">
        <v>388</v>
      </c>
    </row>
    <row r="112" spans="94:101" thickTop="1" thickBot="1" x14ac:dyDescent="0.3">
      <c r="CP112" s="253" t="s">
        <v>429</v>
      </c>
      <c r="CQ112" s="253" t="s">
        <v>424</v>
      </c>
      <c r="CR112" s="254">
        <v>292</v>
      </c>
      <c r="CS112" s="254">
        <v>0.40400000000000003</v>
      </c>
      <c r="CT112" s="253">
        <v>723.61</v>
      </c>
      <c r="CU112" s="253" t="s">
        <v>387</v>
      </c>
      <c r="CV112" s="254">
        <v>2E-16</v>
      </c>
      <c r="CW112" s="81" t="s">
        <v>388</v>
      </c>
    </row>
    <row r="113" spans="94:101" thickTop="1" thickBot="1" x14ac:dyDescent="0.3">
      <c r="CP113" s="253" t="s">
        <v>429</v>
      </c>
      <c r="CQ113" s="253" t="s">
        <v>356</v>
      </c>
      <c r="CR113" s="254">
        <v>3.0199999999999999E-9</v>
      </c>
      <c r="CS113" s="254">
        <v>1.24E-7</v>
      </c>
      <c r="CT113" s="253">
        <v>0.02</v>
      </c>
      <c r="CU113" s="253">
        <v>0.98050000000000004</v>
      </c>
    </row>
    <row r="114" spans="94:101" thickTop="1" thickBot="1" x14ac:dyDescent="0.3">
      <c r="CP114" s="253" t="s">
        <v>429</v>
      </c>
      <c r="CQ114" s="253" t="s">
        <v>358</v>
      </c>
      <c r="CR114" s="254">
        <v>3.7999999999999998E-11</v>
      </c>
      <c r="CS114" s="254">
        <v>1.9500000000000001E-9</v>
      </c>
      <c r="CT114" s="253">
        <v>0.02</v>
      </c>
      <c r="CU114" s="253">
        <v>0.98440000000000005</v>
      </c>
    </row>
    <row r="115" spans="94:101" thickTop="1" thickBot="1" x14ac:dyDescent="0.3">
      <c r="CP115" s="253" t="s">
        <v>429</v>
      </c>
      <c r="CQ115" s="253" t="s">
        <v>425</v>
      </c>
      <c r="CR115" s="254">
        <v>25100000</v>
      </c>
      <c r="CS115" s="254">
        <v>3300000</v>
      </c>
      <c r="CT115" s="253">
        <v>7.62</v>
      </c>
      <c r="CU115" s="254">
        <v>3.7E-14</v>
      </c>
      <c r="CV115" s="253" t="s">
        <v>388</v>
      </c>
    </row>
    <row r="116" spans="94:101" thickTop="1" thickBot="1" x14ac:dyDescent="0.3">
      <c r="CP116" s="253" t="s">
        <v>429</v>
      </c>
      <c r="CQ116" s="253" t="s">
        <v>362</v>
      </c>
      <c r="CR116" s="254">
        <v>42200000</v>
      </c>
      <c r="CS116" s="254">
        <v>13300000</v>
      </c>
      <c r="CT116" s="253">
        <v>3.17</v>
      </c>
      <c r="CU116" s="253">
        <v>1.5E-3</v>
      </c>
      <c r="CV116" s="253" t="s">
        <v>426</v>
      </c>
    </row>
    <row r="117" spans="94:101" thickTop="1" thickBot="1" x14ac:dyDescent="0.3">
      <c r="CP117" s="253" t="s">
        <v>429</v>
      </c>
      <c r="CQ117" s="253" t="s">
        <v>403</v>
      </c>
      <c r="CR117" s="254">
        <v>8.73</v>
      </c>
      <c r="CS117" s="254">
        <v>6.3299999999999995E-2</v>
      </c>
      <c r="CT117" s="253">
        <v>137.88999999999999</v>
      </c>
      <c r="CU117" s="253" t="s">
        <v>387</v>
      </c>
      <c r="CV117" s="254">
        <v>2E-16</v>
      </c>
      <c r="CW117" s="81" t="s">
        <v>388</v>
      </c>
    </row>
    <row r="118" spans="94:101" thickTop="1" thickBot="1" x14ac:dyDescent="0.3">
      <c r="CP118" s="253" t="s">
        <v>429</v>
      </c>
      <c r="CQ118" s="253" t="s">
        <v>427</v>
      </c>
      <c r="CR118" s="254">
        <v>8.16</v>
      </c>
      <c r="CS118" s="254">
        <v>0.12</v>
      </c>
      <c r="CT118" s="253">
        <v>67.790000000000006</v>
      </c>
      <c r="CU118" s="253" t="s">
        <v>387</v>
      </c>
      <c r="CV118" s="254">
        <v>2E-16</v>
      </c>
      <c r="CW118" s="81" t="s">
        <v>388</v>
      </c>
    </row>
    <row r="119" spans="94:101" thickTop="1" thickBot="1" x14ac:dyDescent="0.3">
      <c r="CP119" s="253" t="s">
        <v>429</v>
      </c>
      <c r="CQ119" s="253" t="s">
        <v>415</v>
      </c>
      <c r="CR119" s="254">
        <v>-5.0999999999999996</v>
      </c>
      <c r="CS119" s="254">
        <v>5.1200000000000002E-2</v>
      </c>
      <c r="CT119" s="253">
        <v>-99.56</v>
      </c>
      <c r="CU119" s="253" t="s">
        <v>387</v>
      </c>
      <c r="CV119" s="254">
        <v>2E-16</v>
      </c>
      <c r="CW119" s="81" t="s">
        <v>388</v>
      </c>
    </row>
    <row r="120" spans="94:101" thickTop="1" thickBot="1" x14ac:dyDescent="0.3">
      <c r="CP120" s="253" t="s">
        <v>429</v>
      </c>
      <c r="CQ120" s="253" t="s">
        <v>428</v>
      </c>
      <c r="CR120" s="254">
        <v>-4.79</v>
      </c>
      <c r="CS120" s="254">
        <v>3.9399999999999998E-2</v>
      </c>
      <c r="CT120" s="253">
        <v>-121.46</v>
      </c>
      <c r="CU120" s="253" t="s">
        <v>387</v>
      </c>
      <c r="CV120" s="254">
        <v>2E-16</v>
      </c>
      <c r="CW120" s="81" t="s">
        <v>388</v>
      </c>
    </row>
    <row r="121" spans="94:101" thickTop="1" thickBot="1" x14ac:dyDescent="0.3">
      <c r="CP121" s="253" t="s">
        <v>429</v>
      </c>
      <c r="CQ121" s="253" t="s">
        <v>368</v>
      </c>
      <c r="CR121" s="254">
        <v>246</v>
      </c>
      <c r="CS121" s="254">
        <v>4.6100000000000003</v>
      </c>
      <c r="CT121" s="253">
        <v>53.3</v>
      </c>
      <c r="CU121" s="253" t="s">
        <v>387</v>
      </c>
      <c r="CV121" s="254">
        <v>2E-16</v>
      </c>
      <c r="CW121" s="81" t="s">
        <v>388</v>
      </c>
    </row>
    <row r="122" spans="94:101" thickTop="1" thickBot="1" x14ac:dyDescent="0.3">
      <c r="CP122" s="253" t="s">
        <v>429</v>
      </c>
      <c r="CQ122" s="253" t="s">
        <v>370</v>
      </c>
      <c r="CR122" s="254">
        <v>3.7399999999999998E-4</v>
      </c>
      <c r="CS122" s="254">
        <v>1.9E-2</v>
      </c>
      <c r="CT122" s="253">
        <v>0.02</v>
      </c>
      <c r="CU122" s="253">
        <v>0.98429999999999995</v>
      </c>
    </row>
    <row r="123" spans="94:101" thickTop="1" thickBot="1" x14ac:dyDescent="0.3">
      <c r="CP123" s="253" t="s">
        <v>429</v>
      </c>
      <c r="CQ123" s="253" t="s">
        <v>372</v>
      </c>
      <c r="CR123" s="254">
        <v>308</v>
      </c>
      <c r="CS123" s="254">
        <v>6.33</v>
      </c>
      <c r="CT123" s="253">
        <v>48.59</v>
      </c>
      <c r="CU123" s="253" t="s">
        <v>387</v>
      </c>
      <c r="CV123" s="254">
        <v>2E-16</v>
      </c>
      <c r="CW123" s="81" t="s">
        <v>388</v>
      </c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112" zoomScaleNormal="100" workbookViewId="0">
      <selection activeCell="B140" sqref="B140"/>
    </sheetView>
  </sheetViews>
  <sheetFormatPr defaultRowHeight="15" x14ac:dyDescent="0.25"/>
  <cols>
    <col min="1" max="1" width="9.140625" style="3"/>
    <col min="2" max="2" width="16.7109375" style="3" bestFit="1" customWidth="1"/>
    <col min="3" max="3" width="9.140625" style="3"/>
    <col min="4" max="4" width="20" style="3"/>
    <col min="5" max="1025" width="9.140625" style="3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06" t="s">
        <v>168</v>
      </c>
      <c r="W5" s="306"/>
      <c r="X5" s="306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1" t="s">
        <v>171</v>
      </c>
      <c r="B7" s="311"/>
      <c r="C7" s="311"/>
      <c r="D7" s="31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10997.115979853377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12174.559714477835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x14ac:dyDescent="0.25">
      <c r="A12" s="96"/>
      <c r="B12" s="107" t="str">
        <f>'Gebouwgegevens Tabula 2zone'!K6</f>
        <v>W1</v>
      </c>
      <c r="C12" s="108">
        <f>VLOOKUP(B12,'Gebouwgegevens Tabula 2zone'!$K$5:$R$83,3,0)</f>
        <v>1</v>
      </c>
      <c r="D12" s="108" t="str">
        <f>VLOOKUP(B12,'Gebouwgegevens Tabula 2zone'!$K$5:$R$83,4,0)</f>
        <v>Wall External</v>
      </c>
      <c r="E12" s="108">
        <f>VLOOKUP(B12,'Gebouwgegevens Tabula 2zone'!$K$5:$R$83,5,0)</f>
        <v>16.822408211117601</v>
      </c>
      <c r="F12" s="108" t="str">
        <f>VLOOKUP(B12,'Gebouwgegevens Tabula 2zone'!$K$5:$R$83,6,0)</f>
        <v>front</v>
      </c>
      <c r="G12" s="108">
        <f>VLOOKUP(B12,'Gebouwgegevens Tabula 2zone'!$K$5:$R$83,7,0)</f>
        <v>1.6946440466045722</v>
      </c>
      <c r="H12" s="109">
        <f>VLOOKUP(B12,'Gebouwgegevens Tabula 2zone'!$K$5:$R$83,8,0)</f>
        <v>28.507993924522314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x14ac:dyDescent="0.25">
      <c r="A13" s="96"/>
      <c r="B13" s="107" t="str">
        <f>'Gebouwgegevens Tabula 2zone'!K7</f>
        <v>W2</v>
      </c>
      <c r="C13" s="108">
        <f>VLOOKUP(B13,'Gebouwgegevens Tabula 2zone'!$K$5:$R$83,3,0)</f>
        <v>1</v>
      </c>
      <c r="D13" s="108" t="str">
        <f>VLOOKUP(B13,'Gebouwgegevens Tabula 2zone'!$K$5:$R$83,4,0)</f>
        <v>Wall External</v>
      </c>
      <c r="E13" s="108">
        <f>VLOOKUP(B13,'Gebouwgegevens Tabula 2zone'!$K$5:$R$83,5,0)</f>
        <v>35.733053277868223</v>
      </c>
      <c r="F13" s="108" t="str">
        <f>VLOOKUP(B13,'Gebouwgegevens Tabula 2zone'!$K$5:$R$83,6,0)</f>
        <v>right</v>
      </c>
      <c r="G13" s="108">
        <f>VLOOKUP(B13,'Gebouwgegevens Tabula 2zone'!$K$5:$R$83,7,0)</f>
        <v>1.6946440466045722</v>
      </c>
      <c r="H13" s="109">
        <f>VLOOKUP(B13,'Gebouwgegevens Tabula 2zone'!$K$5:$R$83,8,0)</f>
        <v>60.554806004343376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x14ac:dyDescent="0.25">
      <c r="A14" s="96"/>
      <c r="B14" s="107" t="str">
        <f>'Gebouwgegevens Tabula 2zone'!K8</f>
        <v>W3</v>
      </c>
      <c r="C14" s="108">
        <f>VLOOKUP(B14,'Gebouwgegevens Tabula 2zone'!$K$5:$R$83,3,0)</f>
        <v>1</v>
      </c>
      <c r="D14" s="108" t="str">
        <f>VLOOKUP(B14,'Gebouwgegevens Tabula 2zone'!$K$5:$R$83,4,0)</f>
        <v>Wall External</v>
      </c>
      <c r="E14" s="108">
        <f>VLOOKUP(B14,'Gebouwgegevens Tabula 2zone'!$K$5:$R$83,5,0)</f>
        <v>16.822408211117601</v>
      </c>
      <c r="F14" s="108" t="str">
        <f>VLOOKUP(B14,'Gebouwgegevens Tabula 2zone'!$K$5:$R$83,6,0)</f>
        <v>back</v>
      </c>
      <c r="G14" s="108">
        <f>VLOOKUP(B14,'Gebouwgegevens Tabula 2zone'!$K$5:$R$83,7,0)</f>
        <v>1.6946440466045722</v>
      </c>
      <c r="H14" s="109">
        <f>VLOOKUP(B14,'Gebouwgegevens Tabula 2zone'!$K$5:$R$83,8,0)</f>
        <v>28.507993924522314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x14ac:dyDescent="0.25">
      <c r="A15" s="96"/>
      <c r="B15" s="107" t="str">
        <f>'Gebouwgegevens Tabula 2zone'!K9</f>
        <v>W4</v>
      </c>
      <c r="C15" s="108">
        <f>VLOOKUP(B15,'Gebouwgegevens Tabula 2zone'!$K$5:$R$83,3,0)</f>
        <v>1</v>
      </c>
      <c r="D15" s="108" t="str">
        <f>VLOOKUP(B15,'Gebouwgegevens Tabula 2zone'!$K$5:$R$83,4,0)</f>
        <v>Wall External</v>
      </c>
      <c r="E15" s="108">
        <f>VLOOKUP(B15,'Gebouwgegevens Tabula 2zone'!$K$5:$R$83,5,0)</f>
        <v>0</v>
      </c>
      <c r="F15" s="108" t="str">
        <f>VLOOKUP(B15,'Gebouwgegevens Tabula 2zone'!$K$5:$R$83,6,0)</f>
        <v>left</v>
      </c>
      <c r="G15" s="108">
        <f>VLOOKUP(B15,'Gebouwgegevens Tabula 2zone'!$K$5:$R$83,7,0)</f>
        <v>1.6946440466045722</v>
      </c>
      <c r="H15" s="109">
        <f>VLOOKUP(B15,'Gebouwgegevens Tabula 2zone'!$K$5:$R$83,8,0)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x14ac:dyDescent="0.25">
      <c r="A16" s="96"/>
      <c r="B16" s="107" t="str">
        <f>'Gebouwgegevens Tabula 2zone'!K10</f>
        <v>W5</v>
      </c>
      <c r="C16" s="108">
        <f>VLOOKUP(B16,'Gebouwgegevens Tabula 2zone'!$K$5:$R$83,3,0)</f>
        <v>1</v>
      </c>
      <c r="D16" s="108" t="str">
        <f>VLOOKUP(B16,'Gebouwgegevens Tabula 2zone'!$K$5:$R$83,4,0)</f>
        <v>Window</v>
      </c>
      <c r="E16" s="108">
        <f>VLOOKUP(B16,'Gebouwgegevens Tabula 2zone'!$K$5:$R$83,5,0)</f>
        <v>3.7</v>
      </c>
      <c r="F16" s="108" t="str">
        <f>VLOOKUP(B16,'Gebouwgegevens Tabula 2zone'!$K$5:$R$83,6,0)</f>
        <v>front</v>
      </c>
      <c r="G16" s="108">
        <f>VLOOKUP(B16,'Gebouwgegevens Tabula 2zone'!$K$5:$R$83,7,0)</f>
        <v>5</v>
      </c>
      <c r="H16" s="109">
        <f>VLOOKUP(B16,'Gebouwgegevens Tabula 2zone'!$K$5:$R$83,8,0)</f>
        <v>18.5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x14ac:dyDescent="0.25">
      <c r="A17" s="96"/>
      <c r="B17" s="107" t="str">
        <f>'Gebouwgegevens Tabula 2zone'!K11</f>
        <v>W6</v>
      </c>
      <c r="C17" s="108">
        <f>VLOOKUP(B17,'Gebouwgegevens Tabula 2zone'!$K$5:$R$83,3,0)</f>
        <v>1</v>
      </c>
      <c r="D17" s="108" t="str">
        <f>VLOOKUP(B17,'Gebouwgegevens Tabula 2zone'!$K$5:$R$83,4,0)</f>
        <v>Window</v>
      </c>
      <c r="E17" s="108">
        <f>VLOOKUP(B17,'Gebouwgegevens Tabula 2zone'!$K$5:$R$83,5,0)</f>
        <v>3.65</v>
      </c>
      <c r="F17" s="108" t="str">
        <f>VLOOKUP(B17,'Gebouwgegevens Tabula 2zone'!$K$5:$R$83,6,0)</f>
        <v>right</v>
      </c>
      <c r="G17" s="108">
        <f>VLOOKUP(B17,'Gebouwgegevens Tabula 2zone'!$K$5:$R$83,7,0)</f>
        <v>5</v>
      </c>
      <c r="H17" s="109">
        <f>VLOOKUP(B17,'Gebouwgegevens Tabula 2zone'!$K$5:$R$83,8,0)</f>
        <v>18.25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Tabula 2zone'!K12</f>
        <v>W7</v>
      </c>
      <c r="C18" s="108">
        <f>VLOOKUP(B18,'Gebouwgegevens Tabula 2zone'!$K$5:$R$83,3,0)</f>
        <v>1</v>
      </c>
      <c r="D18" s="108" t="str">
        <f>VLOOKUP(B18,'Gebouwgegevens Tabula 2zone'!$K$5:$R$83,4,0)</f>
        <v>Window</v>
      </c>
      <c r="E18" s="108">
        <f>VLOOKUP(B18,'Gebouwgegevens Tabula 2zone'!$K$5:$R$83,5,0)</f>
        <v>4.2</v>
      </c>
      <c r="F18" s="108" t="str">
        <f>VLOOKUP(B18,'Gebouwgegevens Tabula 2zone'!$K$5:$R$83,6,0)</f>
        <v>back</v>
      </c>
      <c r="G18" s="108">
        <f>VLOOKUP(B18,'Gebouwgegevens Tabula 2zone'!$K$5:$R$83,7,0)</f>
        <v>5</v>
      </c>
      <c r="H18" s="109">
        <f>VLOOKUP(B18,'Gebouwgegevens Tabula 2zone'!$K$5:$R$83,8,0)</f>
        <v>21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23171.675694331214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Tabula 2zone'!K13</f>
        <v>W8</v>
      </c>
      <c r="C19" s="108">
        <f>VLOOKUP(B19,'Gebouwgegevens Tabula 2zone'!$K$5:$R$83,3,0)</f>
        <v>1</v>
      </c>
      <c r="D19" s="108" t="str">
        <f>VLOOKUP(B19,'Gebouwgegevens Tabula 2zone'!$K$5:$R$83,4,0)</f>
        <v>Window</v>
      </c>
      <c r="E19" s="108">
        <f>VLOOKUP(B19,'Gebouwgegevens Tabula 2zone'!$K$5:$R$83,5,0)</f>
        <v>3.75</v>
      </c>
      <c r="F19" s="108" t="str">
        <f>VLOOKUP(B19,'Gebouwgegevens Tabula 2zone'!$K$5:$R$83,6,0)</f>
        <v>left</v>
      </c>
      <c r="G19" s="108">
        <f>VLOOKUP(B19,'Gebouwgegevens Tabula 2zone'!$K$5:$R$83,7,0)</f>
        <v>5</v>
      </c>
      <c r="H19" s="109">
        <f>VLOOKUP(B19,'Gebouwgegevens Tabula 2zone'!$K$5:$R$83,8,0)</f>
        <v>18.75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 2zone'!$K$5:$R$83,3,0)</f>
        <v>1</v>
      </c>
      <c r="D21" s="108" t="str">
        <f>VLOOKUP(B21,'Gebouwgegevens Tabula 2zone'!$K$5:$R$83,4,0)</f>
        <v>Roof</v>
      </c>
      <c r="E21" s="108">
        <f>VLOOKUP(B21,'Gebouwgegevens Tabula 2zone'!$K$5:$R$83,5,0)</f>
        <v>0</v>
      </c>
      <c r="F21" s="108">
        <f>VLOOKUP(B21,'Gebouwgegevens Tabula 2zone'!$K$5:$R$83,6,0)</f>
        <v>0</v>
      </c>
      <c r="G21" s="108">
        <f>VLOOKUP(B21,'Gebouwgegevens Tabula 2zone'!$K$5:$R$83,7,0)</f>
        <v>1.6605883333024791</v>
      </c>
      <c r="H21" s="109">
        <f>VLOOKUP(B21,'Gebouwgegevens Tabula 2zone'!$K$5:$R$83,8,0)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12096.827577838716</v>
      </c>
      <c r="X21" s="99"/>
      <c r="Y21" s="99"/>
    </row>
    <row r="22" spans="1:25" ht="16.5" customHeight="1" x14ac:dyDescent="0.25">
      <c r="A22" s="96"/>
      <c r="B22" s="107" t="str">
        <f>'Gebouwgegevens Allacker'!J16</f>
        <v>W11</v>
      </c>
      <c r="C22" s="108">
        <f>VLOOKUP(B22,'Gebouwgegevens Tabula 2zone'!$K$5:$R$83,3,0)</f>
        <v>1</v>
      </c>
      <c r="D22" s="108" t="str">
        <f>VLOOKUP(B22,'Gebouwgegevens Tabula 2zone'!$K$5:$R$83,4,0)</f>
        <v>Door</v>
      </c>
      <c r="E22" s="108">
        <f>VLOOKUP(B22,'Gebouwgegevens Tabula 2zone'!$K$5:$R$83,5,0)</f>
        <v>9.5</v>
      </c>
      <c r="F22" s="108">
        <f>VLOOKUP(B22,'Gebouwgegevens Tabula 2zone'!$K$5:$R$83,6,0)</f>
        <v>0</v>
      </c>
      <c r="G22" s="108">
        <f>VLOOKUP(B22,'Gebouwgegevens Tabula 2zone'!$K$5:$R$83,7,0)</f>
        <v>4</v>
      </c>
      <c r="H22" s="109">
        <f>VLOOKUP(B22,'Gebouwgegevens Tabula 2zone'!$K$5:$R$83,8,0)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 2zone'!$K$5:$R$83,3,0)</f>
        <v>1</v>
      </c>
      <c r="D28" s="118" t="str">
        <f>VLOOKUP(B28,'Gebouwgegevens Tabula 2zone'!$K$5:$R$83,4,0)</f>
        <v>Floor</v>
      </c>
      <c r="E28" s="118">
        <f>VLOOKUP(B28,'Gebouwgegevens Tabula 2zone'!$K$5:$R$83,5,0)</f>
        <v>88.800000000000011</v>
      </c>
      <c r="F28" s="118">
        <f>VLOOKUP(B28,'Gebouwgegevens Tabula 2zone'!$K$5:$R$83,7,0)</f>
        <v>2.8187919463087252</v>
      </c>
      <c r="G28" s="119">
        <f>VLOOKUP(B28,'Gebouwgegevens Tabula 2zone'!$K$5:$R$83,8,0)</f>
        <v>250.30872483221484</v>
      </c>
      <c r="H28" s="119">
        <f>N28/F28*1.45*(21-12)/(21+8)</f>
        <v>0.11782597138821799</v>
      </c>
      <c r="I28" s="118">
        <f>'Gebouwgegevens Tabula 2zone'!O14</f>
        <v>88.800000000000011</v>
      </c>
      <c r="J28" s="117">
        <f>SQRT(I28)*4</f>
        <v>37.693500766047194</v>
      </c>
      <c r="K28" s="117">
        <f>SUM('Gebouwgegevens Tabula 2zone'!Z16:Z19)</f>
        <v>0.16</v>
      </c>
      <c r="L28" s="120">
        <f>I28/(0.5*J28)</f>
        <v>4.7116875957558984</v>
      </c>
      <c r="M28" s="120">
        <f>K28+2*(1/F28)</f>
        <v>0.86952380952380948</v>
      </c>
      <c r="N28" s="121">
        <f>IF(M28&lt;L28,2*2/(PI()*L28+M28)*LN(PI()*L28/M28+1),2/(0.457*L28+M28))</f>
        <v>0.73805977603358031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>
        <f>1.1*W18</f>
        <v>25488.843263764338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 t="s">
        <v>98</v>
      </c>
      <c r="C33" s="123">
        <f>IF(VLOOKUP(B33,'Gebouwgegevens Tabula 2zone'!$K$5:$R$83,2,0)=B$6,VLOOKUP(B33,'Gebouwgegevens Tabula 2zone'!$K$5:$R$83,2,0),VLOOKUP(B33,'Gebouwgegevens Tabula 2zone'!$K$5:$R$83,3,0))</f>
        <v>1</v>
      </c>
      <c r="D33" s="123">
        <f>IF(VLOOKUP(B33,'Gebouwgegevens Tabula 2zone'!$K$5:$R$83,2,0)=B$6,VLOOKUP(B33,'Gebouwgegevens Tabula 2zone'!$K$5:$R$83,3,0),VLOOKUP(B33,'Gebouwgegevens Tabula 2zone'!$K$5:$R$83,2,0))</f>
        <v>2</v>
      </c>
      <c r="E33" s="123" t="str">
        <f>VLOOKUP(B33,'Gebouwgegevens Tabula 2zone'!$K$5:$R$83,4,0)</f>
        <v>Floor internal</v>
      </c>
      <c r="F33" s="123">
        <f>VLOOKUP(B33,'Gebouwgegevens Tabula 2zone'!$K$5:$R$83,5,0)</f>
        <v>104.6</v>
      </c>
      <c r="G33" s="123">
        <f>VLOOKUP('Verwarming Tabula 2zone'!C33,'Gebouwgegevens Tabula 2zone'!$A$34:$F$45,5,0)</f>
        <v>21</v>
      </c>
      <c r="H33" s="123">
        <f>VLOOKUP('Verwarming Tabula 2zone'!D33,'Gebouwgegevens Tabula 2zone'!$A$34:$F$45,5,0)</f>
        <v>18</v>
      </c>
      <c r="I33" s="123">
        <f>VLOOKUP(B33,'Gebouwgegevens Tabula 2zone'!$K$5:$R$83,7,0)</f>
        <v>1.4549653579676673</v>
      </c>
      <c r="J33" s="119">
        <f>VLOOKUP(B33,'Gebouwgegevens Tabula 2zone'!$K$5:$R$83,8,0)</f>
        <v>152.18937644341798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x14ac:dyDescent="0.25">
      <c r="A34" s="96"/>
      <c r="B34" s="122" t="s">
        <v>101</v>
      </c>
      <c r="C34" s="123">
        <f>IF(VLOOKUP(B34,'Gebouwgegevens Tabula 2zone'!$K$5:$R$83,2,0)=B$6,VLOOKUP(B34,'Gebouwgegevens Tabula 2zone'!$K$5:$R$83,2,0),VLOOKUP(B34,'Gebouwgegevens Tabula 2zone'!$K$5:$R$83,3,0))</f>
        <v>1</v>
      </c>
      <c r="D34" s="123">
        <f>IF(VLOOKUP(B34,'Gebouwgegevens Tabula 2zone'!$K$5:$R$83,2,0)=B$6,VLOOKUP(B34,'Gebouwgegevens Tabula 2zone'!$K$5:$R$83,3,0),VLOOKUP(B34,'Gebouwgegevens Tabula 2zone'!$K$5:$R$83,2,0))</f>
        <v>1</v>
      </c>
      <c r="E34" s="123" t="str">
        <f>VLOOKUP(B34,'Gebouwgegevens Tabula 2zone'!$K$5:$R$83,4,0)</f>
        <v>Wall internal</v>
      </c>
      <c r="F34" s="123">
        <f>VLOOKUP(B34,'Gebouwgegevens Tabula 2zone'!$K$5:$R$83,5,0)</f>
        <v>69.377869700103432</v>
      </c>
      <c r="G34" s="123">
        <f>VLOOKUP('Verwarming Tabula 2zone'!C34,'Gebouwgegevens Tabula 2zone'!$A$34:$F$45,5,0)</f>
        <v>21</v>
      </c>
      <c r="H34" s="123">
        <f>VLOOKUP('Verwarming Tabula 2zone'!D34,'Gebouwgegevens Tabula 2zone'!$A$34:$F$45,5,0)</f>
        <v>21</v>
      </c>
      <c r="I34" s="123">
        <f>VLOOKUP(B34,'Gebouwgegevens Tabula 2zone'!$K$5:$R$83,7,0)</f>
        <v>1.7363344051446945</v>
      </c>
      <c r="J34" s="119">
        <f>VLOOKUP(B34,'Gebouwgegevens Tabula 2zone'!$K$5:$R$83,8,0)</f>
        <v>120.46318211593521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277.30739110128485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8041.9143419372604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1" t="s">
        <v>197</v>
      </c>
      <c r="B45" s="311"/>
      <c r="C45" s="311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f>'Tabula data'!B34</f>
        <v>12.911792364115101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 2zone'!B34</f>
        <v>200.6492533383487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 2zone'!G34</f>
        <v>88.800000000000011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200.6492533383487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0.96688184066435712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68.220746135038567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1978.4016379161185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 2zone'!B7</f>
        <v>88.800000000000011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 2zone'!$B$4)</f>
        <v>33.682758620689661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976.80000000000018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379.21089585701304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10997.115979853377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1" t="s">
        <v>171</v>
      </c>
      <c r="B79" s="311"/>
      <c r="C79" s="311"/>
      <c r="D79" s="311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71</v>
      </c>
      <c r="C84" s="108">
        <f>VLOOKUP(B84,'Gebouwgegevens Tabula 2zone'!$K$5:$R$83,3,0)</f>
        <v>2</v>
      </c>
      <c r="D84" s="108" t="str">
        <f>VLOOKUP(B84,'Gebouwgegevens Tabula 2zone'!$K$5:$R$83,4,0)</f>
        <v>Wall External</v>
      </c>
      <c r="E84" s="108">
        <f>VLOOKUP(B84,'Gebouwgegevens Tabula 2zone'!$K$5:$R$83,5,0)</f>
        <v>19.815584446879509</v>
      </c>
      <c r="F84" s="108" t="str">
        <f>VLOOKUP(B84,'Gebouwgegevens Tabula 2zone'!$K$5:$R$83,6,0)</f>
        <v>front</v>
      </c>
      <c r="G84" s="108">
        <f>VLOOKUP(B84,'Gebouwgegevens Tabula 2zone'!$K$5:$R$83,7,0)</f>
        <v>1.6946440466045722</v>
      </c>
      <c r="H84" s="109">
        <f>VLOOKUP(B84,'Gebouwgegevens Tabula 2zone'!$K$5:$R$83,8,0)</f>
        <v>33.580362212894514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75</v>
      </c>
      <c r="C85" s="108">
        <f>VLOOKUP(B85,'Gebouwgegevens Tabula 2zone'!$K$5:$R$83,3,0)</f>
        <v>2</v>
      </c>
      <c r="D85" s="108" t="str">
        <f>VLOOKUP(B85,'Gebouwgegevens Tabula 2zone'!$K$5:$R$83,4,0)</f>
        <v>Wall External</v>
      </c>
      <c r="E85" s="108">
        <f>VLOOKUP(B85,'Gebouwgegevens Tabula 2zone'!$K$5:$R$83,5,0)</f>
        <v>42.090961406137552</v>
      </c>
      <c r="F85" s="108" t="str">
        <f>VLOOKUP(B85,'Gebouwgegevens Tabula 2zone'!$K$5:$R$83,6,0)</f>
        <v>right</v>
      </c>
      <c r="G85" s="108">
        <f>VLOOKUP(B85,'Gebouwgegevens Tabula 2zone'!$K$5:$R$83,7,0)</f>
        <v>1.6946440466045722</v>
      </c>
      <c r="H85" s="109">
        <f>VLOOKUP(B85,'Gebouwgegevens Tabula 2zone'!$K$5:$R$83,8,0)</f>
        <v>71.329197162773823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79</v>
      </c>
      <c r="C86" s="108">
        <f>VLOOKUP(B86,'Gebouwgegevens Tabula 2zone'!$K$5:$R$83,3,0)</f>
        <v>2</v>
      </c>
      <c r="D86" s="108" t="str">
        <f>VLOOKUP(B86,'Gebouwgegevens Tabula 2zone'!$K$5:$R$83,4,0)</f>
        <v>Wall External</v>
      </c>
      <c r="E86" s="108">
        <f>VLOOKUP(B86,'Gebouwgegevens Tabula 2zone'!$K$5:$R$83,5,0)</f>
        <v>19.815584446879509</v>
      </c>
      <c r="F86" s="108" t="str">
        <f>VLOOKUP(B86,'Gebouwgegevens Tabula 2zone'!$K$5:$R$83,6,0)</f>
        <v>back</v>
      </c>
      <c r="G86" s="108">
        <f>VLOOKUP(B86,'Gebouwgegevens Tabula 2zone'!$K$5:$R$83,7,0)</f>
        <v>1.6946440466045722</v>
      </c>
      <c r="H86" s="109">
        <f>VLOOKUP(B86,'Gebouwgegevens Tabula 2zone'!$K$5:$R$83,8,0)</f>
        <v>33.580362212894514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 t="s">
        <v>82</v>
      </c>
      <c r="C87" s="108">
        <f>VLOOKUP(B87,'Gebouwgegevens Tabula 2zone'!$K$5:$R$83,3,0)</f>
        <v>2</v>
      </c>
      <c r="D87" s="108" t="str">
        <f>VLOOKUP(B87,'Gebouwgegevens Tabula 2zone'!$K$5:$R$83,4,0)</f>
        <v>Wall External</v>
      </c>
      <c r="E87" s="108">
        <f>VLOOKUP(B87,'Gebouwgegevens Tabula 2zone'!$K$5:$R$83,5,0)</f>
        <v>0</v>
      </c>
      <c r="F87" s="108" t="str">
        <f>VLOOKUP(B87,'Gebouwgegevens Tabula 2zone'!$K$5:$R$83,6,0)</f>
        <v>left</v>
      </c>
      <c r="G87" s="108">
        <f>VLOOKUP(B87,'Gebouwgegevens Tabula 2zone'!$K$5:$R$83,7,0)</f>
        <v>1.6946440466045722</v>
      </c>
      <c r="H87" s="109">
        <f>VLOOKUP(B87,'Gebouwgegevens Tabula 2zone'!$K$5:$R$83,8,0)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 t="s">
        <v>84</v>
      </c>
      <c r="C88" s="108">
        <f>VLOOKUP(B88,'Gebouwgegevens Tabula 2zone'!$K$5:$R$83,3,0)</f>
        <v>2</v>
      </c>
      <c r="D88" s="108" t="str">
        <f>VLOOKUP(B88,'Gebouwgegevens Tabula 2zone'!$K$5:$R$83,4,0)</f>
        <v>Window</v>
      </c>
      <c r="E88" s="108">
        <f>VLOOKUP(B88,'Gebouwgegevens Tabula 2zone'!$K$5:$R$83,5,0)</f>
        <v>3.7</v>
      </c>
      <c r="F88" s="108" t="str">
        <f>VLOOKUP(B88,'Gebouwgegevens Tabula 2zone'!$K$5:$R$83,6,0)</f>
        <v>front</v>
      </c>
      <c r="G88" s="108">
        <f>VLOOKUP(B88,'Gebouwgegevens Tabula 2zone'!$K$5:$R$83,7,0)</f>
        <v>5</v>
      </c>
      <c r="H88" s="109">
        <f>VLOOKUP(B88,'Gebouwgegevens Tabula 2zone'!$K$5:$R$83,8,0)</f>
        <v>18.5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 t="s">
        <v>87</v>
      </c>
      <c r="C89" s="108">
        <f>VLOOKUP(B89,'Gebouwgegevens Tabula 2zone'!$K$5:$R$83,3,0)</f>
        <v>2</v>
      </c>
      <c r="D89" s="108" t="str">
        <f>VLOOKUP(B89,'Gebouwgegevens Tabula 2zone'!$K$5:$R$83,4,0)</f>
        <v>Window</v>
      </c>
      <c r="E89" s="108">
        <f>VLOOKUP(B89,'Gebouwgegevens Tabula 2zone'!$K$5:$R$83,5,0)</f>
        <v>3.65</v>
      </c>
      <c r="F89" s="108" t="str">
        <f>VLOOKUP(B89,'Gebouwgegevens Tabula 2zone'!$K$5:$R$83,6,0)</f>
        <v>right</v>
      </c>
      <c r="G89" s="108">
        <f>VLOOKUP(B89,'Gebouwgegevens Tabula 2zone'!$K$5:$R$83,7,0)</f>
        <v>5</v>
      </c>
      <c r="H89" s="109">
        <f>VLOOKUP(B89,'Gebouwgegevens Tabula 2zone'!$K$5:$R$83,8,0)</f>
        <v>18.25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 t="s">
        <v>89</v>
      </c>
      <c r="C90" s="108">
        <f>VLOOKUP(B90,'Gebouwgegevens Tabula 2zone'!$K$5:$R$83,3,0)</f>
        <v>2</v>
      </c>
      <c r="D90" s="108" t="str">
        <f>VLOOKUP(B90,'Gebouwgegevens Tabula 2zone'!$K$5:$R$83,4,0)</f>
        <v>Window</v>
      </c>
      <c r="E90" s="108">
        <f>VLOOKUP(B90,'Gebouwgegevens Tabula 2zone'!$K$5:$R$83,5,0)</f>
        <v>4.2</v>
      </c>
      <c r="F90" s="108" t="str">
        <f>VLOOKUP(B90,'Gebouwgegevens Tabula 2zone'!$K$5:$R$83,6,0)</f>
        <v>back</v>
      </c>
      <c r="G90" s="108">
        <f>VLOOKUP(B90,'Gebouwgegevens Tabula 2zone'!$K$5:$R$83,7,0)</f>
        <v>5</v>
      </c>
      <c r="H90" s="109">
        <f>VLOOKUP(B90,'Gebouwgegevens Tabula 2zone'!$K$5:$R$83,8,0)</f>
        <v>21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 t="s">
        <v>92</v>
      </c>
      <c r="C91" s="108">
        <f>VLOOKUP(B91,'Gebouwgegevens Tabula 2zone'!$K$5:$R$83,3,0)</f>
        <v>2</v>
      </c>
      <c r="D91" s="108" t="str">
        <f>VLOOKUP(B91,'Gebouwgegevens Tabula 2zone'!$K$5:$R$83,4,0)</f>
        <v>Window</v>
      </c>
      <c r="E91" s="108">
        <f>VLOOKUP(B91,'Gebouwgegevens Tabula 2zone'!$K$5:$R$83,5,0)</f>
        <v>3.75</v>
      </c>
      <c r="F91" s="108" t="str">
        <f>VLOOKUP(B91,'Gebouwgegevens Tabula 2zone'!$K$5:$R$83,6,0)</f>
        <v>left</v>
      </c>
      <c r="G91" s="108">
        <f>VLOOKUP(B91,'Gebouwgegevens Tabula 2zone'!$K$5:$R$83,7,0)</f>
        <v>5</v>
      </c>
      <c r="H91" s="109">
        <f>VLOOKUP(B91,'Gebouwgegevens Tabula 2zone'!$K$5:$R$83,8,0)</f>
        <v>18.75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 t="s">
        <v>96</v>
      </c>
      <c r="C92" s="108">
        <f>VLOOKUP(B92,'Gebouwgegevens Tabula 2zone'!$K$5:$R$83,3,0)</f>
        <v>2</v>
      </c>
      <c r="D92" s="108" t="str">
        <f>VLOOKUP(B92,'Gebouwgegevens Tabula 2zone'!$K$5:$R$83,4,0)</f>
        <v>Roof</v>
      </c>
      <c r="E92" s="108">
        <f>VLOOKUP(B92,'Gebouwgegevens Tabula 2zone'!$K$5:$R$83,5,0)</f>
        <v>101.4</v>
      </c>
      <c r="F92" s="108" t="str">
        <f>VLOOKUP(B92,'Gebouwgegevens Tabula 2zone'!$K$5:$R$83,6,0)</f>
        <v>front/back</v>
      </c>
      <c r="G92" s="108">
        <f>VLOOKUP(B92,'Gebouwgegevens Tabula 2zone'!$K$5:$R$83,7,0)</f>
        <v>1.6605883333024791</v>
      </c>
      <c r="H92" s="109">
        <f>VLOOKUP(B92,'Gebouwgegevens Tabula 2zone'!$K$5:$R$83,8,0)</f>
        <v>168.38365699687139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98</v>
      </c>
      <c r="C108" s="123">
        <f>IF(VLOOKUP(B108,'Gebouwgegevens Tabula 2zone'!$K$5:$R$83,2,0)=$B$78,VLOOKUP(B108,'Gebouwgegevens Tabula 2zone'!$K$5:$R$83,2,0),VLOOKUP(B108,'Gebouwgegevens Tabula 2zone'!$K$5:$R$83,3,0))</f>
        <v>2</v>
      </c>
      <c r="D108" s="123">
        <f>IF(VLOOKUP(B108,'Gebouwgegevens Tabula 2zone'!$K$5:$R$83,2,0)=$B$78,VLOOKUP(B108,'Gebouwgegevens Tabula 2zone'!$K$5:$R$83,3,0),VLOOKUP(B108,'Gebouwgegevens Tabula 2zone'!$K$5:$R$83,2,0))</f>
        <v>1</v>
      </c>
      <c r="E108" s="123" t="str">
        <f>VLOOKUP(B108,'Gebouwgegevens Tabula 2zone'!$K$5:$R$83,4,0)</f>
        <v>Floor internal</v>
      </c>
      <c r="F108" s="123">
        <f>VLOOKUP(B108,'Gebouwgegevens Tabula 2zone'!$K$5:$R$83,5,0)</f>
        <v>104.6</v>
      </c>
      <c r="G108" s="123">
        <f>VLOOKUP('Verwarming Tabula 2zone'!C108,'Gebouwgegevens Tabula 2zone'!$A$34:$F$45,5,0)</f>
        <v>18</v>
      </c>
      <c r="H108" s="123">
        <f>VLOOKUP('Verwarming Tabula 2zone'!D108,'Gebouwgegevens Tabula 2zone'!$A$34:$F$45,5,0)</f>
        <v>21</v>
      </c>
      <c r="I108" s="123">
        <f>VLOOKUP(B108,'Gebouwgegevens Tabula 2zone'!$K$5:$R$83,7,0)</f>
        <v>1.4549653579676673</v>
      </c>
      <c r="J108" s="119">
        <f>VLOOKUP(B108,'Gebouwgegevens Tabula 2zone'!$K$5:$R$83,8,0)</f>
        <v>152.18937644341798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102</v>
      </c>
      <c r="C109" s="123">
        <f>IF(VLOOKUP(B109,'Gebouwgegevens Tabula 2zone'!$K$5:$R$83,2,0)=$B$78,VLOOKUP(B109,'Gebouwgegevens Tabula 2zone'!$K$5:$R$83,2,0),VLOOKUP(B109,'Gebouwgegevens Tabula 2zone'!$K$5:$R$83,3,0))</f>
        <v>2</v>
      </c>
      <c r="D109" s="123">
        <f>IF(VLOOKUP(B109,'Gebouwgegevens Tabula 2zone'!$K$5:$R$83,2,0)=$B$78,VLOOKUP(B109,'Gebouwgegevens Tabula 2zone'!$K$5:$R$83,3,0),VLOOKUP(B109,'Gebouwgegevens Tabula 2zone'!$K$5:$R$83,2,0))</f>
        <v>2</v>
      </c>
      <c r="E109" s="123" t="str">
        <f>VLOOKUP(B109,'Gebouwgegevens Tabula 2zone'!$K$5:$R$83,4,0)</f>
        <v>Wall internal</v>
      </c>
      <c r="F109" s="123">
        <f>VLOOKUP(B109,'Gebouwgegevens Tabula 2zone'!$K$5:$R$83,5,0)</f>
        <v>81.722130299896577</v>
      </c>
      <c r="G109" s="123">
        <f>VLOOKUP('Verwarming Tabula 2zone'!C109,'Gebouwgegevens Tabula 2zone'!$A$34:$F$45,5,0)</f>
        <v>18</v>
      </c>
      <c r="H109" s="123">
        <f>VLOOKUP('Verwarming Tabula 2zone'!D109,'Gebouwgegevens Tabula 2zone'!$A$34:$F$45,5,0)</f>
        <v>18</v>
      </c>
      <c r="I109" s="123">
        <f>VLOOKUP(B109,'Gebouwgegevens Tabula 2zone'!$K$5:$R$83,7,0)</f>
        <v>1.7363344051446945</v>
      </c>
      <c r="J109" s="119">
        <f>VLOOKUP(B109,'Gebouwgegevens Tabula 2zone'!$K$5:$R$83,8,0)</f>
        <v>141.89694650142815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365.81326591888603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9511.1449138910375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1" t="s">
        <v>197</v>
      </c>
      <c r="B124" s="311"/>
      <c r="C124" s="311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f>'Tabula data'!B34</f>
        <v>12.911792364115101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Tabula 2zone'!$A$34:$F$45,2,0)*B127*B128*B129</f>
        <v>171.13289599398152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'Gebouwgegevens Tabula 2zone'!G35</f>
        <v>104.6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/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171.13289599398152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1.0730142455481384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0.34*(B137+B131)</f>
        <v>58.185184637953718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1512.8148005867968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B133</f>
        <v>104.6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 2zone'!$B$4)</f>
        <v>143.82499999999999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1150.5999999999999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>
        <f>SUM(B121,B139,B146)</f>
        <v>567.82345055683982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12174.559714477835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1" t="s">
        <v>171</v>
      </c>
      <c r="B159" s="311"/>
      <c r="C159" s="311"/>
      <c r="D159" s="311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2zone'!C188,'Gebouwgegevens Allacker'!$A$35:$F$46,5,0)</f>
        <v>#N/A</v>
      </c>
      <c r="H188" s="123" t="e">
        <f>VLOOKUP('Verwarming Tabula 2zone'!D188,'Gebouwgegevens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2zone'!C189,'Gebouwgegevens Allacker'!$A$35:$F$46,5,0)</f>
        <v>#N/A</v>
      </c>
      <c r="H189" s="123" t="e">
        <f>VLOOKUP('Verwarming Tabula 2zone'!D189,'Gebouwgegevens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2zone'!C190,'Gebouwgegevens Allacker'!$A$35:$F$46,5,0)</f>
        <v>#N/A</v>
      </c>
      <c r="H190" s="123" t="e">
        <f>VLOOKUP('Verwarming Tabula 2zone'!D190,'Gebouwgegevens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1" t="s">
        <v>197</v>
      </c>
      <c r="B204" s="311"/>
      <c r="C204" s="311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1" t="s">
        <v>171</v>
      </c>
      <c r="B238" s="311"/>
      <c r="C238" s="311"/>
      <c r="D238" s="311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2zone'!C267,'Gebouwgegevens Allacker'!$A$35:$F$46,5,0)</f>
        <v>#N/A</v>
      </c>
      <c r="H267" s="123" t="e">
        <f>VLOOKUP('Verwarming Tabula 2zone'!D267,'Gebouwgegevens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2zone'!C268,'Gebouwgegevens Allacker'!$A$35:$F$46,5,0)</f>
        <v>#N/A</v>
      </c>
      <c r="H268" s="123" t="e">
        <f>VLOOKUP('Verwarming Tabula 2zone'!D268,'Gebouwgegevens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2zone'!C269,'Gebouwgegevens Allacker'!$A$35:$F$46,5,0)</f>
        <v>#N/A</v>
      </c>
      <c r="H269" s="123" t="e">
        <f>VLOOKUP('Verwarming Tabula 2zone'!D269,'Gebouwgegevens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2zone'!C270,'Gebouwgegevens Allacker'!$A$35:$F$46,5,0)</f>
        <v>#N/A</v>
      </c>
      <c r="H270" s="123" t="e">
        <f>VLOOKUP('Verwarming Tabula 2zone'!D270,'Gebouwgegevens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1" t="s">
        <v>197</v>
      </c>
      <c r="B283" s="311"/>
      <c r="C283" s="311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1" t="s">
        <v>171</v>
      </c>
      <c r="B317" s="311"/>
      <c r="C317" s="311"/>
      <c r="D317" s="311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2zone'!C346,'Gebouwgegevens Allacker'!$A$35:$F$46,5,0)</f>
        <v>#N/A</v>
      </c>
      <c r="H346" s="123" t="e">
        <f>VLOOKUP('Verwarming Tabula 2zone'!D346,'Gebouwgegevens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2zone'!C347,'Gebouwgegevens Allacker'!$A$35:$F$46,5,0)</f>
        <v>#N/A</v>
      </c>
      <c r="H347" s="123" t="e">
        <f>VLOOKUP('Verwarming Tabula 2zone'!D347,'Gebouwgegevens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2zone'!C348,'Gebouwgegevens Allacker'!$A$35:$F$46,5,0)</f>
        <v>#N/A</v>
      </c>
      <c r="H348" s="123" t="e">
        <f>VLOOKUP('Verwarming Tabula 2zone'!D348,'Gebouwgegevens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2zone'!C349,'Gebouwgegevens Allacker'!$A$35:$F$46,5,0)</f>
        <v>#N/A</v>
      </c>
      <c r="H349" s="123" t="e">
        <f>VLOOKUP('Verwarming Tabula 2zone'!D349,'Gebouwgegevens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2zone'!C350,'Gebouwgegevens Allacker'!$A$35:$F$46,5,0)</f>
        <v>#N/A</v>
      </c>
      <c r="H350" s="123" t="e">
        <f>VLOOKUP('Verwarming Tabula 2zone'!D350,'Gebouwgegevens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1" t="s">
        <v>197</v>
      </c>
      <c r="B362" s="311"/>
      <c r="C362" s="311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1" t="s">
        <v>171</v>
      </c>
      <c r="B395" s="311"/>
      <c r="C395" s="311"/>
      <c r="D395" s="311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2zone'!C424,'Gebouwgegevens Allacker'!$A$35:$F$46,5,0)</f>
        <v>#N/A</v>
      </c>
      <c r="H424" s="123" t="e">
        <f>VLOOKUP('Verwarming Tabula 2zone'!D424,'Gebouwgegevens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2zone'!C425,'Gebouwgegevens Allacker'!$A$35:$F$46,5,0)</f>
        <v>#N/A</v>
      </c>
      <c r="H425" s="123" t="e">
        <f>VLOOKUP('Verwarming Tabula 2zone'!D425,'Gebouwgegevens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2zone'!C426,'Gebouwgegevens Allacker'!$A$35:$F$46,5,0)</f>
        <v>#N/A</v>
      </c>
      <c r="H426" s="123" t="e">
        <f>VLOOKUP('Verwarming Tabula 2zone'!D426,'Gebouwgegevens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2zone'!C427,'Gebouwgegevens Allacker'!$A$35:$F$46,5,0)</f>
        <v>#N/A</v>
      </c>
      <c r="H427" s="123" t="e">
        <f>VLOOKUP('Verwarming Tabula 2zone'!D427,'Gebouwgegevens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2zone'!C428,'Gebouwgegevens Allacker'!$A$35:$F$46,5,0)</f>
        <v>#N/A</v>
      </c>
      <c r="H428" s="123" t="e">
        <f>VLOOKUP('Verwarming Tabula 2zone'!D428,'Gebouwgegevens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1" t="s">
        <v>197</v>
      </c>
      <c r="B440" s="311"/>
      <c r="C440" s="311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1" t="s">
        <v>171</v>
      </c>
      <c r="B473" s="311"/>
      <c r="C473" s="311"/>
      <c r="D473" s="311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2zone'!C502,'Gebouwgegevens Allacker'!$A$35:$F$46,5,0)</f>
        <v>#N/A</v>
      </c>
      <c r="H502" s="123" t="e">
        <f>VLOOKUP('Verwarming Tabula 2zone'!D502,'Gebouwgegevens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2zone'!C503,'Gebouwgegevens Allacker'!$A$35:$F$46,5,0)</f>
        <v>#N/A</v>
      </c>
      <c r="H503" s="123" t="e">
        <f>VLOOKUP('Verwarming Tabula 2zone'!D503,'Gebouwgegevens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2zone'!C504,'Gebouwgegevens Allacker'!$A$35:$F$46,5,0)</f>
        <v>#N/A</v>
      </c>
      <c r="H504" s="123" t="e">
        <f>VLOOKUP('Verwarming Tabula 2zone'!D504,'Gebouwgegevens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1" t="s">
        <v>197</v>
      </c>
      <c r="B518" s="311"/>
      <c r="C518" s="311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1" t="s">
        <v>171</v>
      </c>
      <c r="B552" s="311"/>
      <c r="C552" s="311"/>
      <c r="D552" s="311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2zone'!C581,'Gebouwgegevens Allacker'!$A$35:$F$46,5,0)</f>
        <v>#N/A</v>
      </c>
      <c r="H581" s="123" t="e">
        <f>VLOOKUP('Verwarming Tabula 2zone'!D581,'Gebouwgegevens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2zone'!C582,'Gebouwgegevens Allacker'!$A$35:$F$46,5,0)</f>
        <v>#N/A</v>
      </c>
      <c r="H582" s="123" t="e">
        <f>VLOOKUP('Verwarming Tabula 2zone'!D582,'Gebouwgegevens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2zone'!C583,'Gebouwgegevens Allacker'!$A$35:$F$46,5,0)</f>
        <v>#N/A</v>
      </c>
      <c r="H583" s="123" t="e">
        <f>VLOOKUP('Verwarming Tabula 2zone'!D583,'Gebouwgegevens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1" t="s">
        <v>197</v>
      </c>
      <c r="B597" s="311"/>
      <c r="C597" s="311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1" t="s">
        <v>171</v>
      </c>
      <c r="B631" s="311"/>
      <c r="C631" s="311"/>
      <c r="D631" s="311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2zone'!C660,'Gebouwgegevens Allacker'!$A$35:$F$46,5,0)</f>
        <v>#N/A</v>
      </c>
      <c r="H660" s="123" t="e">
        <f>VLOOKUP('Verwarming Tabula 2zone'!D660,'Gebouwgegevens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2zone'!C661,'Gebouwgegevens Allacker'!$A$35:$F$46,5,0)</f>
        <v>#N/A</v>
      </c>
      <c r="H661" s="123" t="e">
        <f>VLOOKUP('Verwarming Tabula 2zone'!D661,'Gebouwgegevens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1" t="s">
        <v>197</v>
      </c>
      <c r="B676" s="311"/>
      <c r="C676" s="311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1" t="s">
        <v>171</v>
      </c>
      <c r="B710" s="311"/>
      <c r="C710" s="311"/>
      <c r="D710" s="311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2zone'!C739,'Gebouwgegevens Allacker'!$A$35:$F$46,5,0)</f>
        <v>#N/A</v>
      </c>
      <c r="H739" s="123" t="e">
        <f>VLOOKUP('Verwarming Tabula 2zone'!D739,'Gebouwgegevens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2zone'!C740,'Gebouwgegevens Allacker'!$A$35:$F$46,5,0)</f>
        <v>#N/A</v>
      </c>
      <c r="H740" s="123" t="e">
        <f>VLOOKUP('Verwarming Tabula 2zone'!D740,'Gebouwgegevens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2zone'!C741,'Gebouwgegevens Allacker'!$A$35:$F$46,5,0)</f>
        <v>#N/A</v>
      </c>
      <c r="H741" s="123" t="e">
        <f>VLOOKUP('Verwarming Tabula 2zone'!D741,'Gebouwgegevens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2zone'!C742,'Gebouwgegevens Allacker'!$A$35:$F$46,5,0)</f>
        <v>#N/A</v>
      </c>
      <c r="H742" s="123" t="e">
        <f>VLOOKUP('Verwarming Tabula 2zone'!D742,'Gebouwgegevens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2zone'!C743,'Gebouwgegevens Allacker'!$A$35:$F$46,5,0)</f>
        <v>#N/A</v>
      </c>
      <c r="H743" s="123" t="e">
        <f>VLOOKUP('Verwarming Tabula 2zone'!D743,'Gebouwgegevens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2zone'!C744,'Gebouwgegevens Allacker'!$A$35:$F$46,5,0)</f>
        <v>#N/A</v>
      </c>
      <c r="H744" s="123" t="e">
        <f>VLOOKUP('Verwarming Tabula 2zone'!D744,'Gebouwgegevens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2zone'!C745,'Gebouwgegevens Allacker'!$A$35:$F$46,5,0)</f>
        <v>#N/A</v>
      </c>
      <c r="H745" s="123" t="e">
        <f>VLOOKUP('Verwarming Tabula 2zone'!D745,'Gebouwgegevens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2zone'!C746,'Gebouwgegevens Allacker'!$A$35:$F$46,5,0)</f>
        <v>#N/A</v>
      </c>
      <c r="H746" s="123" t="e">
        <f>VLOOKUP('Verwarming Tabula 2zone'!D746,'Gebouwgegevens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2zone'!C747,'Gebouwgegevens Allacker'!$A$35:$F$46,5,0)</f>
        <v>#N/A</v>
      </c>
      <c r="H747" s="123" t="e">
        <f>VLOOKUP('Verwarming Tabula 2zone'!D747,'Gebouwgegevens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2zone'!C748,'Gebouwgegevens Allacker'!$A$35:$F$46,5,0)</f>
        <v>#N/A</v>
      </c>
      <c r="H748" s="123" t="e">
        <f>VLOOKUP('Verwarming Tabula 2zone'!D748,'Gebouwgegevens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2zone'!C749,'Gebouwgegevens Allacker'!$A$35:$F$46,5,0)</f>
        <v>#N/A</v>
      </c>
      <c r="H749" s="123" t="e">
        <f>VLOOKUP('Verwarming Tabula 2zone'!D749,'Gebouwgegevens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2zone'!C750,'Gebouwgegevens Allacker'!$A$35:$F$46,5,0)</f>
        <v>#N/A</v>
      </c>
      <c r="H750" s="123" t="e">
        <f>VLOOKUP('Verwarming Tabula 2zone'!D750,'Gebouwgegevens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1" t="s">
        <v>197</v>
      </c>
      <c r="B755" s="311"/>
      <c r="C755" s="311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85" zoomScaleNormal="85" workbookViewId="0">
      <selection activeCell="E130" sqref="E130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5"/>
      <c r="W4" s="285"/>
      <c r="X4" s="285"/>
      <c r="Y4" s="95"/>
    </row>
    <row r="5" spans="1:25" ht="18" customHeight="1" thickTop="1" thickBot="1" x14ac:dyDescent="0.3">
      <c r="A5" s="9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95"/>
      <c r="U5" s="96"/>
      <c r="V5" s="306" t="s">
        <v>168</v>
      </c>
      <c r="W5" s="306"/>
      <c r="X5" s="306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5"/>
      <c r="Y6" s="97"/>
    </row>
    <row r="7" spans="1:25" ht="16.5" customHeight="1" thickTop="1" x14ac:dyDescent="0.25">
      <c r="A7" s="311" t="s">
        <v>171</v>
      </c>
      <c r="B7" s="311"/>
      <c r="C7" s="311"/>
      <c r="D7" s="311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95"/>
      <c r="U7" s="96"/>
      <c r="V7" s="102">
        <f>B6</f>
        <v>1</v>
      </c>
      <c r="W7" s="103">
        <f>B73</f>
        <v>5431.2788414832585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2876.4679265085988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Ref1'!J6</f>
        <v>W1</v>
      </c>
      <c r="C12" s="108">
        <f>VLOOKUP(B12,'Tabula Ref1'!$J$5:$Q$83,3,0)</f>
        <v>1</v>
      </c>
      <c r="D12" s="108" t="str">
        <f>VLOOKUP(B12,'Tabula Ref1'!$J$5:$Q$83,4,0)</f>
        <v>Wall External</v>
      </c>
      <c r="E12" s="108">
        <f>VLOOKUP(B12,'Tabula Ref1'!$J$5:$Q$83,5,0)</f>
        <v>16.822408211117601</v>
      </c>
      <c r="F12" s="108" t="str">
        <f>VLOOKUP(B12,'Tabula Ref1'!$J$5:$Q$83,6,0)</f>
        <v>front</v>
      </c>
      <c r="G12" s="108">
        <f>VLOOKUP(B12,'Tabula Ref1'!$J$5:$Q$83,7,0)</f>
        <v>0.29056172075831888</v>
      </c>
      <c r="H12" s="109">
        <f>VLOOKUP(B12,'Tabula Ref1'!$J$5:$Q$83,8,0)</f>
        <v>4.8879478771212028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Ref1'!J7</f>
        <v>W2</v>
      </c>
      <c r="C13" s="108">
        <f>VLOOKUP(B13,'Tabula Ref1'!$J$5:$Q$83,3,0)</f>
        <v>1</v>
      </c>
      <c r="D13" s="108" t="str">
        <f>VLOOKUP(B13,'Tabula Ref1'!$J$5:$Q$83,4,0)</f>
        <v>Wall External</v>
      </c>
      <c r="E13" s="108">
        <f>VLOOKUP(B13,'Tabula Ref1'!$J$5:$Q$83,5,0)</f>
        <v>35.733053277868223</v>
      </c>
      <c r="F13" s="108" t="str">
        <f>VLOOKUP(B13,'Tabula Ref1'!$J$5:$Q$83,6,0)</f>
        <v>right</v>
      </c>
      <c r="G13" s="108">
        <f>VLOOKUP(B13,'Tabula Ref1'!$J$5:$Q$83,7,0)</f>
        <v>0.29056172075831888</v>
      </c>
      <c r="H13" s="109">
        <f>VLOOKUP(B13,'Tabula Ref1'!$J$5:$Q$83,8,0)</f>
        <v>10.382657448366077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Ref1'!J8</f>
        <v>W3</v>
      </c>
      <c r="C14" s="108">
        <f>VLOOKUP(B14,'Tabula Ref1'!$J$5:$Q$83,3,0)</f>
        <v>1</v>
      </c>
      <c r="D14" s="108" t="str">
        <f>VLOOKUP(B14,'Tabula Ref1'!$J$5:$Q$83,4,0)</f>
        <v>Wall External</v>
      </c>
      <c r="E14" s="108">
        <f>VLOOKUP(B14,'Tabula Ref1'!$J$5:$Q$83,5,0)</f>
        <v>16.822408211117601</v>
      </c>
      <c r="F14" s="108" t="str">
        <f>VLOOKUP(B14,'Tabula Ref1'!$J$5:$Q$83,6,0)</f>
        <v>back</v>
      </c>
      <c r="G14" s="108">
        <f>VLOOKUP(B14,'Tabula Ref1'!$J$5:$Q$83,7,0)</f>
        <v>0.29056172075831888</v>
      </c>
      <c r="H14" s="109">
        <f>VLOOKUP(B14,'Tabula Ref1'!$J$5:$Q$83,8,0)</f>
        <v>4.8879478771212028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Ref1'!J9</f>
        <v>W4</v>
      </c>
      <c r="C15" s="108">
        <f>VLOOKUP(B15,'Tabula Ref1'!$J$5:$Q$83,3,0)</f>
        <v>1</v>
      </c>
      <c r="D15" s="108" t="str">
        <f>VLOOKUP(B15,'Tabula Ref1'!$J$5:$Q$83,4,0)</f>
        <v>Wall External</v>
      </c>
      <c r="E15" s="108">
        <f>VLOOKUP(B15,'Tabula Ref1'!$J$5:$Q$83,5,0)</f>
        <v>0</v>
      </c>
      <c r="F15" s="108" t="str">
        <f>VLOOKUP(B15,'Tabula Ref1'!$J$5:$Q$83,6,0)</f>
        <v>left</v>
      </c>
      <c r="G15" s="108">
        <f>VLOOKUP(B15,'Tabula Ref1'!$J$5:$Q$83,7,0)</f>
        <v>0.29056172075831888</v>
      </c>
      <c r="H15" s="109">
        <f>VLOOKUP(B15,'Tabula Ref1'!$J$5:$Q$83,8,0)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Ref1'!J10</f>
        <v>W5</v>
      </c>
      <c r="C16" s="108">
        <f>VLOOKUP(B16,'Tabula Ref1'!$J$5:$Q$83,3,0)</f>
        <v>1</v>
      </c>
      <c r="D16" s="108" t="str">
        <f>VLOOKUP(B16,'Tabula Ref1'!$J$5:$Q$83,4,0)</f>
        <v>Window</v>
      </c>
      <c r="E16" s="108">
        <f>VLOOKUP(B16,'Tabula Ref1'!$J$5:$Q$83,5,0)</f>
        <v>5.9200000000000008</v>
      </c>
      <c r="F16" s="108" t="str">
        <f>VLOOKUP(B16,'Tabula Ref1'!$J$5:$Q$83,6,0)</f>
        <v>front</v>
      </c>
      <c r="G16" s="108">
        <f>VLOOKUP(B16,'Tabula Ref1'!$J$5:$Q$83,7,0)</f>
        <v>2</v>
      </c>
      <c r="H16" s="109">
        <f>VLOOKUP(B16,'Tabula Ref1'!$J$5:$Q$83,8,0)</f>
        <v>11.840000000000002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Ref1'!J11</f>
        <v>W6</v>
      </c>
      <c r="C17" s="108">
        <f>VLOOKUP(B17,'Tabula Ref1'!$J$5:$Q$83,3,0)</f>
        <v>1</v>
      </c>
      <c r="D17" s="108" t="str">
        <f>VLOOKUP(B17,'Tabula Ref1'!$J$5:$Q$83,4,0)</f>
        <v>Window</v>
      </c>
      <c r="E17" s="108">
        <f>VLOOKUP(B17,'Tabula Ref1'!$J$5:$Q$83,5,0)</f>
        <v>5.84</v>
      </c>
      <c r="F17" s="108" t="str">
        <f>VLOOKUP(B17,'Tabula Ref1'!$J$5:$Q$83,6,0)</f>
        <v>right</v>
      </c>
      <c r="G17" s="108">
        <f>VLOOKUP(B17,'Tabula Ref1'!$J$5:$Q$83,7,0)</f>
        <v>2</v>
      </c>
      <c r="H17" s="109">
        <f>VLOOKUP(B17,'Tabula Ref1'!$J$5:$Q$83,8,0)</f>
        <v>11.68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Ref1'!J12</f>
        <v>W7</v>
      </c>
      <c r="C18" s="108">
        <f>VLOOKUP(B18,'Tabula Ref1'!$J$5:$Q$83,3,0)</f>
        <v>1</v>
      </c>
      <c r="D18" s="108" t="str">
        <f>VLOOKUP(B18,'Tabula Ref1'!$J$5:$Q$83,4,0)</f>
        <v>Window</v>
      </c>
      <c r="E18" s="108">
        <f>VLOOKUP(B18,'Tabula Ref1'!$J$5:$Q$83,5,0)</f>
        <v>6.7200000000000006</v>
      </c>
      <c r="F18" s="108" t="str">
        <f>VLOOKUP(B18,'Tabula Ref1'!$J$5:$Q$83,6,0)</f>
        <v>back</v>
      </c>
      <c r="G18" s="108">
        <f>VLOOKUP(B18,'Tabula Ref1'!$J$5:$Q$83,7,0)</f>
        <v>2</v>
      </c>
      <c r="H18" s="109">
        <f>VLOOKUP(B18,'Tabula Ref1'!$J$5:$Q$83,8,0)</f>
        <v>13.440000000000001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8307.7467679918573</v>
      </c>
      <c r="X18" s="285" t="s">
        <v>172</v>
      </c>
      <c r="Y18" s="97"/>
    </row>
    <row r="19" spans="1:25" ht="16.5" customHeight="1" thickTop="1" thickBot="1" x14ac:dyDescent="0.3">
      <c r="A19" s="96"/>
      <c r="B19" s="107" t="str">
        <f>'Tabula Ref1'!J13</f>
        <v>W8</v>
      </c>
      <c r="C19" s="108">
        <f>VLOOKUP(B19,'Tabula Ref1'!$J$5:$Q$83,3,0)</f>
        <v>1</v>
      </c>
      <c r="D19" s="108" t="str">
        <f>VLOOKUP(B19,'Tabula Ref1'!$J$5:$Q$83,4,0)</f>
        <v>Window</v>
      </c>
      <c r="E19" s="108">
        <f>VLOOKUP(B19,'Tabula Ref1'!$J$5:$Q$83,5,0)</f>
        <v>6</v>
      </c>
      <c r="F19" s="108" t="str">
        <f>VLOOKUP(B19,'Tabula Ref1'!$J$5:$Q$83,6,0)</f>
        <v>left</v>
      </c>
      <c r="G19" s="108">
        <f>VLOOKUP(B19,'Tabula Ref1'!$J$5:$Q$83,7,0)</f>
        <v>2</v>
      </c>
      <c r="H19" s="109">
        <f>VLOOKUP(B19,'Tabula Ref1'!$J$5:$Q$83,8,0)</f>
        <v>12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Ref1'!$J$5:$Q$83,3,0)</f>
        <v>1</v>
      </c>
      <c r="D21" s="108" t="str">
        <f>VLOOKUP(B21,'Tabula Ref1'!$J$5:$Q$83,4,0)</f>
        <v>Roof</v>
      </c>
      <c r="E21" s="108">
        <f>VLOOKUP(B21,'Tabula Ref1'!$J$5:$Q$83,5,0)</f>
        <v>0</v>
      </c>
      <c r="F21" s="108">
        <f>VLOOKUP(B21,'Tabula Ref1'!$J$5:$Q$83,6,0)</f>
        <v>0</v>
      </c>
      <c r="G21" s="108">
        <f>VLOOKUP(B21,'Tabula Ref1'!$J$5:$Q$83,7,0)</f>
        <v>0.2816515182597264</v>
      </c>
      <c r="H21" s="109">
        <f>VLOOKUP(B21,'Tabula Ref1'!$J$5:$Q$83,8,0)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5974.4067256315848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Ref1'!$J$5:$Q$83,3,0)</f>
        <v>1</v>
      </c>
      <c r="D22" s="108" t="str">
        <f>VLOOKUP(B22,'Tabula Ref1'!$J$5:$Q$83,4,0)</f>
        <v>Door</v>
      </c>
      <c r="E22" s="108">
        <f>VLOOKUP(B22,'Tabula Ref1'!$J$5:$Q$83,5,0)</f>
        <v>9.5</v>
      </c>
      <c r="F22" s="108">
        <f>VLOOKUP(B22,'Tabula Ref1'!$J$5:$Q$83,6,0)</f>
        <v>0</v>
      </c>
      <c r="G22" s="108">
        <f>VLOOKUP(B22,'Tabula Ref1'!$J$5:$Q$83,7,0)</f>
        <v>4</v>
      </c>
      <c r="H22" s="109">
        <f>VLOOKUP(B22,'Tabula Ref1'!$J$5:$Q$83,8,0)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Ref1'!$J$5:$Q$83,3,0)</f>
        <v>1</v>
      </c>
      <c r="D28" s="118" t="str">
        <f>VLOOKUP(B28,'Tabula Ref1'!$J$5:$Q$83,4,0)</f>
        <v>Floor</v>
      </c>
      <c r="E28" s="118">
        <f>VLOOKUP(B28,'Tabula Ref1'!$J$5:$Q$83,5,0)</f>
        <v>88.800000000000011</v>
      </c>
      <c r="F28" s="118">
        <f>VLOOKUP(B28,'Tabula Ref1'!$J$5:$Q$83,7,0)</f>
        <v>0.26077238296287103</v>
      </c>
      <c r="G28" s="119">
        <f>VLOOKUP(B28,'Tabula Ref1'!$J$5:$Q$83,8,0)</f>
        <v>23.156587607102949</v>
      </c>
      <c r="H28" s="119">
        <f>N28/F28*1.45*(21-12)/(21+8)</f>
        <v>0.34548217102158868</v>
      </c>
      <c r="I28" s="118">
        <f>'Tabula Ref1'!N14</f>
        <v>88.800000000000011</v>
      </c>
      <c r="J28" s="117">
        <f>SQRT(I28)*4</f>
        <v>37.693500766047194</v>
      </c>
      <c r="K28" s="117">
        <f>SUM('Tabula Ref1'!Y16:Y19)</f>
        <v>0.16700000000000001</v>
      </c>
      <c r="L28" s="120">
        <f>I28/(0.5*J28)</f>
        <v>4.7116875957558984</v>
      </c>
      <c r="M28" s="120">
        <f>K28+2*(1/F28)</f>
        <v>7.8365238095238077</v>
      </c>
      <c r="N28" s="121">
        <f>IF(M28&lt;L28,2*2/(PI()*L28+M28)*LN(PI()*L28/M28+1),2/(0.457*L28+M28))</f>
        <v>0.20020490890774631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9138.5214447910439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Ref1'!$J$5:$Q$83,2,0)=B$6,VLOOKUP(B33,'Tabula Ref1'!$J$5:$Q$83,2,0),VLOOKUP(B33,'Tabula Ref1'!$J$5:$Q$83,3,0))</f>
        <v>1</v>
      </c>
      <c r="D33" s="123">
        <f>IF(VLOOKUP(B33,'Tabula Ref1'!$J$5:$Q$83,2,0)=B$6,VLOOKUP(B33,'Tabula Ref1'!$J$5:$Q$83,3,0),VLOOKUP(B33,'Tabula Ref1'!$J$5:$Q$83,2,0))</f>
        <v>2</v>
      </c>
      <c r="E33" s="123" t="str">
        <f>VLOOKUP(B33,'Tabula Ref1'!$J$5:$Q$83,4,0)</f>
        <v>Floor internal</v>
      </c>
      <c r="F33" s="123">
        <f>VLOOKUP(B33,'Tabula Ref1'!$J$5:$Q$83,5,0)</f>
        <v>104.6</v>
      </c>
      <c r="G33" s="123">
        <f>VLOOKUP('Verwarming Tabula 2zone Ref1'!C33,'Tabula Ref1'!$A$34:$F$45,5,0)</f>
        <v>21</v>
      </c>
      <c r="H33" s="123">
        <f>VLOOKUP('Verwarming Tabula 2zone Ref1'!D33,'Tabula Ref1'!$A$34:$F$45,5,0)</f>
        <v>18</v>
      </c>
      <c r="I33" s="123">
        <f>VLOOKUP(B33,'Tabula Ref1'!$J$5:$Q$83,7,0)</f>
        <v>1.4549653579676673</v>
      </c>
      <c r="J33" s="119">
        <f>VLOOKUP(B33,'Tabula Ref1'!$J$5:$Q$83,8,0)</f>
        <v>152.18937644341798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Ref1'!$J$5:$Q$83,2,0)=B$6,VLOOKUP(B34,'Tabula Ref1'!$J$5:$Q$83,2,0),VLOOKUP(B34,'Tabula Ref1'!$J$5:$Q$83,3,0))</f>
        <v>1</v>
      </c>
      <c r="D34" s="123">
        <f>IF(VLOOKUP(B34,'Tabula Ref1'!$J$5:$Q$83,2,0)=B$6,VLOOKUP(B34,'Tabula Ref1'!$J$5:$Q$83,3,0),VLOOKUP(B34,'Tabula Ref1'!$J$5:$Q$83,2,0))</f>
        <v>1</v>
      </c>
      <c r="E34" s="123" t="str">
        <f>VLOOKUP(B34,'Tabula Ref1'!$J$5:$Q$83,4,0)</f>
        <v>Wall internal</v>
      </c>
      <c r="F34" s="123">
        <f>VLOOKUP(B34,'Tabula Ref1'!$J$5:$Q$83,5,0)</f>
        <v>69.377869700103432</v>
      </c>
      <c r="G34" s="123">
        <f>VLOOKUP('Verwarming Tabula 2zone Ref1'!C34,'Tabula Ref1'!$A$34:$F$45,5,0)</f>
        <v>21</v>
      </c>
      <c r="H34" s="123">
        <f>VLOOKUP('Verwarming Tabula 2zone Ref1'!D34,'Tabula Ref1'!$A$34:$F$45,5,0)</f>
        <v>21</v>
      </c>
      <c r="I34" s="123">
        <f>VLOOKUP(B34,'Tabula Ref1'!$J$5:$Q$83,7,0)</f>
        <v>1.7363344051446945</v>
      </c>
      <c r="J34" s="119">
        <f>VLOOKUP(B34,'Tabula Ref1'!$J$5:$Q$83,8,0)</f>
        <v>120.46318211593521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130.86246996015697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3795.011628844552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1" t="s">
        <v>197</v>
      </c>
      <c r="B45" s="311"/>
      <c r="C45" s="311"/>
      <c r="D45" s="126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data'!E34</f>
        <v>4.3039307880383673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Ref1'!B34</f>
        <v>66.883084446116243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Ref1'!G34</f>
        <v>88.800000000000011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66.883084446116243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0.32229394688811908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22.740248711679524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659.4672126387062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Ref1'!B7</f>
        <v>88.800000000000011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Ref1'!$B$4)</f>
        <v>33.682758620689661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976.80000000000018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187.28547729252617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5431.2788414832585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1" t="s">
        <v>171</v>
      </c>
      <c r="B79" s="311"/>
      <c r="C79" s="311"/>
      <c r="D79" s="311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Ref1'!$J$5:$Q$83,3,0)</f>
        <v>2</v>
      </c>
      <c r="D84" s="108" t="str">
        <f>VLOOKUP(B84,'Tabula Ref1'!$J$5:$Q$83,4,0)</f>
        <v>Wall External</v>
      </c>
      <c r="E84" s="108">
        <f>VLOOKUP(B84,'Tabula Ref1'!$J$5:$Q$83,5,0)</f>
        <v>19.815584446879509</v>
      </c>
      <c r="F84" s="108" t="str">
        <f>VLOOKUP(B84,'Tabula Ref1'!$J$5:$Q$83,6,0)</f>
        <v>front</v>
      </c>
      <c r="G84" s="108">
        <f>VLOOKUP(B84,'Tabula Ref1'!$J$5:$Q$83,7,0)</f>
        <v>0.29056172075831888</v>
      </c>
      <c r="H84" s="109">
        <f>VLOOKUP(B84,'Tabula Ref1'!$J$5:$Q$83,8,0)</f>
        <v>5.7576503147170905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Ref1'!$J$5:$Q$83,3,0)</f>
        <v>2</v>
      </c>
      <c r="D85" s="108" t="str">
        <f>VLOOKUP(B85,'Tabula Ref1'!$J$5:$Q$83,4,0)</f>
        <v>Wall External</v>
      </c>
      <c r="E85" s="108">
        <f>VLOOKUP(B85,'Tabula Ref1'!$J$5:$Q$83,5,0)</f>
        <v>42.090961406137552</v>
      </c>
      <c r="F85" s="108" t="str">
        <f>VLOOKUP(B85,'Tabula Ref1'!$J$5:$Q$83,6,0)</f>
        <v>right</v>
      </c>
      <c r="G85" s="108">
        <f>VLOOKUP(B85,'Tabula Ref1'!$J$5:$Q$83,7,0)</f>
        <v>0.29056172075831888</v>
      </c>
      <c r="H85" s="109">
        <f>VLOOKUP(B85,'Tabula Ref1'!$J$5:$Q$83,8,0)</f>
        <v>12.230022174539316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Ref1'!$J$5:$Q$83,3,0)</f>
        <v>2</v>
      </c>
      <c r="D86" s="108" t="str">
        <f>VLOOKUP(B86,'Tabula Ref1'!$J$5:$Q$83,4,0)</f>
        <v>Wall External</v>
      </c>
      <c r="E86" s="108">
        <f>VLOOKUP(B86,'Tabula Ref1'!$J$5:$Q$83,5,0)</f>
        <v>19.815584446879509</v>
      </c>
      <c r="F86" s="108" t="str">
        <f>VLOOKUP(B86,'Tabula Ref1'!$J$5:$Q$83,6,0)</f>
        <v>back</v>
      </c>
      <c r="G86" s="108">
        <f>VLOOKUP(B86,'Tabula Ref1'!$J$5:$Q$83,7,0)</f>
        <v>0.29056172075831888</v>
      </c>
      <c r="H86" s="109">
        <f>VLOOKUP(B86,'Tabula Ref1'!$J$5:$Q$83,8,0)</f>
        <v>5.7576503147170905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Ref1'!$J$5:$Q$83,3,0)</f>
        <v>2</v>
      </c>
      <c r="D87" s="108" t="str">
        <f>VLOOKUP(B87,'Tabula Ref1'!$J$5:$Q$83,4,0)</f>
        <v>Wall External</v>
      </c>
      <c r="E87" s="108">
        <f>VLOOKUP(B87,'Tabula Ref1'!$J$5:$Q$83,5,0)</f>
        <v>0</v>
      </c>
      <c r="F87" s="108" t="str">
        <f>VLOOKUP(B87,'Tabula Ref1'!$J$5:$Q$83,6,0)</f>
        <v>left</v>
      </c>
      <c r="G87" s="108">
        <f>VLOOKUP(B87,'Tabula Ref1'!$J$5:$Q$83,7,0)</f>
        <v>0.29056172075831888</v>
      </c>
      <c r="H87" s="109">
        <f>VLOOKUP(B87,'Tabula Ref1'!$J$5:$Q$83,8,0)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Ref1'!$J$5:$Q$83,3,0)</f>
        <v>2</v>
      </c>
      <c r="D88" s="108" t="str">
        <f>VLOOKUP(B88,'Tabula Ref1'!$J$5:$Q$83,4,0)</f>
        <v>Window</v>
      </c>
      <c r="E88" s="108">
        <f>VLOOKUP(B88,'Tabula Ref1'!$J$5:$Q$83,5,0)</f>
        <v>1.4799999999999998</v>
      </c>
      <c r="F88" s="108" t="str">
        <f>VLOOKUP(B88,'Tabula Ref1'!$J$5:$Q$83,6,0)</f>
        <v>front</v>
      </c>
      <c r="G88" s="108">
        <f>VLOOKUP(B88,'Tabula Ref1'!$J$5:$Q$83,7,0)</f>
        <v>2</v>
      </c>
      <c r="H88" s="109">
        <f>VLOOKUP(B88,'Tabula Ref1'!$J$5:$Q$83,8,0)</f>
        <v>2.9599999999999995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Ref1'!$J$5:$Q$83,3,0)</f>
        <v>2</v>
      </c>
      <c r="D89" s="108" t="str">
        <f>VLOOKUP(B89,'Tabula Ref1'!$J$5:$Q$83,4,0)</f>
        <v>Window</v>
      </c>
      <c r="E89" s="108">
        <f>VLOOKUP(B89,'Tabula Ref1'!$J$5:$Q$83,5,0)</f>
        <v>1.4599999999999997</v>
      </c>
      <c r="F89" s="108" t="str">
        <f>VLOOKUP(B89,'Tabula Ref1'!$J$5:$Q$83,6,0)</f>
        <v>right</v>
      </c>
      <c r="G89" s="108">
        <f>VLOOKUP(B89,'Tabula Ref1'!$J$5:$Q$83,7,0)</f>
        <v>2</v>
      </c>
      <c r="H89" s="109">
        <f>VLOOKUP(B89,'Tabula Ref1'!$J$5:$Q$83,8,0)</f>
        <v>2.9199999999999995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Ref1'!$J$5:$Q$83,3,0)</f>
        <v>2</v>
      </c>
      <c r="D90" s="108" t="str">
        <f>VLOOKUP(B90,'Tabula Ref1'!$J$5:$Q$83,4,0)</f>
        <v>Window</v>
      </c>
      <c r="E90" s="108">
        <f>VLOOKUP(B90,'Tabula Ref1'!$J$5:$Q$83,5,0)</f>
        <v>1.6799999999999997</v>
      </c>
      <c r="F90" s="108" t="str">
        <f>VLOOKUP(B90,'Tabula Ref1'!$J$5:$Q$83,6,0)</f>
        <v>back</v>
      </c>
      <c r="G90" s="108">
        <f>VLOOKUP(B90,'Tabula Ref1'!$J$5:$Q$83,7,0)</f>
        <v>2</v>
      </c>
      <c r="H90" s="109">
        <f>VLOOKUP(B90,'Tabula Ref1'!$J$5:$Q$83,8,0)</f>
        <v>3.3599999999999994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Ref1'!$J$5:$Q$83,3,0)</f>
        <v>2</v>
      </c>
      <c r="D91" s="108" t="str">
        <f>VLOOKUP(B91,'Tabula Ref1'!$J$5:$Q$83,4,0)</f>
        <v>Window</v>
      </c>
      <c r="E91" s="108">
        <f>VLOOKUP(B91,'Tabula Ref1'!$J$5:$Q$83,5,0)</f>
        <v>1.4999999999999996</v>
      </c>
      <c r="F91" s="108" t="str">
        <f>VLOOKUP(B91,'Tabula Ref1'!$J$5:$Q$83,6,0)</f>
        <v>left</v>
      </c>
      <c r="G91" s="108">
        <f>VLOOKUP(B91,'Tabula Ref1'!$J$5:$Q$83,7,0)</f>
        <v>2</v>
      </c>
      <c r="H91" s="109">
        <f>VLOOKUP(B91,'Tabula Ref1'!$J$5:$Q$83,8,0)</f>
        <v>2.9999999999999991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Ref1'!$J$5:$Q$83,3,0)</f>
        <v>2</v>
      </c>
      <c r="D92" s="108" t="str">
        <f>VLOOKUP(B92,'Tabula Ref1'!$J$5:$Q$83,4,0)</f>
        <v>Roof</v>
      </c>
      <c r="E92" s="108">
        <f>VLOOKUP(B92,'Tabula Ref1'!$J$5:$Q$83,5,0)</f>
        <v>101.4</v>
      </c>
      <c r="F92" s="108" t="str">
        <f>VLOOKUP(B92,'Tabula Ref1'!$J$5:$Q$83,6,0)</f>
        <v>front/back</v>
      </c>
      <c r="G92" s="108">
        <f>VLOOKUP(B92,'Tabula Ref1'!$J$5:$Q$83,7,0)</f>
        <v>0.2816515182597264</v>
      </c>
      <c r="H92" s="109">
        <f>VLOOKUP(B92,'Tabula Ref1'!$J$5:$Q$83,8,0)</f>
        <v>28.559463951536259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Ref1'!$J$5:$Q$83,2,0)=$B$78,VLOOKUP(B108,'Tabula Ref1'!$J$5:$Q$83,2,0),VLOOKUP(B108,'Tabula Ref1'!$J$5:$Q$83,3,0))</f>
        <v>2</v>
      </c>
      <c r="D108" s="123">
        <f>IF(VLOOKUP(B108,'Tabula Ref1'!$J$5:$Q$83,2,0)=$B$78,VLOOKUP(B108,'Tabula Ref1'!$J$5:$Q$83,3,0),VLOOKUP(B108,'Tabula Ref1'!$J$5:$Q$83,2,0))</f>
        <v>1</v>
      </c>
      <c r="E108" s="123" t="str">
        <f>VLOOKUP(B108,'Tabula Ref1'!$J$5:$Q$83,4,0)</f>
        <v>Floor internal</v>
      </c>
      <c r="F108" s="123">
        <f>VLOOKUP(B108,'Tabula Ref1'!$J$5:$Q$83,5,0)</f>
        <v>104.6</v>
      </c>
      <c r="G108" s="123">
        <f>VLOOKUP('Verwarming Tabula 2zone Ref1'!C108,'Tabula Ref1'!$A$34:$F$45,5,0)</f>
        <v>18</v>
      </c>
      <c r="H108" s="123">
        <f>VLOOKUP('Verwarming Tabula 2zone Ref1'!D108,'Tabula Ref1'!$A$34:$F$45,5,0)</f>
        <v>21</v>
      </c>
      <c r="I108" s="123">
        <f>VLOOKUP(B108,'Tabula Ref1'!$J$5:$Q$83,7,0)</f>
        <v>1.4549653579676673</v>
      </c>
      <c r="J108" s="119">
        <f>VLOOKUP(B108,'Tabula Ref1'!$J$5:$Q$83,8,0)</f>
        <v>152.18937644341798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Ref1'!$J$5:$Q$83,2,0)=$B$78,VLOOKUP(B109,'Tabula Ref1'!$J$5:$Q$83,2,0),VLOOKUP(B109,'Tabula Ref1'!$J$5:$Q$83,3,0))</f>
        <v>2</v>
      </c>
      <c r="D109" s="123">
        <f>IF(VLOOKUP(B109,'Tabula Ref1'!$J$5:$Q$83,2,0)=$B$78,VLOOKUP(B109,'Tabula Ref1'!$J$5:$Q$83,3,0),VLOOKUP(B109,'Tabula Ref1'!$J$5:$Q$83,2,0))</f>
        <v>2</v>
      </c>
      <c r="E109" s="123" t="str">
        <f>VLOOKUP(B109,'Tabula Ref1'!$J$5:$Q$83,4,0)</f>
        <v>Wall internal</v>
      </c>
      <c r="F109" s="123">
        <f>VLOOKUP(B109,'Tabula Ref1'!$J$5:$Q$83,5,0)</f>
        <v>81.722130299896577</v>
      </c>
      <c r="G109" s="123">
        <f>VLOOKUP('Verwarming Tabula 2zone Ref1'!C109,'Tabula Ref1'!$A$34:$F$45,5,0)</f>
        <v>18</v>
      </c>
      <c r="H109" s="123">
        <f>VLOOKUP('Verwarming Tabula 2zone Ref1'!D109,'Tabula Ref1'!$A$34:$F$45,5,0)</f>
        <v>18</v>
      </c>
      <c r="I109" s="123">
        <f>VLOOKUP(B109,'Tabula Ref1'!$J$5:$Q$83,7,0)</f>
        <v>1.7363344051446945</v>
      </c>
      <c r="J109" s="119">
        <f>VLOOKUP(B109,'Tabula Ref1'!$J$5:$Q$83,8,0)</f>
        <v>141.89694650142815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46.984474088961534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1221.596326313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1" t="s">
        <v>197</v>
      </c>
      <c r="B124" s="311"/>
      <c r="C124" s="311"/>
      <c r="D124" s="126" t="s">
        <v>225</v>
      </c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data'!E34</f>
        <v>4.3039307880383673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Ref1'!$A$34:$F$45,2,0)*B127*B128*B129</f>
        <v>57.044298664660509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Ref1'!G35</f>
        <v>104.6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/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57.044298664660509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0.35767141518271278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19.395061545984575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504.27160019559892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104.6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Ref1'!$B$4)</f>
        <v>143.82499999999999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1150.5999999999999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210.2045356349461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2876.4679265085988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1" t="s">
        <v>171</v>
      </c>
      <c r="B159" s="311"/>
      <c r="C159" s="311"/>
      <c r="D159" s="311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Ref1'!C188,'Gebouwgegevens Allacker'!$A$35:$F$46,5,0)</f>
        <v>#N/A</v>
      </c>
      <c r="H188" s="123" t="e">
        <f>VLOOKUP('Verwarming Tabula 2zone Ref1'!D188,'Gebouwgegevens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Ref1'!C189,'Gebouwgegevens Allacker'!$A$35:$F$46,5,0)</f>
        <v>#N/A</v>
      </c>
      <c r="H189" s="123" t="e">
        <f>VLOOKUP('Verwarming Tabula 2zone Ref1'!D189,'Gebouwgegevens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Ref1'!C190,'Gebouwgegevens Allacker'!$A$35:$F$46,5,0)</f>
        <v>#N/A</v>
      </c>
      <c r="H190" s="123" t="e">
        <f>VLOOKUP('Verwarming Tabula 2zone Ref1'!D190,'Gebouwgegevens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1" t="s">
        <v>197</v>
      </c>
      <c r="B204" s="311"/>
      <c r="C204" s="311"/>
      <c r="D204" s="126" t="s">
        <v>225</v>
      </c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1" t="s">
        <v>171</v>
      </c>
      <c r="B238" s="311"/>
      <c r="C238" s="311"/>
      <c r="D238" s="311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Ref1'!C267,'Gebouwgegevens Allacker'!$A$35:$F$46,5,0)</f>
        <v>#N/A</v>
      </c>
      <c r="H267" s="123" t="e">
        <f>VLOOKUP('Verwarming Tabula 2zone Ref1'!D267,'Gebouwgegevens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Ref1'!C268,'Gebouwgegevens Allacker'!$A$35:$F$46,5,0)</f>
        <v>#N/A</v>
      </c>
      <c r="H268" s="123" t="e">
        <f>VLOOKUP('Verwarming Tabula 2zone Ref1'!D268,'Gebouwgegevens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Ref1'!C269,'Gebouwgegevens Allacker'!$A$35:$F$46,5,0)</f>
        <v>#N/A</v>
      </c>
      <c r="H269" s="123" t="e">
        <f>VLOOKUP('Verwarming Tabula 2zone Ref1'!D269,'Gebouwgegevens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Ref1'!C270,'Gebouwgegevens Allacker'!$A$35:$F$46,5,0)</f>
        <v>#N/A</v>
      </c>
      <c r="H270" s="123" t="e">
        <f>VLOOKUP('Verwarming Tabula 2zone Ref1'!D270,'Gebouwgegevens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1" t="s">
        <v>197</v>
      </c>
      <c r="B283" s="311"/>
      <c r="C283" s="311"/>
      <c r="D283" s="126" t="s">
        <v>225</v>
      </c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1" t="s">
        <v>171</v>
      </c>
      <c r="B317" s="311"/>
      <c r="C317" s="311"/>
      <c r="D317" s="311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Ref1'!C346,'Gebouwgegevens Allacker'!$A$35:$F$46,5,0)</f>
        <v>#N/A</v>
      </c>
      <c r="H346" s="123" t="e">
        <f>VLOOKUP('Verwarming Tabula 2zone Ref1'!D346,'Gebouwgegevens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Ref1'!C347,'Gebouwgegevens Allacker'!$A$35:$F$46,5,0)</f>
        <v>#N/A</v>
      </c>
      <c r="H347" s="123" t="e">
        <f>VLOOKUP('Verwarming Tabula 2zone Ref1'!D347,'Gebouwgegevens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Ref1'!C348,'Gebouwgegevens Allacker'!$A$35:$F$46,5,0)</f>
        <v>#N/A</v>
      </c>
      <c r="H348" s="123" t="e">
        <f>VLOOKUP('Verwarming Tabula 2zone Ref1'!D348,'Gebouwgegevens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Ref1'!C349,'Gebouwgegevens Allacker'!$A$35:$F$46,5,0)</f>
        <v>#N/A</v>
      </c>
      <c r="H349" s="123" t="e">
        <f>VLOOKUP('Verwarming Tabula 2zone Ref1'!D349,'Gebouwgegevens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Ref1'!C350,'Gebouwgegevens Allacker'!$A$35:$F$46,5,0)</f>
        <v>#N/A</v>
      </c>
      <c r="H350" s="123" t="e">
        <f>VLOOKUP('Verwarming Tabula 2zone Ref1'!D350,'Gebouwgegevens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1" t="s">
        <v>197</v>
      </c>
      <c r="B362" s="311"/>
      <c r="C362" s="311"/>
      <c r="D362" s="126" t="s">
        <v>225</v>
      </c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1" t="s">
        <v>171</v>
      </c>
      <c r="B395" s="311"/>
      <c r="C395" s="311"/>
      <c r="D395" s="311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Ref1'!C424,'Gebouwgegevens Allacker'!$A$35:$F$46,5,0)</f>
        <v>#N/A</v>
      </c>
      <c r="H424" s="123" t="e">
        <f>VLOOKUP('Verwarming Tabula 2zone Ref1'!D424,'Gebouwgegevens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Ref1'!C425,'Gebouwgegevens Allacker'!$A$35:$F$46,5,0)</f>
        <v>#N/A</v>
      </c>
      <c r="H425" s="123" t="e">
        <f>VLOOKUP('Verwarming Tabula 2zone Ref1'!D425,'Gebouwgegevens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Ref1'!C426,'Gebouwgegevens Allacker'!$A$35:$F$46,5,0)</f>
        <v>#N/A</v>
      </c>
      <c r="H426" s="123" t="e">
        <f>VLOOKUP('Verwarming Tabula 2zone Ref1'!D426,'Gebouwgegevens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Ref1'!C427,'Gebouwgegevens Allacker'!$A$35:$F$46,5,0)</f>
        <v>#N/A</v>
      </c>
      <c r="H427" s="123" t="e">
        <f>VLOOKUP('Verwarming Tabula 2zone Ref1'!D427,'Gebouwgegevens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Ref1'!C428,'Gebouwgegevens Allacker'!$A$35:$F$46,5,0)</f>
        <v>#N/A</v>
      </c>
      <c r="H428" s="123" t="e">
        <f>VLOOKUP('Verwarming Tabula 2zone Ref1'!D428,'Gebouwgegevens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1" t="s">
        <v>197</v>
      </c>
      <c r="B440" s="311"/>
      <c r="C440" s="311"/>
      <c r="D440" s="126" t="s">
        <v>225</v>
      </c>
      <c r="E440" s="285"/>
      <c r="F440" s="285"/>
      <c r="G440" s="285"/>
      <c r="H440" s="285"/>
      <c r="I440" s="285"/>
      <c r="J440" s="285"/>
      <c r="K440" s="285"/>
      <c r="L440" s="285"/>
      <c r="M440" s="285"/>
      <c r="N440" s="285"/>
      <c r="O440" s="28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5"/>
      <c r="C471" s="285"/>
      <c r="D471" s="285"/>
      <c r="E471" s="285"/>
      <c r="F471" s="285"/>
      <c r="G471" s="285"/>
      <c r="H471" s="285"/>
      <c r="I471" s="285"/>
      <c r="J471" s="285"/>
      <c r="K471" s="285"/>
      <c r="L471" s="285"/>
      <c r="M471" s="285"/>
      <c r="N471" s="285"/>
      <c r="O471" s="28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1" t="s">
        <v>171</v>
      </c>
      <c r="B473" s="311"/>
      <c r="C473" s="311"/>
      <c r="D473" s="311"/>
      <c r="E473" s="285"/>
      <c r="F473" s="285"/>
      <c r="G473" s="285"/>
      <c r="H473" s="285"/>
      <c r="I473" s="285"/>
      <c r="J473" s="285"/>
      <c r="K473" s="285"/>
      <c r="L473" s="285"/>
      <c r="M473" s="285"/>
      <c r="N473" s="285"/>
      <c r="O473" s="28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Ref1'!C502,'Gebouwgegevens Allacker'!$A$35:$F$46,5,0)</f>
        <v>#N/A</v>
      </c>
      <c r="H502" s="123" t="e">
        <f>VLOOKUP('Verwarming Tabula 2zone Ref1'!D502,'Gebouwgegevens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Ref1'!C503,'Gebouwgegevens Allacker'!$A$35:$F$46,5,0)</f>
        <v>#N/A</v>
      </c>
      <c r="H503" s="123" t="e">
        <f>VLOOKUP('Verwarming Tabula 2zone Ref1'!D503,'Gebouwgegevens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Ref1'!C504,'Gebouwgegevens Allacker'!$A$35:$F$46,5,0)</f>
        <v>#N/A</v>
      </c>
      <c r="H504" s="123" t="e">
        <f>VLOOKUP('Verwarming Tabula 2zone Ref1'!D504,'Gebouwgegevens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1" t="s">
        <v>197</v>
      </c>
      <c r="B518" s="311"/>
      <c r="C518" s="311"/>
      <c r="D518" s="126" t="s">
        <v>225</v>
      </c>
      <c r="E518" s="285"/>
      <c r="F518" s="285"/>
      <c r="G518" s="285"/>
      <c r="H518" s="285"/>
      <c r="I518" s="285"/>
      <c r="J518" s="285"/>
      <c r="K518" s="285"/>
      <c r="L518" s="285"/>
      <c r="M518" s="285"/>
      <c r="N518" s="285"/>
      <c r="O518" s="28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5"/>
      <c r="C550" s="285"/>
      <c r="D550" s="285"/>
      <c r="E550" s="285"/>
      <c r="F550" s="285"/>
      <c r="G550" s="285"/>
      <c r="H550" s="285"/>
      <c r="I550" s="285"/>
      <c r="J550" s="285"/>
      <c r="K550" s="285"/>
      <c r="L550" s="285"/>
      <c r="M550" s="285"/>
      <c r="N550" s="285"/>
      <c r="O550" s="28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1" t="s">
        <v>171</v>
      </c>
      <c r="B552" s="311"/>
      <c r="C552" s="311"/>
      <c r="D552" s="311"/>
      <c r="E552" s="285"/>
      <c r="F552" s="285"/>
      <c r="G552" s="285"/>
      <c r="H552" s="285"/>
      <c r="I552" s="285"/>
      <c r="J552" s="285"/>
      <c r="K552" s="285"/>
      <c r="L552" s="285"/>
      <c r="M552" s="285"/>
      <c r="N552" s="285"/>
      <c r="O552" s="28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Ref1'!C581,'Gebouwgegevens Allacker'!$A$35:$F$46,5,0)</f>
        <v>#N/A</v>
      </c>
      <c r="H581" s="123" t="e">
        <f>VLOOKUP('Verwarming Tabula 2zone Ref1'!D581,'Gebouwgegevens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Ref1'!C582,'Gebouwgegevens Allacker'!$A$35:$F$46,5,0)</f>
        <v>#N/A</v>
      </c>
      <c r="H582" s="123" t="e">
        <f>VLOOKUP('Verwarming Tabula 2zone Ref1'!D582,'Gebouwgegevens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Ref1'!C583,'Gebouwgegevens Allacker'!$A$35:$F$46,5,0)</f>
        <v>#N/A</v>
      </c>
      <c r="H583" s="123" t="e">
        <f>VLOOKUP('Verwarming Tabula 2zone Ref1'!D583,'Gebouwgegevens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1" t="s">
        <v>197</v>
      </c>
      <c r="B597" s="311"/>
      <c r="C597" s="311"/>
      <c r="D597" s="126" t="s">
        <v>225</v>
      </c>
      <c r="E597" s="285"/>
      <c r="F597" s="285"/>
      <c r="G597" s="285"/>
      <c r="H597" s="285"/>
      <c r="I597" s="285"/>
      <c r="J597" s="285"/>
      <c r="K597" s="285"/>
      <c r="L597" s="285"/>
      <c r="M597" s="285"/>
      <c r="N597" s="285"/>
      <c r="O597" s="28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5"/>
      <c r="C629" s="285"/>
      <c r="D629" s="285"/>
      <c r="E629" s="285"/>
      <c r="F629" s="285"/>
      <c r="G629" s="285"/>
      <c r="H629" s="285"/>
      <c r="I629" s="285"/>
      <c r="J629" s="285"/>
      <c r="K629" s="285"/>
      <c r="L629" s="285"/>
      <c r="M629" s="285"/>
      <c r="N629" s="285"/>
      <c r="O629" s="28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1" t="s">
        <v>171</v>
      </c>
      <c r="B631" s="311"/>
      <c r="C631" s="311"/>
      <c r="D631" s="311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Ref1'!C660,'Gebouwgegevens Allacker'!$A$35:$F$46,5,0)</f>
        <v>#N/A</v>
      </c>
      <c r="H660" s="123" t="e">
        <f>VLOOKUP('Verwarming Tabula 2zone Ref1'!D660,'Gebouwgegevens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Ref1'!C661,'Gebouwgegevens Allacker'!$A$35:$F$46,5,0)</f>
        <v>#N/A</v>
      </c>
      <c r="H661" s="123" t="e">
        <f>VLOOKUP('Verwarming Tabula 2zone Ref1'!D661,'Gebouwgegevens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1" t="s">
        <v>197</v>
      </c>
      <c r="B676" s="311"/>
      <c r="C676" s="311"/>
      <c r="D676" s="126" t="s">
        <v>225</v>
      </c>
      <c r="E676" s="285"/>
      <c r="F676" s="285"/>
      <c r="G676" s="285"/>
      <c r="H676" s="285"/>
      <c r="I676" s="285"/>
      <c r="J676" s="285"/>
      <c r="K676" s="285"/>
      <c r="L676" s="285"/>
      <c r="M676" s="285"/>
      <c r="N676" s="285"/>
      <c r="O676" s="28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5"/>
      <c r="C708" s="285"/>
      <c r="D708" s="285"/>
      <c r="E708" s="285"/>
      <c r="F708" s="285"/>
      <c r="G708" s="285"/>
      <c r="H708" s="285"/>
      <c r="I708" s="285"/>
      <c r="J708" s="285"/>
      <c r="K708" s="285"/>
      <c r="L708" s="285"/>
      <c r="M708" s="285"/>
      <c r="N708" s="285"/>
      <c r="O708" s="28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1" t="s">
        <v>171</v>
      </c>
      <c r="B710" s="311"/>
      <c r="C710" s="311"/>
      <c r="D710" s="311"/>
      <c r="E710" s="285"/>
      <c r="F710" s="285"/>
      <c r="G710" s="285"/>
      <c r="H710" s="285"/>
      <c r="I710" s="285"/>
      <c r="J710" s="285"/>
      <c r="K710" s="285"/>
      <c r="L710" s="285"/>
      <c r="M710" s="285"/>
      <c r="N710" s="285"/>
      <c r="O710" s="28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Ref1'!C739,'Gebouwgegevens Allacker'!$A$35:$F$46,5,0)</f>
        <v>#N/A</v>
      </c>
      <c r="H739" s="123" t="e">
        <f>VLOOKUP('Verwarming Tabula 2zone Ref1'!D739,'Gebouwgegevens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Ref1'!C740,'Gebouwgegevens Allacker'!$A$35:$F$46,5,0)</f>
        <v>#N/A</v>
      </c>
      <c r="H740" s="123" t="e">
        <f>VLOOKUP('Verwarming Tabula 2zone Ref1'!D740,'Gebouwgegevens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Ref1'!C741,'Gebouwgegevens Allacker'!$A$35:$F$46,5,0)</f>
        <v>#N/A</v>
      </c>
      <c r="H741" s="123" t="e">
        <f>VLOOKUP('Verwarming Tabula 2zone Ref1'!D741,'Gebouwgegevens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Ref1'!C742,'Gebouwgegevens Allacker'!$A$35:$F$46,5,0)</f>
        <v>#N/A</v>
      </c>
      <c r="H742" s="123" t="e">
        <f>VLOOKUP('Verwarming Tabula 2zone Ref1'!D742,'Gebouwgegevens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Ref1'!C743,'Gebouwgegevens Allacker'!$A$35:$F$46,5,0)</f>
        <v>#N/A</v>
      </c>
      <c r="H743" s="123" t="e">
        <f>VLOOKUP('Verwarming Tabula 2zone Ref1'!D743,'Gebouwgegevens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Ref1'!C744,'Gebouwgegevens Allacker'!$A$35:$F$46,5,0)</f>
        <v>#N/A</v>
      </c>
      <c r="H744" s="123" t="e">
        <f>VLOOKUP('Verwarming Tabula 2zone Ref1'!D744,'Gebouwgegevens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Ref1'!C745,'Gebouwgegevens Allacker'!$A$35:$F$46,5,0)</f>
        <v>#N/A</v>
      </c>
      <c r="H745" s="123" t="e">
        <f>VLOOKUP('Verwarming Tabula 2zone Ref1'!D745,'Gebouwgegevens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Ref1'!C746,'Gebouwgegevens Allacker'!$A$35:$F$46,5,0)</f>
        <v>#N/A</v>
      </c>
      <c r="H746" s="123" t="e">
        <f>VLOOKUP('Verwarming Tabula 2zone Ref1'!D746,'Gebouwgegevens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Ref1'!C747,'Gebouwgegevens Allacker'!$A$35:$F$46,5,0)</f>
        <v>#N/A</v>
      </c>
      <c r="H747" s="123" t="e">
        <f>VLOOKUP('Verwarming Tabula 2zone Ref1'!D747,'Gebouwgegevens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Ref1'!C748,'Gebouwgegevens Allacker'!$A$35:$F$46,5,0)</f>
        <v>#N/A</v>
      </c>
      <c r="H748" s="123" t="e">
        <f>VLOOKUP('Verwarming Tabula 2zone Ref1'!D748,'Gebouwgegevens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Ref1'!C749,'Gebouwgegevens Allacker'!$A$35:$F$46,5,0)</f>
        <v>#N/A</v>
      </c>
      <c r="H749" s="123" t="e">
        <f>VLOOKUP('Verwarming Tabula 2zone Ref1'!D749,'Gebouwgegevens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Ref1'!C750,'Gebouwgegevens Allacker'!$A$35:$F$46,5,0)</f>
        <v>#N/A</v>
      </c>
      <c r="H750" s="123" t="e">
        <f>VLOOKUP('Verwarming Tabula 2zone Ref1'!D750,'Gebouwgegevens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1" t="s">
        <v>197</v>
      </c>
      <c r="B755" s="311"/>
      <c r="C755" s="311"/>
      <c r="D755" s="126" t="s">
        <v>225</v>
      </c>
      <c r="E755" s="285"/>
      <c r="F755" s="285"/>
      <c r="G755" s="285"/>
      <c r="H755" s="285"/>
      <c r="I755" s="285"/>
      <c r="J755" s="285"/>
      <c r="K755" s="285"/>
      <c r="L755" s="285"/>
      <c r="M755" s="285"/>
      <c r="N755" s="285"/>
      <c r="O755" s="28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="F32" sqref="F32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5"/>
      <c r="W4" s="285"/>
      <c r="X4" s="285"/>
      <c r="Y4" s="95"/>
    </row>
    <row r="5" spans="1:25" ht="18" customHeight="1" thickTop="1" thickBot="1" x14ac:dyDescent="0.3">
      <c r="A5" s="9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95"/>
      <c r="U5" s="96"/>
      <c r="V5" s="306" t="s">
        <v>168</v>
      </c>
      <c r="W5" s="306"/>
      <c r="X5" s="306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5"/>
      <c r="Y6" s="97"/>
    </row>
    <row r="7" spans="1:25" ht="16.5" customHeight="1" thickTop="1" x14ac:dyDescent="0.25">
      <c r="A7" s="311" t="s">
        <v>171</v>
      </c>
      <c r="B7" s="311"/>
      <c r="C7" s="311"/>
      <c r="D7" s="311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95"/>
      <c r="U7" s="96"/>
      <c r="V7" s="102">
        <f>B6</f>
        <v>1</v>
      </c>
      <c r="W7" s="103">
        <f>B73</f>
        <v>4120.2521562720303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2034.902511084344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Ref2'!J6</f>
        <v>W1</v>
      </c>
      <c r="C12" s="108">
        <f>VLOOKUP(B12,'Tabula Ref2'!$J$5:$Q$83,3,0)</f>
        <v>1</v>
      </c>
      <c r="D12" s="108" t="str">
        <f>VLOOKUP(B12,'Tabula Ref2'!$J$5:$Q$83,4,0)</f>
        <v>Wall External</v>
      </c>
      <c r="E12" s="108">
        <f>VLOOKUP(B12,'Tabula Ref2'!$J$5:$Q$83,5,0)</f>
        <v>16.822408211117601</v>
      </c>
      <c r="F12" s="108" t="str">
        <f>VLOOKUP(B12,'Tabula Ref2'!$J$5:$Q$83,6,0)</f>
        <v>front</v>
      </c>
      <c r="G12" s="108">
        <f>VLOOKUP(B12,'Tabula Ref2'!$J$5:$Q$83,7,0)</f>
        <v>0.17756435050594532</v>
      </c>
      <c r="H12" s="109">
        <f>VLOOKUP(B12,'Tabula Ref2'!$J$5:$Q$83,8,0)</f>
        <v>2.9870599879529784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Ref2'!J7</f>
        <v>W2</v>
      </c>
      <c r="C13" s="108">
        <f>VLOOKUP(B13,'Tabula Ref2'!$J$5:$Q$83,3,0)</f>
        <v>1</v>
      </c>
      <c r="D13" s="108" t="str">
        <f>VLOOKUP(B13,'Tabula Ref2'!$J$5:$Q$83,4,0)</f>
        <v>Wall External</v>
      </c>
      <c r="E13" s="108">
        <f>VLOOKUP(B13,'Tabula Ref2'!$J$5:$Q$83,5,0)</f>
        <v>35.733053277868223</v>
      </c>
      <c r="F13" s="108" t="str">
        <f>VLOOKUP(B13,'Tabula Ref2'!$J$5:$Q$83,6,0)</f>
        <v>right</v>
      </c>
      <c r="G13" s="108">
        <f>VLOOKUP(B13,'Tabula Ref2'!$J$5:$Q$83,7,0)</f>
        <v>0.17756435050594532</v>
      </c>
      <c r="H13" s="109">
        <f>VLOOKUP(B13,'Tabula Ref2'!$J$5:$Q$83,8,0)</f>
        <v>6.3449163968790119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Ref2'!J8</f>
        <v>W3</v>
      </c>
      <c r="C14" s="108">
        <f>VLOOKUP(B14,'Tabula Ref2'!$J$5:$Q$83,3,0)</f>
        <v>1</v>
      </c>
      <c r="D14" s="108" t="str">
        <f>VLOOKUP(B14,'Tabula Ref2'!$J$5:$Q$83,4,0)</f>
        <v>Wall External</v>
      </c>
      <c r="E14" s="108">
        <f>VLOOKUP(B14,'Tabula Ref2'!$J$5:$Q$83,5,0)</f>
        <v>16.822408211117601</v>
      </c>
      <c r="F14" s="108" t="str">
        <f>VLOOKUP(B14,'Tabula Ref2'!$J$5:$Q$83,6,0)</f>
        <v>back</v>
      </c>
      <c r="G14" s="108">
        <f>VLOOKUP(B14,'Tabula Ref2'!$J$5:$Q$83,7,0)</f>
        <v>0.17756435050594532</v>
      </c>
      <c r="H14" s="109">
        <f>VLOOKUP(B14,'Tabula Ref2'!$J$5:$Q$83,8,0)</f>
        <v>2.9870599879529784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Ref2'!J9</f>
        <v>W4</v>
      </c>
      <c r="C15" s="108">
        <f>VLOOKUP(B15,'Tabula Ref2'!$J$5:$Q$83,3,0)</f>
        <v>1</v>
      </c>
      <c r="D15" s="108" t="str">
        <f>VLOOKUP(B15,'Tabula Ref2'!$J$5:$Q$83,4,0)</f>
        <v>Wall External</v>
      </c>
      <c r="E15" s="108">
        <f>VLOOKUP(B15,'Tabula Ref2'!$J$5:$Q$83,5,0)</f>
        <v>0</v>
      </c>
      <c r="F15" s="108" t="str">
        <f>VLOOKUP(B15,'Tabula Ref2'!$J$5:$Q$83,6,0)</f>
        <v>left</v>
      </c>
      <c r="G15" s="108">
        <f>VLOOKUP(B15,'Tabula Ref2'!$J$5:$Q$83,7,0)</f>
        <v>0.17756435050594532</v>
      </c>
      <c r="H15" s="109">
        <f>VLOOKUP(B15,'Tabula Ref2'!$J$5:$Q$83,8,0)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Ref2'!J10</f>
        <v>W5</v>
      </c>
      <c r="C16" s="108">
        <f>VLOOKUP(B16,'Tabula Ref2'!$J$5:$Q$83,3,0)</f>
        <v>1</v>
      </c>
      <c r="D16" s="108" t="str">
        <f>VLOOKUP(B16,'Tabula Ref2'!$J$5:$Q$83,4,0)</f>
        <v>Window</v>
      </c>
      <c r="E16" s="108">
        <f>VLOOKUP(B16,'Tabula Ref2'!$J$5:$Q$83,5,0)</f>
        <v>5.9200000000000008</v>
      </c>
      <c r="F16" s="108" t="str">
        <f>VLOOKUP(B16,'Tabula Ref2'!$J$5:$Q$83,6,0)</f>
        <v>front</v>
      </c>
      <c r="G16" s="108">
        <f>VLOOKUP(B16,'Tabula Ref2'!$J$5:$Q$83,7,0)</f>
        <v>1.1000000000000001</v>
      </c>
      <c r="H16" s="109">
        <f>VLOOKUP(B16,'Tabula Ref2'!$J$5:$Q$83,8,0)</f>
        <v>6.5120000000000013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Ref2'!J11</f>
        <v>W6</v>
      </c>
      <c r="C17" s="108">
        <f>VLOOKUP(B17,'Tabula Ref2'!$J$5:$Q$83,3,0)</f>
        <v>1</v>
      </c>
      <c r="D17" s="108" t="str">
        <f>VLOOKUP(B17,'Tabula Ref2'!$J$5:$Q$83,4,0)</f>
        <v>Window</v>
      </c>
      <c r="E17" s="108">
        <f>VLOOKUP(B17,'Tabula Ref2'!$J$5:$Q$83,5,0)</f>
        <v>5.84</v>
      </c>
      <c r="F17" s="108" t="str">
        <f>VLOOKUP(B17,'Tabula Ref2'!$J$5:$Q$83,6,0)</f>
        <v>right</v>
      </c>
      <c r="G17" s="108">
        <f>VLOOKUP(B17,'Tabula Ref2'!$J$5:$Q$83,7,0)</f>
        <v>1.1000000000000001</v>
      </c>
      <c r="H17" s="109">
        <f>VLOOKUP(B17,'Tabula Ref2'!$J$5:$Q$83,8,0)</f>
        <v>6.4240000000000004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Ref2'!J12</f>
        <v>W7</v>
      </c>
      <c r="C18" s="108">
        <f>VLOOKUP(B18,'Tabula Ref2'!$J$5:$Q$83,3,0)</f>
        <v>1</v>
      </c>
      <c r="D18" s="108" t="str">
        <f>VLOOKUP(B18,'Tabula Ref2'!$J$5:$Q$83,4,0)</f>
        <v>Window</v>
      </c>
      <c r="E18" s="108">
        <f>VLOOKUP(B18,'Tabula Ref2'!$J$5:$Q$83,5,0)</f>
        <v>6.7200000000000006</v>
      </c>
      <c r="F18" s="108" t="str">
        <f>VLOOKUP(B18,'Tabula Ref2'!$J$5:$Q$83,6,0)</f>
        <v>back</v>
      </c>
      <c r="G18" s="108">
        <f>VLOOKUP(B18,'Tabula Ref2'!$J$5:$Q$83,7,0)</f>
        <v>1.1000000000000001</v>
      </c>
      <c r="H18" s="109">
        <f>VLOOKUP(B18,'Tabula Ref2'!$J$5:$Q$83,8,0)</f>
        <v>7.3920000000000012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6155.1546673563744</v>
      </c>
      <c r="X18" s="285" t="s">
        <v>172</v>
      </c>
      <c r="Y18" s="97"/>
    </row>
    <row r="19" spans="1:25" ht="16.5" customHeight="1" thickTop="1" thickBot="1" x14ac:dyDescent="0.3">
      <c r="A19" s="96"/>
      <c r="B19" s="107" t="str">
        <f>'Tabula Ref2'!J13</f>
        <v>W8</v>
      </c>
      <c r="C19" s="108">
        <f>VLOOKUP(B19,'Tabula Ref2'!$J$5:$Q$83,3,0)</f>
        <v>1</v>
      </c>
      <c r="D19" s="108" t="str">
        <f>VLOOKUP(B19,'Tabula Ref2'!$J$5:$Q$83,4,0)</f>
        <v>Window</v>
      </c>
      <c r="E19" s="108">
        <f>VLOOKUP(B19,'Tabula Ref2'!$J$5:$Q$83,5,0)</f>
        <v>6</v>
      </c>
      <c r="F19" s="108" t="str">
        <f>VLOOKUP(B19,'Tabula Ref2'!$J$5:$Q$83,6,0)</f>
        <v>left</v>
      </c>
      <c r="G19" s="108">
        <f>VLOOKUP(B19,'Tabula Ref2'!$J$5:$Q$83,7,0)</f>
        <v>1.1000000000000001</v>
      </c>
      <c r="H19" s="109">
        <f>VLOOKUP(B19,'Tabula Ref2'!$J$5:$Q$83,8,0)</f>
        <v>6.6000000000000005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Ref2'!$J$5:$Q$83,3,0)</f>
        <v>1</v>
      </c>
      <c r="D21" s="108" t="str">
        <f>VLOOKUP(B21,'Tabula Ref2'!$J$5:$Q$83,4,0)</f>
        <v>Roof</v>
      </c>
      <c r="E21" s="108">
        <f>VLOOKUP(B21,'Tabula Ref2'!$J$5:$Q$83,5,0)</f>
        <v>0</v>
      </c>
      <c r="F21" s="108">
        <f>VLOOKUP(B21,'Tabula Ref2'!$J$5:$Q$83,6,0)</f>
        <v>0</v>
      </c>
      <c r="G21" s="108">
        <f>VLOOKUP(B21,'Tabula Ref2'!$J$5:$Q$83,7,0)</f>
        <v>0.13970867289220834</v>
      </c>
      <c r="H21" s="109">
        <f>VLOOKUP(B21,'Tabula Ref2'!$J$5:$Q$83,8,0)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4532.2773718992339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Ref2'!$J$5:$Q$83,3,0)</f>
        <v>1</v>
      </c>
      <c r="D22" s="108" t="str">
        <f>VLOOKUP(B22,'Tabula Ref2'!$J$5:$Q$83,4,0)</f>
        <v>Door</v>
      </c>
      <c r="E22" s="108">
        <f>VLOOKUP(B22,'Tabula Ref2'!$J$5:$Q$83,5,0)</f>
        <v>9.5</v>
      </c>
      <c r="F22" s="108">
        <f>VLOOKUP(B22,'Tabula Ref2'!$J$5:$Q$83,6,0)</f>
        <v>0</v>
      </c>
      <c r="G22" s="108">
        <f>VLOOKUP(B22,'Tabula Ref2'!$J$5:$Q$83,7,0)</f>
        <v>4</v>
      </c>
      <c r="H22" s="109">
        <f>VLOOKUP(B22,'Tabula Ref2'!$J$5:$Q$83,8,0)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Ref2'!$J$5:$Q$83,3,0)</f>
        <v>1</v>
      </c>
      <c r="D28" s="118" t="str">
        <f>VLOOKUP(B28,'Tabula Ref2'!$J$5:$Q$83,4,0)</f>
        <v>Floor</v>
      </c>
      <c r="E28" s="118">
        <f>VLOOKUP(B28,'Tabula Ref2'!$J$5:$Q$83,5,0)</f>
        <v>88.800000000000011</v>
      </c>
      <c r="F28" s="118">
        <f>VLOOKUP(B28,'Tabula Ref2'!$J$5:$Q$83,7,0)</f>
        <v>0.17975604536700196</v>
      </c>
      <c r="G28" s="119">
        <f>VLOOKUP(B28,'Tabula Ref2'!$J$5:$Q$83,8,0)</f>
        <v>15.962336828589777</v>
      </c>
      <c r="H28" s="119">
        <f>N28/F28*1.45*(21-12)/(21+8)</f>
        <v>0.37143893177025794</v>
      </c>
      <c r="I28" s="118">
        <f>'Tabula Ref2'!N14</f>
        <v>88.800000000000011</v>
      </c>
      <c r="J28" s="117">
        <f>SQRT(I28)*4</f>
        <v>37.693500766047194</v>
      </c>
      <c r="K28" s="117">
        <f>SUM('Tabula Ref2'!Y16:Y19)</f>
        <v>0.2</v>
      </c>
      <c r="L28" s="120">
        <f>I28/(0.5*J28)</f>
        <v>4.7116875957558984</v>
      </c>
      <c r="M28" s="120">
        <f>K28+2*(1/F28)</f>
        <v>11.326190476190474</v>
      </c>
      <c r="N28" s="121">
        <f>IF(M28&lt;L28,2*2/(PI()*L28+M28)*LN(PI()*L28/M28+1),2/(0.457*L28+M28))</f>
        <v>0.14837420771192272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6770.6701340920126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Ref2'!$J$5:$Q$83,2,0)=B$6,VLOOKUP(B33,'Tabula Ref2'!$J$5:$Q$83,2,0),VLOOKUP(B33,'Tabula Ref2'!$J$5:$Q$83,3,0))</f>
        <v>1</v>
      </c>
      <c r="D33" s="123">
        <f>IF(VLOOKUP(B33,'Tabula Ref2'!$J$5:$Q$83,2,0)=B$6,VLOOKUP(B33,'Tabula Ref2'!$J$5:$Q$83,3,0),VLOOKUP(B33,'Tabula Ref2'!$J$5:$Q$83,2,0))</f>
        <v>2</v>
      </c>
      <c r="E33" s="123" t="str">
        <f>VLOOKUP(B33,'Tabula Ref2'!$J$5:$Q$83,4,0)</f>
        <v>Floor internal</v>
      </c>
      <c r="F33" s="123">
        <f>VLOOKUP(B33,'Tabula Ref2'!$J$5:$Q$83,5,0)</f>
        <v>104.6</v>
      </c>
      <c r="G33" s="123">
        <f>VLOOKUP('Verwarming Tabula 2zone Ref2'!C33,'Tabula Ref2'!$A$34:$F$45,5,0)</f>
        <v>21</v>
      </c>
      <c r="H33" s="123">
        <f>VLOOKUP('Verwarming Tabula 2zone Ref2'!D33,'Tabula Ref2'!$A$34:$F$45,5,0)</f>
        <v>18</v>
      </c>
      <c r="I33" s="123">
        <f>VLOOKUP(B33,'Tabula Ref2'!$J$5:$Q$83,7,0)</f>
        <v>1.4549653579676673</v>
      </c>
      <c r="J33" s="119">
        <f>VLOOKUP(B33,'Tabula Ref2'!$J$5:$Q$83,8,0)</f>
        <v>152.18937644341798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Ref2'!$J$5:$Q$83,2,0)=B$6,VLOOKUP(B34,'Tabula Ref2'!$J$5:$Q$83,2,0),VLOOKUP(B34,'Tabula Ref2'!$J$5:$Q$83,3,0))</f>
        <v>1</v>
      </c>
      <c r="D34" s="123">
        <f>IF(VLOOKUP(B34,'Tabula Ref2'!$J$5:$Q$83,2,0)=B$6,VLOOKUP(B34,'Tabula Ref2'!$J$5:$Q$83,3,0),VLOOKUP(B34,'Tabula Ref2'!$J$5:$Q$83,2,0))</f>
        <v>1</v>
      </c>
      <c r="E34" s="123" t="str">
        <f>VLOOKUP(B34,'Tabula Ref2'!$J$5:$Q$83,4,0)</f>
        <v>Wall internal</v>
      </c>
      <c r="F34" s="123">
        <f>VLOOKUP(B34,'Tabula Ref2'!$J$5:$Q$83,5,0)</f>
        <v>69.377869700103432</v>
      </c>
      <c r="G34" s="123">
        <f>VLOOKUP('Verwarming Tabula 2zone Ref2'!C34,'Tabula Ref2'!$A$34:$F$45,5,0)</f>
        <v>21</v>
      </c>
      <c r="H34" s="123">
        <f>VLOOKUP('Verwarming Tabula 2zone Ref2'!D34,'Tabula Ref2'!$A$34:$F$45,5,0)</f>
        <v>21</v>
      </c>
      <c r="I34" s="123">
        <f>VLOOKUP(B34,'Tabula Ref2'!$J$5:$Q$83,7,0)</f>
        <v>1.7363344051446945</v>
      </c>
      <c r="J34" s="119">
        <f>VLOOKUP(B34,'Tabula Ref2'!$J$5:$Q$83,8,0)</f>
        <v>120.46318211593521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98.919798310548373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2868.6741510059028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1" t="s">
        <v>197</v>
      </c>
      <c r="B45" s="311"/>
      <c r="C45" s="311"/>
      <c r="D45" s="126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data'!F34</f>
        <v>1.7933044950159862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Ref2'!B34</f>
        <v>27.867951852548433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Ref2'!G34</f>
        <v>88.800000000000011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27.867951852548433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0.13428914453671628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9.4751036298664673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274.77800526612754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Ref2'!B7</f>
        <v>88.800000000000011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Ref2'!$B$4)</f>
        <v>33.682758620689661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976.80000000000018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142.07766056110449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4120.2521562720303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1" t="s">
        <v>171</v>
      </c>
      <c r="B79" s="311"/>
      <c r="C79" s="311"/>
      <c r="D79" s="311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Ref2'!$J$5:$Q$83,3,0)</f>
        <v>2</v>
      </c>
      <c r="D84" s="108" t="str">
        <f>VLOOKUP(B84,'Tabula Ref2'!$J$5:$Q$83,4,0)</f>
        <v>Wall External</v>
      </c>
      <c r="E84" s="108">
        <f>VLOOKUP(B84,'Tabula Ref2'!$J$5:$Q$83,5,0)</f>
        <v>19.815584446879509</v>
      </c>
      <c r="F84" s="108" t="str">
        <f>VLOOKUP(B84,'Tabula Ref2'!$J$5:$Q$83,6,0)</f>
        <v>front</v>
      </c>
      <c r="G84" s="108">
        <f>VLOOKUP(B84,'Tabula Ref2'!$J$5:$Q$83,7,0)</f>
        <v>0.17756435050594532</v>
      </c>
      <c r="H84" s="109">
        <f>VLOOKUP(B84,'Tabula Ref2'!$J$5:$Q$83,8,0)</f>
        <v>3.5185413822058718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Ref2'!$J$5:$Q$83,3,0)</f>
        <v>2</v>
      </c>
      <c r="D85" s="108" t="str">
        <f>VLOOKUP(B85,'Tabula Ref2'!$J$5:$Q$83,4,0)</f>
        <v>Wall External</v>
      </c>
      <c r="E85" s="108">
        <f>VLOOKUP(B85,'Tabula Ref2'!$J$5:$Q$83,5,0)</f>
        <v>42.090961406137552</v>
      </c>
      <c r="F85" s="108" t="str">
        <f>VLOOKUP(B85,'Tabula Ref2'!$J$5:$Q$83,6,0)</f>
        <v>right</v>
      </c>
      <c r="G85" s="108">
        <f>VLOOKUP(B85,'Tabula Ref2'!$J$5:$Q$83,7,0)</f>
        <v>0.17756435050594532</v>
      </c>
      <c r="H85" s="109">
        <f>VLOOKUP(B85,'Tabula Ref2'!$J$5:$Q$83,8,0)</f>
        <v>7.4738542242516255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Ref2'!$J$5:$Q$83,3,0)</f>
        <v>2</v>
      </c>
      <c r="D86" s="108" t="str">
        <f>VLOOKUP(B86,'Tabula Ref2'!$J$5:$Q$83,4,0)</f>
        <v>Wall External</v>
      </c>
      <c r="E86" s="108">
        <f>VLOOKUP(B86,'Tabula Ref2'!$J$5:$Q$83,5,0)</f>
        <v>19.815584446879509</v>
      </c>
      <c r="F86" s="108" t="str">
        <f>VLOOKUP(B86,'Tabula Ref2'!$J$5:$Q$83,6,0)</f>
        <v>back</v>
      </c>
      <c r="G86" s="108">
        <f>VLOOKUP(B86,'Tabula Ref2'!$J$5:$Q$83,7,0)</f>
        <v>0.17756435050594532</v>
      </c>
      <c r="H86" s="109">
        <f>VLOOKUP(B86,'Tabula Ref2'!$J$5:$Q$83,8,0)</f>
        <v>3.5185413822058718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Ref2'!$J$5:$Q$83,3,0)</f>
        <v>2</v>
      </c>
      <c r="D87" s="108" t="str">
        <f>VLOOKUP(B87,'Tabula Ref2'!$J$5:$Q$83,4,0)</f>
        <v>Wall External</v>
      </c>
      <c r="E87" s="108">
        <f>VLOOKUP(B87,'Tabula Ref2'!$J$5:$Q$83,5,0)</f>
        <v>0</v>
      </c>
      <c r="F87" s="108" t="str">
        <f>VLOOKUP(B87,'Tabula Ref2'!$J$5:$Q$83,6,0)</f>
        <v>left</v>
      </c>
      <c r="G87" s="108">
        <f>VLOOKUP(B87,'Tabula Ref2'!$J$5:$Q$83,7,0)</f>
        <v>0.17756435050594532</v>
      </c>
      <c r="H87" s="109">
        <f>VLOOKUP(B87,'Tabula Ref2'!$J$5:$Q$83,8,0)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Ref2'!$J$5:$Q$83,3,0)</f>
        <v>2</v>
      </c>
      <c r="D88" s="108" t="str">
        <f>VLOOKUP(B88,'Tabula Ref2'!$J$5:$Q$83,4,0)</f>
        <v>Window</v>
      </c>
      <c r="E88" s="108">
        <f>VLOOKUP(B88,'Tabula Ref2'!$J$5:$Q$83,5,0)</f>
        <v>1.4799999999999998</v>
      </c>
      <c r="F88" s="108" t="str">
        <f>VLOOKUP(B88,'Tabula Ref2'!$J$5:$Q$83,6,0)</f>
        <v>front</v>
      </c>
      <c r="G88" s="108">
        <f>VLOOKUP(B88,'Tabula Ref2'!$J$5:$Q$83,7,0)</f>
        <v>1.1000000000000001</v>
      </c>
      <c r="H88" s="109">
        <f>VLOOKUP(B88,'Tabula Ref2'!$J$5:$Q$83,8,0)</f>
        <v>1.6279999999999999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Ref2'!$J$5:$Q$83,3,0)</f>
        <v>2</v>
      </c>
      <c r="D89" s="108" t="str">
        <f>VLOOKUP(B89,'Tabula Ref2'!$J$5:$Q$83,4,0)</f>
        <v>Window</v>
      </c>
      <c r="E89" s="108">
        <f>VLOOKUP(B89,'Tabula Ref2'!$J$5:$Q$83,5,0)</f>
        <v>1.4599999999999997</v>
      </c>
      <c r="F89" s="108" t="str">
        <f>VLOOKUP(B89,'Tabula Ref2'!$J$5:$Q$83,6,0)</f>
        <v>right</v>
      </c>
      <c r="G89" s="108">
        <f>VLOOKUP(B89,'Tabula Ref2'!$J$5:$Q$83,7,0)</f>
        <v>1.1000000000000001</v>
      </c>
      <c r="H89" s="109">
        <f>VLOOKUP(B89,'Tabula Ref2'!$J$5:$Q$83,8,0)</f>
        <v>1.6059999999999999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Ref2'!$J$5:$Q$83,3,0)</f>
        <v>2</v>
      </c>
      <c r="D90" s="108" t="str">
        <f>VLOOKUP(B90,'Tabula Ref2'!$J$5:$Q$83,4,0)</f>
        <v>Window</v>
      </c>
      <c r="E90" s="108">
        <f>VLOOKUP(B90,'Tabula Ref2'!$J$5:$Q$83,5,0)</f>
        <v>1.6799999999999997</v>
      </c>
      <c r="F90" s="108" t="str">
        <f>VLOOKUP(B90,'Tabula Ref2'!$J$5:$Q$83,6,0)</f>
        <v>back</v>
      </c>
      <c r="G90" s="108">
        <f>VLOOKUP(B90,'Tabula Ref2'!$J$5:$Q$83,7,0)</f>
        <v>1.1000000000000001</v>
      </c>
      <c r="H90" s="109">
        <f>VLOOKUP(B90,'Tabula Ref2'!$J$5:$Q$83,8,0)</f>
        <v>1.8479999999999999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Ref2'!$J$5:$Q$83,3,0)</f>
        <v>2</v>
      </c>
      <c r="D91" s="108" t="str">
        <f>VLOOKUP(B91,'Tabula Ref2'!$J$5:$Q$83,4,0)</f>
        <v>Window</v>
      </c>
      <c r="E91" s="108">
        <f>VLOOKUP(B91,'Tabula Ref2'!$J$5:$Q$83,5,0)</f>
        <v>1.4999999999999996</v>
      </c>
      <c r="F91" s="108" t="str">
        <f>VLOOKUP(B91,'Tabula Ref2'!$J$5:$Q$83,6,0)</f>
        <v>left</v>
      </c>
      <c r="G91" s="108">
        <f>VLOOKUP(B91,'Tabula Ref2'!$J$5:$Q$83,7,0)</f>
        <v>1.1000000000000001</v>
      </c>
      <c r="H91" s="109">
        <f>VLOOKUP(B91,'Tabula Ref2'!$J$5:$Q$83,8,0)</f>
        <v>1.6499999999999997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Ref2'!$J$5:$Q$83,3,0)</f>
        <v>2</v>
      </c>
      <c r="D92" s="108" t="str">
        <f>VLOOKUP(B92,'Tabula Ref2'!$J$5:$Q$83,4,0)</f>
        <v>Roof</v>
      </c>
      <c r="E92" s="108">
        <f>VLOOKUP(B92,'Tabula Ref2'!$J$5:$Q$83,5,0)</f>
        <v>101.4</v>
      </c>
      <c r="F92" s="108" t="str">
        <f>VLOOKUP(B92,'Tabula Ref2'!$J$5:$Q$83,6,0)</f>
        <v>front/back</v>
      </c>
      <c r="G92" s="108">
        <f>VLOOKUP(B92,'Tabula Ref2'!$J$5:$Q$83,7,0)</f>
        <v>0.13970867289220834</v>
      </c>
      <c r="H92" s="109">
        <f>VLOOKUP(B92,'Tabula Ref2'!$J$5:$Q$83,8,0)</f>
        <v>14.166459431269926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Ref2'!$J$5:$Q$83,2,0)=$B$78,VLOOKUP(B108,'Tabula Ref2'!$J$5:$Q$83,2,0),VLOOKUP(B108,'Tabula Ref2'!$J$5:$Q$83,3,0))</f>
        <v>2</v>
      </c>
      <c r="D108" s="123">
        <f>IF(VLOOKUP(B108,'Tabula Ref2'!$J$5:$Q$83,2,0)=$B$78,VLOOKUP(B108,'Tabula Ref2'!$J$5:$Q$83,3,0),VLOOKUP(B108,'Tabula Ref2'!$J$5:$Q$83,2,0))</f>
        <v>1</v>
      </c>
      <c r="E108" s="123" t="str">
        <f>VLOOKUP(B108,'Tabula Ref2'!$J$5:$Q$83,4,0)</f>
        <v>Floor internal</v>
      </c>
      <c r="F108" s="123">
        <f>VLOOKUP(B108,'Tabula Ref2'!$J$5:$Q$83,5,0)</f>
        <v>104.6</v>
      </c>
      <c r="G108" s="123">
        <f>VLOOKUP('Verwarming Tabula 2zone Ref2'!C108,'Tabula Ref2'!$A$34:$F$45,5,0)</f>
        <v>18</v>
      </c>
      <c r="H108" s="123">
        <f>VLOOKUP('Verwarming Tabula 2zone Ref2'!D108,'Tabula Ref2'!$A$34:$F$45,5,0)</f>
        <v>21</v>
      </c>
      <c r="I108" s="123">
        <f>VLOOKUP(B108,'Tabula Ref2'!$J$5:$Q$83,7,0)</f>
        <v>1.4549653579676673</v>
      </c>
      <c r="J108" s="119">
        <f>VLOOKUP(B108,'Tabula Ref2'!$J$5:$Q$83,8,0)</f>
        <v>152.18937644341798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Ref2'!$J$5:$Q$83,2,0)=$B$78,VLOOKUP(B109,'Tabula Ref2'!$J$5:$Q$83,2,0),VLOOKUP(B109,'Tabula Ref2'!$J$5:$Q$83,3,0))</f>
        <v>2</v>
      </c>
      <c r="D109" s="123">
        <f>IF(VLOOKUP(B109,'Tabula Ref2'!$J$5:$Q$83,2,0)=$B$78,VLOOKUP(B109,'Tabula Ref2'!$J$5:$Q$83,3,0),VLOOKUP(B109,'Tabula Ref2'!$J$5:$Q$83,2,0))</f>
        <v>2</v>
      </c>
      <c r="E109" s="123" t="str">
        <f>VLOOKUP(B109,'Tabula Ref2'!$J$5:$Q$83,4,0)</f>
        <v>Wall internal</v>
      </c>
      <c r="F109" s="123">
        <f>VLOOKUP(B109,'Tabula Ref2'!$J$5:$Q$83,5,0)</f>
        <v>81.722130299896577</v>
      </c>
      <c r="G109" s="123">
        <f>VLOOKUP('Verwarming Tabula 2zone Ref2'!C109,'Tabula Ref2'!$A$34:$F$45,5,0)</f>
        <v>18</v>
      </c>
      <c r="H109" s="123">
        <f>VLOOKUP('Verwarming Tabula 2zone Ref2'!D109,'Tabula Ref2'!$A$34:$F$45,5,0)</f>
        <v>18</v>
      </c>
      <c r="I109" s="123">
        <f>VLOOKUP(B109,'Tabula Ref2'!$J$5:$Q$83,7,0)</f>
        <v>1.7363344051446945</v>
      </c>
      <c r="J109" s="119">
        <f>VLOOKUP(B109,'Tabula Ref2'!$J$5:$Q$83,8,0)</f>
        <v>141.89694650142815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17.849083753385063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464.07617758801166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1" t="s">
        <v>197</v>
      </c>
      <c r="B124" s="311"/>
      <c r="C124" s="311"/>
      <c r="D124" s="126" t="s">
        <v>225</v>
      </c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data'!F34</f>
        <v>1.7933044950159862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Ref2'!$A$34:$F$45,2,0)*B127*B128*B129</f>
        <v>23.768457776941876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Ref2'!G35</f>
        <v>104.6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/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23.768457776941876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0.1490297563261303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16.162551288320476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420.22633349633236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104.6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Ref2'!$B$4)</f>
        <v>143.82499999999999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1150.5999999999999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177.83663504170553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2034.902511084344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1" t="s">
        <v>171</v>
      </c>
      <c r="B159" s="311"/>
      <c r="C159" s="311"/>
      <c r="D159" s="311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Ref2'!C188,'Gebouwgegevens Allacker'!$A$35:$F$46,5,0)</f>
        <v>#N/A</v>
      </c>
      <c r="H188" s="123" t="e">
        <f>VLOOKUP('Verwarming Tabula 2zone Ref2'!D188,'Gebouwgegevens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Ref2'!C189,'Gebouwgegevens Allacker'!$A$35:$F$46,5,0)</f>
        <v>#N/A</v>
      </c>
      <c r="H189" s="123" t="e">
        <f>VLOOKUP('Verwarming Tabula 2zone Ref2'!D189,'Gebouwgegevens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Ref2'!C190,'Gebouwgegevens Allacker'!$A$35:$F$46,5,0)</f>
        <v>#N/A</v>
      </c>
      <c r="H190" s="123" t="e">
        <f>VLOOKUP('Verwarming Tabula 2zone Ref2'!D190,'Gebouwgegevens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1" t="s">
        <v>197</v>
      </c>
      <c r="B204" s="311"/>
      <c r="C204" s="311"/>
      <c r="D204" s="126" t="s">
        <v>225</v>
      </c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1" t="s">
        <v>171</v>
      </c>
      <c r="B238" s="311"/>
      <c r="C238" s="311"/>
      <c r="D238" s="311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Ref2'!C267,'Gebouwgegevens Allacker'!$A$35:$F$46,5,0)</f>
        <v>#N/A</v>
      </c>
      <c r="H267" s="123" t="e">
        <f>VLOOKUP('Verwarming Tabula 2zone Ref2'!D267,'Gebouwgegevens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Ref2'!C268,'Gebouwgegevens Allacker'!$A$35:$F$46,5,0)</f>
        <v>#N/A</v>
      </c>
      <c r="H268" s="123" t="e">
        <f>VLOOKUP('Verwarming Tabula 2zone Ref2'!D268,'Gebouwgegevens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Ref2'!C269,'Gebouwgegevens Allacker'!$A$35:$F$46,5,0)</f>
        <v>#N/A</v>
      </c>
      <c r="H269" s="123" t="e">
        <f>VLOOKUP('Verwarming Tabula 2zone Ref2'!D269,'Gebouwgegevens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Ref2'!C270,'Gebouwgegevens Allacker'!$A$35:$F$46,5,0)</f>
        <v>#N/A</v>
      </c>
      <c r="H270" s="123" t="e">
        <f>VLOOKUP('Verwarming Tabula 2zone Ref2'!D270,'Gebouwgegevens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1" t="s">
        <v>197</v>
      </c>
      <c r="B283" s="311"/>
      <c r="C283" s="311"/>
      <c r="D283" s="126" t="s">
        <v>225</v>
      </c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1" t="s">
        <v>171</v>
      </c>
      <c r="B317" s="311"/>
      <c r="C317" s="311"/>
      <c r="D317" s="311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Ref2'!C346,'Gebouwgegevens Allacker'!$A$35:$F$46,5,0)</f>
        <v>#N/A</v>
      </c>
      <c r="H346" s="123" t="e">
        <f>VLOOKUP('Verwarming Tabula 2zone Ref2'!D346,'Gebouwgegevens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Ref2'!C347,'Gebouwgegevens Allacker'!$A$35:$F$46,5,0)</f>
        <v>#N/A</v>
      </c>
      <c r="H347" s="123" t="e">
        <f>VLOOKUP('Verwarming Tabula 2zone Ref2'!D347,'Gebouwgegevens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Ref2'!C348,'Gebouwgegevens Allacker'!$A$35:$F$46,5,0)</f>
        <v>#N/A</v>
      </c>
      <c r="H348" s="123" t="e">
        <f>VLOOKUP('Verwarming Tabula 2zone Ref2'!D348,'Gebouwgegevens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Ref2'!C349,'Gebouwgegevens Allacker'!$A$35:$F$46,5,0)</f>
        <v>#N/A</v>
      </c>
      <c r="H349" s="123" t="e">
        <f>VLOOKUP('Verwarming Tabula 2zone Ref2'!D349,'Gebouwgegevens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Ref2'!C350,'Gebouwgegevens Allacker'!$A$35:$F$46,5,0)</f>
        <v>#N/A</v>
      </c>
      <c r="H350" s="123" t="e">
        <f>VLOOKUP('Verwarming Tabula 2zone Ref2'!D350,'Gebouwgegevens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1" t="s">
        <v>197</v>
      </c>
      <c r="B362" s="311"/>
      <c r="C362" s="311"/>
      <c r="D362" s="126" t="s">
        <v>225</v>
      </c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1" t="s">
        <v>171</v>
      </c>
      <c r="B395" s="311"/>
      <c r="C395" s="311"/>
      <c r="D395" s="311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Ref2'!C424,'Gebouwgegevens Allacker'!$A$35:$F$46,5,0)</f>
        <v>#N/A</v>
      </c>
      <c r="H424" s="123" t="e">
        <f>VLOOKUP('Verwarming Tabula 2zone Ref2'!D424,'Gebouwgegevens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Ref2'!C425,'Gebouwgegevens Allacker'!$A$35:$F$46,5,0)</f>
        <v>#N/A</v>
      </c>
      <c r="H425" s="123" t="e">
        <f>VLOOKUP('Verwarming Tabula 2zone Ref2'!D425,'Gebouwgegevens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Ref2'!C426,'Gebouwgegevens Allacker'!$A$35:$F$46,5,0)</f>
        <v>#N/A</v>
      </c>
      <c r="H426" s="123" t="e">
        <f>VLOOKUP('Verwarming Tabula 2zone Ref2'!D426,'Gebouwgegevens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Ref2'!C427,'Gebouwgegevens Allacker'!$A$35:$F$46,5,0)</f>
        <v>#N/A</v>
      </c>
      <c r="H427" s="123" t="e">
        <f>VLOOKUP('Verwarming Tabula 2zone Ref2'!D427,'Gebouwgegevens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Ref2'!C428,'Gebouwgegevens Allacker'!$A$35:$F$46,5,0)</f>
        <v>#N/A</v>
      </c>
      <c r="H428" s="123" t="e">
        <f>VLOOKUP('Verwarming Tabula 2zone Ref2'!D428,'Gebouwgegevens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1" t="s">
        <v>197</v>
      </c>
      <c r="B440" s="311"/>
      <c r="C440" s="311"/>
      <c r="D440" s="126" t="s">
        <v>225</v>
      </c>
      <c r="E440" s="285"/>
      <c r="F440" s="285"/>
      <c r="G440" s="285"/>
      <c r="H440" s="285"/>
      <c r="I440" s="285"/>
      <c r="J440" s="285"/>
      <c r="K440" s="285"/>
      <c r="L440" s="285"/>
      <c r="M440" s="285"/>
      <c r="N440" s="285"/>
      <c r="O440" s="28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5"/>
      <c r="C471" s="285"/>
      <c r="D471" s="285"/>
      <c r="E471" s="285"/>
      <c r="F471" s="285"/>
      <c r="G471" s="285"/>
      <c r="H471" s="285"/>
      <c r="I471" s="285"/>
      <c r="J471" s="285"/>
      <c r="K471" s="285"/>
      <c r="L471" s="285"/>
      <c r="M471" s="285"/>
      <c r="N471" s="285"/>
      <c r="O471" s="28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1" t="s">
        <v>171</v>
      </c>
      <c r="B473" s="311"/>
      <c r="C473" s="311"/>
      <c r="D473" s="311"/>
      <c r="E473" s="285"/>
      <c r="F473" s="285"/>
      <c r="G473" s="285"/>
      <c r="H473" s="285"/>
      <c r="I473" s="285"/>
      <c r="J473" s="285"/>
      <c r="K473" s="285"/>
      <c r="L473" s="285"/>
      <c r="M473" s="285"/>
      <c r="N473" s="285"/>
      <c r="O473" s="28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Ref2'!C502,'Gebouwgegevens Allacker'!$A$35:$F$46,5,0)</f>
        <v>#N/A</v>
      </c>
      <c r="H502" s="123" t="e">
        <f>VLOOKUP('Verwarming Tabula 2zone Ref2'!D502,'Gebouwgegevens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Ref2'!C503,'Gebouwgegevens Allacker'!$A$35:$F$46,5,0)</f>
        <v>#N/A</v>
      </c>
      <c r="H503" s="123" t="e">
        <f>VLOOKUP('Verwarming Tabula 2zone Ref2'!D503,'Gebouwgegevens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Ref2'!C504,'Gebouwgegevens Allacker'!$A$35:$F$46,5,0)</f>
        <v>#N/A</v>
      </c>
      <c r="H504" s="123" t="e">
        <f>VLOOKUP('Verwarming Tabula 2zone Ref2'!D504,'Gebouwgegevens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1" t="s">
        <v>197</v>
      </c>
      <c r="B518" s="311"/>
      <c r="C518" s="311"/>
      <c r="D518" s="126" t="s">
        <v>225</v>
      </c>
      <c r="E518" s="285"/>
      <c r="F518" s="285"/>
      <c r="G518" s="285"/>
      <c r="H518" s="285"/>
      <c r="I518" s="285"/>
      <c r="J518" s="285"/>
      <c r="K518" s="285"/>
      <c r="L518" s="285"/>
      <c r="M518" s="285"/>
      <c r="N518" s="285"/>
      <c r="O518" s="28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5"/>
      <c r="C550" s="285"/>
      <c r="D550" s="285"/>
      <c r="E550" s="285"/>
      <c r="F550" s="285"/>
      <c r="G550" s="285"/>
      <c r="H550" s="285"/>
      <c r="I550" s="285"/>
      <c r="J550" s="285"/>
      <c r="K550" s="285"/>
      <c r="L550" s="285"/>
      <c r="M550" s="285"/>
      <c r="N550" s="285"/>
      <c r="O550" s="28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1" t="s">
        <v>171</v>
      </c>
      <c r="B552" s="311"/>
      <c r="C552" s="311"/>
      <c r="D552" s="311"/>
      <c r="E552" s="285"/>
      <c r="F552" s="285"/>
      <c r="G552" s="285"/>
      <c r="H552" s="285"/>
      <c r="I552" s="285"/>
      <c r="J552" s="285"/>
      <c r="K552" s="285"/>
      <c r="L552" s="285"/>
      <c r="M552" s="285"/>
      <c r="N552" s="285"/>
      <c r="O552" s="28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Ref2'!C581,'Gebouwgegevens Allacker'!$A$35:$F$46,5,0)</f>
        <v>#N/A</v>
      </c>
      <c r="H581" s="123" t="e">
        <f>VLOOKUP('Verwarming Tabula 2zone Ref2'!D581,'Gebouwgegevens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Ref2'!C582,'Gebouwgegevens Allacker'!$A$35:$F$46,5,0)</f>
        <v>#N/A</v>
      </c>
      <c r="H582" s="123" t="e">
        <f>VLOOKUP('Verwarming Tabula 2zone Ref2'!D582,'Gebouwgegevens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Ref2'!C583,'Gebouwgegevens Allacker'!$A$35:$F$46,5,0)</f>
        <v>#N/A</v>
      </c>
      <c r="H583" s="123" t="e">
        <f>VLOOKUP('Verwarming Tabula 2zone Ref2'!D583,'Gebouwgegevens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1" t="s">
        <v>197</v>
      </c>
      <c r="B597" s="311"/>
      <c r="C597" s="311"/>
      <c r="D597" s="126" t="s">
        <v>225</v>
      </c>
      <c r="E597" s="285"/>
      <c r="F597" s="285"/>
      <c r="G597" s="285"/>
      <c r="H597" s="285"/>
      <c r="I597" s="285"/>
      <c r="J597" s="285"/>
      <c r="K597" s="285"/>
      <c r="L597" s="285"/>
      <c r="M597" s="285"/>
      <c r="N597" s="285"/>
      <c r="O597" s="28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5"/>
      <c r="C629" s="285"/>
      <c r="D629" s="285"/>
      <c r="E629" s="285"/>
      <c r="F629" s="285"/>
      <c r="G629" s="285"/>
      <c r="H629" s="285"/>
      <c r="I629" s="285"/>
      <c r="J629" s="285"/>
      <c r="K629" s="285"/>
      <c r="L629" s="285"/>
      <c r="M629" s="285"/>
      <c r="N629" s="285"/>
      <c r="O629" s="28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1" t="s">
        <v>171</v>
      </c>
      <c r="B631" s="311"/>
      <c r="C631" s="311"/>
      <c r="D631" s="311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Ref2'!C660,'Gebouwgegevens Allacker'!$A$35:$F$46,5,0)</f>
        <v>#N/A</v>
      </c>
      <c r="H660" s="123" t="e">
        <f>VLOOKUP('Verwarming Tabula 2zone Ref2'!D660,'Gebouwgegevens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Ref2'!C661,'Gebouwgegevens Allacker'!$A$35:$F$46,5,0)</f>
        <v>#N/A</v>
      </c>
      <c r="H661" s="123" t="e">
        <f>VLOOKUP('Verwarming Tabula 2zone Ref2'!D661,'Gebouwgegevens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1" t="s">
        <v>197</v>
      </c>
      <c r="B676" s="311"/>
      <c r="C676" s="311"/>
      <c r="D676" s="126" t="s">
        <v>225</v>
      </c>
      <c r="E676" s="285"/>
      <c r="F676" s="285"/>
      <c r="G676" s="285"/>
      <c r="H676" s="285"/>
      <c r="I676" s="285"/>
      <c r="J676" s="285"/>
      <c r="K676" s="285"/>
      <c r="L676" s="285"/>
      <c r="M676" s="285"/>
      <c r="N676" s="285"/>
      <c r="O676" s="28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5"/>
      <c r="C708" s="285"/>
      <c r="D708" s="285"/>
      <c r="E708" s="285"/>
      <c r="F708" s="285"/>
      <c r="G708" s="285"/>
      <c r="H708" s="285"/>
      <c r="I708" s="285"/>
      <c r="J708" s="285"/>
      <c r="K708" s="285"/>
      <c r="L708" s="285"/>
      <c r="M708" s="285"/>
      <c r="N708" s="285"/>
      <c r="O708" s="28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1" t="s">
        <v>171</v>
      </c>
      <c r="B710" s="311"/>
      <c r="C710" s="311"/>
      <c r="D710" s="311"/>
      <c r="E710" s="285"/>
      <c r="F710" s="285"/>
      <c r="G710" s="285"/>
      <c r="H710" s="285"/>
      <c r="I710" s="285"/>
      <c r="J710" s="285"/>
      <c r="K710" s="285"/>
      <c r="L710" s="285"/>
      <c r="M710" s="285"/>
      <c r="N710" s="285"/>
      <c r="O710" s="28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Ref2'!C739,'Gebouwgegevens Allacker'!$A$35:$F$46,5,0)</f>
        <v>#N/A</v>
      </c>
      <c r="H739" s="123" t="e">
        <f>VLOOKUP('Verwarming Tabula 2zone Ref2'!D739,'Gebouwgegevens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Ref2'!C740,'Gebouwgegevens Allacker'!$A$35:$F$46,5,0)</f>
        <v>#N/A</v>
      </c>
      <c r="H740" s="123" t="e">
        <f>VLOOKUP('Verwarming Tabula 2zone Ref2'!D740,'Gebouwgegevens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Ref2'!C741,'Gebouwgegevens Allacker'!$A$35:$F$46,5,0)</f>
        <v>#N/A</v>
      </c>
      <c r="H741" s="123" t="e">
        <f>VLOOKUP('Verwarming Tabula 2zone Ref2'!D741,'Gebouwgegevens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Ref2'!C742,'Gebouwgegevens Allacker'!$A$35:$F$46,5,0)</f>
        <v>#N/A</v>
      </c>
      <c r="H742" s="123" t="e">
        <f>VLOOKUP('Verwarming Tabula 2zone Ref2'!D742,'Gebouwgegevens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Ref2'!C743,'Gebouwgegevens Allacker'!$A$35:$F$46,5,0)</f>
        <v>#N/A</v>
      </c>
      <c r="H743" s="123" t="e">
        <f>VLOOKUP('Verwarming Tabula 2zone Ref2'!D743,'Gebouwgegevens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Ref2'!C744,'Gebouwgegevens Allacker'!$A$35:$F$46,5,0)</f>
        <v>#N/A</v>
      </c>
      <c r="H744" s="123" t="e">
        <f>VLOOKUP('Verwarming Tabula 2zone Ref2'!D744,'Gebouwgegevens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Ref2'!C745,'Gebouwgegevens Allacker'!$A$35:$F$46,5,0)</f>
        <v>#N/A</v>
      </c>
      <c r="H745" s="123" t="e">
        <f>VLOOKUP('Verwarming Tabula 2zone Ref2'!D745,'Gebouwgegevens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Ref2'!C746,'Gebouwgegevens Allacker'!$A$35:$F$46,5,0)</f>
        <v>#N/A</v>
      </c>
      <c r="H746" s="123" t="e">
        <f>VLOOKUP('Verwarming Tabula 2zone Ref2'!D746,'Gebouwgegevens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Ref2'!C747,'Gebouwgegevens Allacker'!$A$35:$F$46,5,0)</f>
        <v>#N/A</v>
      </c>
      <c r="H747" s="123" t="e">
        <f>VLOOKUP('Verwarming Tabula 2zone Ref2'!D747,'Gebouwgegevens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Ref2'!C748,'Gebouwgegevens Allacker'!$A$35:$F$46,5,0)</f>
        <v>#N/A</v>
      </c>
      <c r="H748" s="123" t="e">
        <f>VLOOKUP('Verwarming Tabula 2zone Ref2'!D748,'Gebouwgegevens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Ref2'!C749,'Gebouwgegevens Allacker'!$A$35:$F$46,5,0)</f>
        <v>#N/A</v>
      </c>
      <c r="H749" s="123" t="e">
        <f>VLOOKUP('Verwarming Tabula 2zone Ref2'!D749,'Gebouwgegevens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Ref2'!C750,'Gebouwgegevens Allacker'!$A$35:$F$46,5,0)</f>
        <v>#N/A</v>
      </c>
      <c r="H750" s="123" t="e">
        <f>VLOOKUP('Verwarming Tabula 2zone Ref2'!D750,'Gebouwgegevens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1" t="s">
        <v>197</v>
      </c>
      <c r="B755" s="311"/>
      <c r="C755" s="311"/>
      <c r="D755" s="126" t="s">
        <v>225</v>
      </c>
      <c r="E755" s="285"/>
      <c r="F755" s="285"/>
      <c r="G755" s="285"/>
      <c r="H755" s="285"/>
      <c r="I755" s="285"/>
      <c r="J755" s="285"/>
      <c r="K755" s="285"/>
      <c r="L755" s="285"/>
      <c r="M755" s="285"/>
      <c r="N755" s="285"/>
      <c r="O755" s="28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4" zoomScale="85" zoomScaleNormal="85" workbookViewId="0">
      <selection activeCell="O28" sqref="O28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95"/>
      <c r="W4" s="295"/>
      <c r="X4" s="295"/>
      <c r="Y4" s="95"/>
    </row>
    <row r="5" spans="1:25" ht="18" customHeight="1" thickTop="1" thickBot="1" x14ac:dyDescent="0.3">
      <c r="A5" s="94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95"/>
      <c r="U5" s="96"/>
      <c r="V5" s="306" t="s">
        <v>168</v>
      </c>
      <c r="W5" s="306"/>
      <c r="X5" s="306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95"/>
      <c r="Y6" s="97"/>
    </row>
    <row r="7" spans="1:25" ht="16.5" customHeight="1" thickTop="1" x14ac:dyDescent="0.25">
      <c r="A7" s="311" t="s">
        <v>171</v>
      </c>
      <c r="B7" s="311"/>
      <c r="C7" s="311"/>
      <c r="D7" s="311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95"/>
      <c r="U7" s="96"/>
      <c r="V7" s="102">
        <f>B6</f>
        <v>1</v>
      </c>
      <c r="W7" s="103">
        <f>B73</f>
        <v>8219.4551889728355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6464.8138605110544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1'!K6</f>
        <v>W1</v>
      </c>
      <c r="C12" s="108">
        <f>VLOOKUP(B12,'Tabula RefULG 1'!$K$5:$R$83,3,0)</f>
        <v>1</v>
      </c>
      <c r="D12" s="108" t="str">
        <f>VLOOKUP(B12,'Tabula RefULG 1'!$K$5:$R$83,4,0)</f>
        <v>Wall External</v>
      </c>
      <c r="E12" s="108">
        <f>VLOOKUP(B12,'Tabula RefULG 1'!$K$5:$R$83,5,0)</f>
        <v>16.822408211117601</v>
      </c>
      <c r="F12" s="108" t="str">
        <f>VLOOKUP(B12,'Tabula RefULG 1'!$K$5:$R$83,6,0)</f>
        <v>front</v>
      </c>
      <c r="G12" s="108">
        <f>VLOOKUP(B12,'Tabula RefULG 1'!$K$5:$R$83,7,0)</f>
        <v>1.6946440466045722</v>
      </c>
      <c r="H12" s="109">
        <f>VLOOKUP(B12,'Tabula RefULG 1'!$K$5:$R$83,8,0)</f>
        <v>28.507993924522314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1'!K7</f>
        <v>W2</v>
      </c>
      <c r="C13" s="108">
        <f>VLOOKUP(B13,'Tabula RefULG 1'!$K$5:$R$83,3,0)</f>
        <v>1</v>
      </c>
      <c r="D13" s="108" t="str">
        <f>VLOOKUP(B13,'Tabula RefULG 1'!$K$5:$R$83,4,0)</f>
        <v>Wall External</v>
      </c>
      <c r="E13" s="108">
        <f>VLOOKUP(B13,'Tabula RefULG 1'!$K$5:$R$83,5,0)</f>
        <v>35.733053277868223</v>
      </c>
      <c r="F13" s="108" t="str">
        <f>VLOOKUP(B13,'Tabula RefULG 1'!$K$5:$R$83,6,0)</f>
        <v>right</v>
      </c>
      <c r="G13" s="108">
        <f>VLOOKUP(B13,'Tabula RefULG 1'!$K$5:$R$83,7,0)</f>
        <v>1.6946440466045722</v>
      </c>
      <c r="H13" s="109">
        <f>VLOOKUP(B13,'Tabula RefULG 1'!$K$5:$R$83,8,0)</f>
        <v>60.554806004343376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1'!K8</f>
        <v>W3</v>
      </c>
      <c r="C14" s="108">
        <f>VLOOKUP(B14,'Tabula RefULG 1'!$K$5:$R$83,3,0)</f>
        <v>1</v>
      </c>
      <c r="D14" s="108" t="str">
        <f>VLOOKUP(B14,'Tabula RefULG 1'!$K$5:$R$83,4,0)</f>
        <v>Wall External</v>
      </c>
      <c r="E14" s="108">
        <f>VLOOKUP(B14,'Tabula RefULG 1'!$K$5:$R$83,5,0)</f>
        <v>16.822408211117601</v>
      </c>
      <c r="F14" s="108" t="str">
        <f>VLOOKUP(B14,'Tabula RefULG 1'!$K$5:$R$83,6,0)</f>
        <v>back</v>
      </c>
      <c r="G14" s="108">
        <f>VLOOKUP(B14,'Tabula RefULG 1'!$K$5:$R$83,7,0)</f>
        <v>1.6946440466045722</v>
      </c>
      <c r="H14" s="109">
        <f>VLOOKUP(B14,'Tabula RefULG 1'!$K$5:$R$83,8,0)</f>
        <v>28.507993924522314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1'!K9</f>
        <v>W4</v>
      </c>
      <c r="C15" s="108">
        <f>VLOOKUP(B15,'Tabula RefULG 1'!$K$5:$R$83,3,0)</f>
        <v>1</v>
      </c>
      <c r="D15" s="108" t="str">
        <f>VLOOKUP(B15,'Tabula RefULG 1'!$K$5:$R$83,4,0)</f>
        <v>Wall External</v>
      </c>
      <c r="E15" s="108">
        <f>VLOOKUP(B15,'Tabula RefULG 1'!$K$5:$R$83,5,0)</f>
        <v>0</v>
      </c>
      <c r="F15" s="108" t="str">
        <f>VLOOKUP(B15,'Tabula RefULG 1'!$K$5:$R$83,6,0)</f>
        <v>left</v>
      </c>
      <c r="G15" s="108">
        <f>VLOOKUP(B15,'Tabula RefULG 1'!$K$5:$R$83,7,0)</f>
        <v>1.6946440466045722</v>
      </c>
      <c r="H15" s="109">
        <f>VLOOKUP(B15,'Tabula RefULG 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1'!K10</f>
        <v>W5</v>
      </c>
      <c r="C16" s="108">
        <f>VLOOKUP(B16,'Tabula RefULG 1'!$K$5:$R$83,3,0)</f>
        <v>1</v>
      </c>
      <c r="D16" s="108" t="str">
        <f>VLOOKUP(B16,'Tabula RefULG 1'!$K$5:$R$83,4,0)</f>
        <v>Window</v>
      </c>
      <c r="E16" s="108">
        <f>VLOOKUP(B16,'Tabula RefULG 1'!$K$5:$R$83,5,0)</f>
        <v>3.7</v>
      </c>
      <c r="F16" s="108" t="str">
        <f>VLOOKUP(B16,'Tabula RefULG 1'!$K$5:$R$83,6,0)</f>
        <v>front</v>
      </c>
      <c r="G16" s="108">
        <f>VLOOKUP(B16,'Tabula RefULG 1'!$K$5:$R$83,7,0)</f>
        <v>2</v>
      </c>
      <c r="H16" s="109">
        <f>VLOOKUP(B16,'Tabula RefULG 1'!$K$5:$R$83,8,0)</f>
        <v>7.4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1'!K11</f>
        <v>W6</v>
      </c>
      <c r="C17" s="108">
        <f>VLOOKUP(B17,'Tabula RefULG 1'!$K$5:$R$83,3,0)</f>
        <v>1</v>
      </c>
      <c r="D17" s="108" t="str">
        <f>VLOOKUP(B17,'Tabula RefULG 1'!$K$5:$R$83,4,0)</f>
        <v>Window</v>
      </c>
      <c r="E17" s="108">
        <f>VLOOKUP(B17,'Tabula RefULG 1'!$K$5:$R$83,5,0)</f>
        <v>3.65</v>
      </c>
      <c r="F17" s="108" t="str">
        <f>VLOOKUP(B17,'Tabula RefULG 1'!$K$5:$R$83,6,0)</f>
        <v>right</v>
      </c>
      <c r="G17" s="108">
        <f>VLOOKUP(B17,'Tabula RefULG 1'!$K$5:$R$83,7,0)</f>
        <v>2</v>
      </c>
      <c r="H17" s="109">
        <f>VLOOKUP(B17,'Tabula RefULG 1'!$K$5:$R$83,8,0)</f>
        <v>7.3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1'!K12</f>
        <v>W7</v>
      </c>
      <c r="C18" s="108">
        <f>VLOOKUP(B18,'Tabula RefULG 1'!$K$5:$R$83,3,0)</f>
        <v>1</v>
      </c>
      <c r="D18" s="108" t="str">
        <f>VLOOKUP(B18,'Tabula RefULG 1'!$K$5:$R$83,4,0)</f>
        <v>Window</v>
      </c>
      <c r="E18" s="108">
        <f>VLOOKUP(B18,'Tabula RefULG 1'!$K$5:$R$83,5,0)</f>
        <v>4.2</v>
      </c>
      <c r="F18" s="108" t="str">
        <f>VLOOKUP(B18,'Tabula RefULG 1'!$K$5:$R$83,6,0)</f>
        <v>back</v>
      </c>
      <c r="G18" s="108">
        <f>VLOOKUP(B18,'Tabula RefULG 1'!$K$5:$R$83,7,0)</f>
        <v>2</v>
      </c>
      <c r="H18" s="109">
        <f>VLOOKUP(B18,'Tabula RefULG 1'!$K$5:$R$83,8,0)</f>
        <v>8.4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14684.26904948389</v>
      </c>
      <c r="X18" s="295" t="s">
        <v>172</v>
      </c>
      <c r="Y18" s="97"/>
    </row>
    <row r="19" spans="1:25" ht="16.5" customHeight="1" thickTop="1" thickBot="1" x14ac:dyDescent="0.3">
      <c r="A19" s="96"/>
      <c r="B19" s="107" t="str">
        <f>'Tabula RefULG 1'!K13</f>
        <v>W8</v>
      </c>
      <c r="C19" s="108">
        <f>VLOOKUP(B19,'Tabula RefULG 1'!$K$5:$R$83,3,0)</f>
        <v>1</v>
      </c>
      <c r="D19" s="108" t="str">
        <f>VLOOKUP(B19,'Tabula RefULG 1'!$K$5:$R$83,4,0)</f>
        <v>Window</v>
      </c>
      <c r="E19" s="108">
        <f>VLOOKUP(B19,'Tabula RefULG 1'!$K$5:$R$83,5,0)</f>
        <v>3.75</v>
      </c>
      <c r="F19" s="108" t="str">
        <f>VLOOKUP(B19,'Tabula RefULG 1'!$K$5:$R$83,6,0)</f>
        <v>left</v>
      </c>
      <c r="G19" s="108">
        <f>VLOOKUP(B19,'Tabula RefULG 1'!$K$5:$R$83,7,0)</f>
        <v>2</v>
      </c>
      <c r="H19" s="109">
        <f>VLOOKUP(B19,'Tabula RefULG 1'!$K$5:$R$83,8,0)</f>
        <v>7.5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1'!$K$5:$R$83,3,0)</f>
        <v>1</v>
      </c>
      <c r="D21" s="108" t="str">
        <f>VLOOKUP(B21,'Tabula RefULG 1'!$K$5:$R$83,4,0)</f>
        <v>Roof</v>
      </c>
      <c r="E21" s="108">
        <f>VLOOKUP(B21,'Tabula RefULG 1'!$K$5:$R$83,5,0)</f>
        <v>0</v>
      </c>
      <c r="F21" s="108">
        <f>VLOOKUP(B21,'Tabula RefULG 1'!$K$5:$R$83,6,0)</f>
        <v>0</v>
      </c>
      <c r="G21" s="108">
        <f>VLOOKUP(B21,'Tabula RefULG 1'!$K$5:$R$83,7,0)</f>
        <v>0.2816515182597264</v>
      </c>
      <c r="H21" s="109">
        <f>VLOOKUP(B21,'Tabula RefULG 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9041.4007078701197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1'!$K$5:$R$83,3,0)</f>
        <v>1</v>
      </c>
      <c r="D22" s="108" t="str">
        <f>VLOOKUP(B22,'Tabula RefULG 1'!$K$5:$R$83,4,0)</f>
        <v>Door</v>
      </c>
      <c r="E22" s="108">
        <f>VLOOKUP(B22,'Tabula RefULG 1'!$K$5:$R$83,5,0)</f>
        <v>9.5</v>
      </c>
      <c r="F22" s="108">
        <f>VLOOKUP(B22,'Tabula RefULG 1'!$K$5:$R$83,6,0)</f>
        <v>0</v>
      </c>
      <c r="G22" s="108">
        <f>VLOOKUP(B22,'Tabula RefULG 1'!$K$5:$R$83,7,0)</f>
        <v>4</v>
      </c>
      <c r="H22" s="109">
        <f>VLOOKUP(B22,'Tabula RefULG 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1'!$K$5:$R$83,3,0)</f>
        <v>1</v>
      </c>
      <c r="D28" s="118" t="str">
        <f>VLOOKUP(B28,'Tabula RefULG 1'!$K$5:$R$83,4,0)</f>
        <v>Floor</v>
      </c>
      <c r="E28" s="118">
        <f>VLOOKUP(B28,'Tabula RefULG 1'!$K$5:$R$83,5,0)</f>
        <v>88.800000000000011</v>
      </c>
      <c r="F28" s="118">
        <f>VLOOKUP(B28,'Tabula RefULG 1'!$K$5:$R$83,7,0)</f>
        <v>2.8187919463087252</v>
      </c>
      <c r="G28" s="119">
        <f>VLOOKUP(B28,'Tabula RefULG 1'!$K$5:$R$83,8,0)</f>
        <v>250.30872483221484</v>
      </c>
      <c r="H28" s="119">
        <f>N28/F28*1.45*(21-12)/(21+8)</f>
        <v>0.11782597138821799</v>
      </c>
      <c r="I28" s="118">
        <f>'Tabula RefULG 1'!O14</f>
        <v>88.800000000000011</v>
      </c>
      <c r="J28" s="117">
        <f>SQRT(I28)*4</f>
        <v>37.693500766047194</v>
      </c>
      <c r="K28" s="117">
        <f>SUM('Tabula RefULG 1'!Z16:Z19)</f>
        <v>0.16</v>
      </c>
      <c r="L28" s="120">
        <f>I28/(0.5*J28)</f>
        <v>4.7116875957558984</v>
      </c>
      <c r="M28" s="120">
        <f>K28+2*(1/F28)</f>
        <v>0.86952380952380948</v>
      </c>
      <c r="N28" s="121">
        <f>IF(M28&lt;L28,2*2/(PI()*L28+M28)*LN(PI()*L28/M28+1),2/(0.457*L28+M28))</f>
        <v>0.73805977603358031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16152.69595443228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1'!$K$5:$R$83,2,0)=B$6,VLOOKUP(B33,'Tabula RefULG 1'!$K$5:$R$83,2,0),VLOOKUP(B33,'Tabula RefULG 1'!$K$5:$R$83,3,0))</f>
        <v>1</v>
      </c>
      <c r="D33" s="123">
        <f>IF(VLOOKUP(B33,'Tabula RefULG 1'!$K$5:$R$83,2,0)=B$6,VLOOKUP(B33,'Tabula RefULG 1'!$K$5:$R$83,3,0),VLOOKUP(B33,'Tabula RefULG 1'!$K$5:$R$83,2,0))</f>
        <v>2</v>
      </c>
      <c r="E33" s="123" t="str">
        <f>VLOOKUP(B33,'Tabula RefULG 1'!$K$5:$R$83,4,0)</f>
        <v>Floor internal</v>
      </c>
      <c r="F33" s="123">
        <f>VLOOKUP(B33,'Tabula RefULG 1'!$K$5:$R$83,5,0)</f>
        <v>104.6</v>
      </c>
      <c r="G33" s="123">
        <f>VLOOKUP('Verwarming Tabula 2zone RefULG1'!C33,'Tabula RefULG 1'!$A$34:$F$45,5,0)</f>
        <v>21</v>
      </c>
      <c r="H33" s="123">
        <f>VLOOKUP('Verwarming Tabula 2zone RefULG1'!D33,'Tabula RefULG 1'!$A$34:$F$45,5,0)</f>
        <v>18</v>
      </c>
      <c r="I33" s="123">
        <f>VLOOKUP(B33,'Tabula RefULG 1'!$K$5:$R$83,7,0)</f>
        <v>1.0482529118136439</v>
      </c>
      <c r="J33" s="119">
        <f>VLOOKUP(B33,'Tabula RefULG 1'!$K$5:$R$83,8,0)</f>
        <v>109.64725457570714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1'!$K$5:$R$83,2,0)=B$6,VLOOKUP(B34,'Tabula RefULG 1'!$K$5:$R$83,2,0),VLOOKUP(B34,'Tabula RefULG 1'!$K$5:$R$83,3,0))</f>
        <v>1</v>
      </c>
      <c r="D34" s="123">
        <f>IF(VLOOKUP(B34,'Tabula RefULG 1'!$K$5:$R$83,2,0)=B$6,VLOOKUP(B34,'Tabula RefULG 1'!$K$5:$R$83,3,0),VLOOKUP(B34,'Tabula RefULG 1'!$K$5:$R$83,2,0))</f>
        <v>1</v>
      </c>
      <c r="E34" s="123" t="str">
        <f>VLOOKUP(B34,'Tabula RefULG 1'!$K$5:$R$83,4,0)</f>
        <v>Wall internal</v>
      </c>
      <c r="F34" s="123">
        <f>VLOOKUP(B34,'Tabula RefULG 1'!$K$5:$R$83,5,0)</f>
        <v>69.377869700103432</v>
      </c>
      <c r="G34" s="123">
        <f>VLOOKUP('Verwarming Tabula 2zone RefULG1'!C34,'Tabula RefULG 1'!$A$34:$F$45,5,0)</f>
        <v>21</v>
      </c>
      <c r="H34" s="123">
        <f>VLOOKUP('Verwarming Tabula 2zone RefULG1'!D34,'Tabula RefULG 1'!$A$34:$F$45,5,0)</f>
        <v>21</v>
      </c>
      <c r="I34" s="123">
        <f>VLOOKUP(B34,'Tabula RefULG 1'!$K$5:$R$83,7,0)</f>
        <v>1.210762331838565</v>
      </c>
      <c r="J34" s="119">
        <f>VLOOKUP(B34,'Tabula RefULG 1'!$K$5:$R$83,8,0)</f>
        <v>84.000111296089358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227.00648194255615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6583.1879763341285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1" t="s">
        <v>197</v>
      </c>
      <c r="B45" s="311"/>
      <c r="C45" s="311"/>
      <c r="D45" s="126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data'!E34</f>
        <v>4.3039307880383673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1'!B34</f>
        <v>66.883084446116243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1'!G34</f>
        <v>88.800000000000011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66.883084446116243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0.32229394688811908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22.740248711679524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659.4672126387062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1'!B7</f>
        <v>88.800000000000011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RefULG1'!$B$4)</f>
        <v>33.682758620689661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976.80000000000018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283.42948927492534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8219.4551889728355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1" t="s">
        <v>171</v>
      </c>
      <c r="B79" s="311"/>
      <c r="C79" s="311"/>
      <c r="D79" s="311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1'!$K$5:$R$83,3,0)</f>
        <v>2</v>
      </c>
      <c r="D84" s="108" t="str">
        <f>VLOOKUP(B84,'Tabula RefULG 1'!$K$5:$R$83,4,0)</f>
        <v>Wall External</v>
      </c>
      <c r="E84" s="108">
        <f>VLOOKUP(B84,'Tabula RefULG 1'!$K$5:$R$83,5,0)</f>
        <v>19.815584446879509</v>
      </c>
      <c r="F84" s="108" t="str">
        <f>VLOOKUP(B84,'Tabula RefULG 1'!$K$5:$R$83,6,0)</f>
        <v>front</v>
      </c>
      <c r="G84" s="108">
        <f>VLOOKUP(B84,'Tabula RefULG 1'!$K$5:$R$83,7,0)</f>
        <v>1.6946440466045722</v>
      </c>
      <c r="H84" s="109">
        <f>VLOOKUP(B84,'Tabula RefULG 1'!$K$5:$R$83,8,0)</f>
        <v>33.580362212894514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1'!$K$5:$R$83,3,0)</f>
        <v>2</v>
      </c>
      <c r="D85" s="108" t="str">
        <f>VLOOKUP(B85,'Tabula RefULG 1'!$K$5:$R$83,4,0)</f>
        <v>Wall External</v>
      </c>
      <c r="E85" s="108">
        <f>VLOOKUP(B85,'Tabula RefULG 1'!$K$5:$R$83,5,0)</f>
        <v>42.090961406137552</v>
      </c>
      <c r="F85" s="108" t="str">
        <f>VLOOKUP(B85,'Tabula RefULG 1'!$K$5:$R$83,6,0)</f>
        <v>right</v>
      </c>
      <c r="G85" s="108">
        <f>VLOOKUP(B85,'Tabula RefULG 1'!$K$5:$R$83,7,0)</f>
        <v>1.6946440466045722</v>
      </c>
      <c r="H85" s="109">
        <f>VLOOKUP(B85,'Tabula RefULG 1'!$K$5:$R$83,8,0)</f>
        <v>71.329197162773823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1'!$K$5:$R$83,3,0)</f>
        <v>2</v>
      </c>
      <c r="D86" s="108" t="str">
        <f>VLOOKUP(B86,'Tabula RefULG 1'!$K$5:$R$83,4,0)</f>
        <v>Wall External</v>
      </c>
      <c r="E86" s="108">
        <f>VLOOKUP(B86,'Tabula RefULG 1'!$K$5:$R$83,5,0)</f>
        <v>19.815584446879509</v>
      </c>
      <c r="F86" s="108" t="str">
        <f>VLOOKUP(B86,'Tabula RefULG 1'!$K$5:$R$83,6,0)</f>
        <v>back</v>
      </c>
      <c r="G86" s="108">
        <f>VLOOKUP(B86,'Tabula RefULG 1'!$K$5:$R$83,7,0)</f>
        <v>1.6946440466045722</v>
      </c>
      <c r="H86" s="109">
        <f>VLOOKUP(B86,'Tabula RefULG 1'!$K$5:$R$83,8,0)</f>
        <v>33.580362212894514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1'!$K$5:$R$83,3,0)</f>
        <v>2</v>
      </c>
      <c r="D87" s="108" t="str">
        <f>VLOOKUP(B87,'Tabula RefULG 1'!$K$5:$R$83,4,0)</f>
        <v>Wall External</v>
      </c>
      <c r="E87" s="108">
        <f>VLOOKUP(B87,'Tabula RefULG 1'!$K$5:$R$83,5,0)</f>
        <v>0</v>
      </c>
      <c r="F87" s="108" t="str">
        <f>VLOOKUP(B87,'Tabula RefULG 1'!$K$5:$R$83,6,0)</f>
        <v>left</v>
      </c>
      <c r="G87" s="108">
        <f>VLOOKUP(B87,'Tabula RefULG 1'!$K$5:$R$83,7,0)</f>
        <v>1.6946440466045722</v>
      </c>
      <c r="H87" s="109">
        <f>VLOOKUP(B87,'Tabula RefULG 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1'!$K$5:$R$83,3,0)</f>
        <v>2</v>
      </c>
      <c r="D88" s="108" t="str">
        <f>VLOOKUP(B88,'Tabula RefULG 1'!$K$5:$R$83,4,0)</f>
        <v>Window</v>
      </c>
      <c r="E88" s="108">
        <f>VLOOKUP(B88,'Tabula RefULG 1'!$K$5:$R$83,5,0)</f>
        <v>3.7</v>
      </c>
      <c r="F88" s="108" t="str">
        <f>VLOOKUP(B88,'Tabula RefULG 1'!$K$5:$R$83,6,0)</f>
        <v>front</v>
      </c>
      <c r="G88" s="108">
        <f>VLOOKUP(B88,'Tabula RefULG 1'!$K$5:$R$83,7,0)</f>
        <v>2</v>
      </c>
      <c r="H88" s="109">
        <f>VLOOKUP(B88,'Tabula RefULG 1'!$K$5:$R$83,8,0)</f>
        <v>7.4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1'!$K$5:$R$83,3,0)</f>
        <v>2</v>
      </c>
      <c r="D89" s="108" t="str">
        <f>VLOOKUP(B89,'Tabula RefULG 1'!$K$5:$R$83,4,0)</f>
        <v>Window</v>
      </c>
      <c r="E89" s="108">
        <f>VLOOKUP(B89,'Tabula RefULG 1'!$K$5:$R$83,5,0)</f>
        <v>3.65</v>
      </c>
      <c r="F89" s="108" t="str">
        <f>VLOOKUP(B89,'Tabula RefULG 1'!$K$5:$R$83,6,0)</f>
        <v>right</v>
      </c>
      <c r="G89" s="108">
        <f>VLOOKUP(B89,'Tabula RefULG 1'!$K$5:$R$83,7,0)</f>
        <v>2</v>
      </c>
      <c r="H89" s="109">
        <f>VLOOKUP(B89,'Tabula RefULG 1'!$K$5:$R$83,8,0)</f>
        <v>7.3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1'!$K$5:$R$83,3,0)</f>
        <v>2</v>
      </c>
      <c r="D90" s="108" t="str">
        <f>VLOOKUP(B90,'Tabula RefULG 1'!$K$5:$R$83,4,0)</f>
        <v>Window</v>
      </c>
      <c r="E90" s="108">
        <f>VLOOKUP(B90,'Tabula RefULG 1'!$K$5:$R$83,5,0)</f>
        <v>4.2</v>
      </c>
      <c r="F90" s="108" t="str">
        <f>VLOOKUP(B90,'Tabula RefULG 1'!$K$5:$R$83,6,0)</f>
        <v>back</v>
      </c>
      <c r="G90" s="108">
        <f>VLOOKUP(B90,'Tabula RefULG 1'!$K$5:$R$83,7,0)</f>
        <v>2</v>
      </c>
      <c r="H90" s="109">
        <f>VLOOKUP(B90,'Tabula RefULG 1'!$K$5:$R$83,8,0)</f>
        <v>8.4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1'!$K$5:$R$83,3,0)</f>
        <v>2</v>
      </c>
      <c r="D91" s="108" t="str">
        <f>VLOOKUP(B91,'Tabula RefULG 1'!$K$5:$R$83,4,0)</f>
        <v>Window</v>
      </c>
      <c r="E91" s="108">
        <f>VLOOKUP(B91,'Tabula RefULG 1'!$K$5:$R$83,5,0)</f>
        <v>3.75</v>
      </c>
      <c r="F91" s="108" t="str">
        <f>VLOOKUP(B91,'Tabula RefULG 1'!$K$5:$R$83,6,0)</f>
        <v>left</v>
      </c>
      <c r="G91" s="108">
        <f>VLOOKUP(B91,'Tabula RefULG 1'!$K$5:$R$83,7,0)</f>
        <v>2</v>
      </c>
      <c r="H91" s="109">
        <f>VLOOKUP(B91,'Tabula RefULG 1'!$K$5:$R$83,8,0)</f>
        <v>7.5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1'!$K$5:$R$83,3,0)</f>
        <v>2</v>
      </c>
      <c r="D92" s="108" t="str">
        <f>VLOOKUP(B92,'Tabula RefULG 1'!$K$5:$R$83,4,0)</f>
        <v>Roof</v>
      </c>
      <c r="E92" s="108">
        <f>VLOOKUP(B92,'Tabula RefULG 1'!$K$5:$R$83,5,0)</f>
        <v>101.4</v>
      </c>
      <c r="F92" s="108" t="str">
        <f>VLOOKUP(B92,'Tabula RefULG 1'!$K$5:$R$83,6,0)</f>
        <v>front/back</v>
      </c>
      <c r="G92" s="108">
        <f>VLOOKUP(B92,'Tabula RefULG 1'!$K$5:$R$83,7,0)</f>
        <v>0.2816515182597264</v>
      </c>
      <c r="H92" s="109">
        <f>VLOOKUP(B92,'Tabula RefULG 1'!$K$5:$R$83,8,0)</f>
        <v>28.559463951536259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1'!$K$5:$R$83,2,0)=$B$78,VLOOKUP(B108,'Tabula RefULG 1'!$K$5:$R$83,2,0),VLOOKUP(B108,'Tabula RefULG 1'!$K$5:$R$83,3,0))</f>
        <v>2</v>
      </c>
      <c r="D108" s="123">
        <f>IF(VLOOKUP(B108,'Tabula RefULG 1'!$K$5:$R$83,2,0)=$B$78,VLOOKUP(B108,'Tabula RefULG 1'!$K$5:$R$83,3,0),VLOOKUP(B108,'Tabula RefULG 1'!$K$5:$R$83,2,0))</f>
        <v>1</v>
      </c>
      <c r="E108" s="123" t="str">
        <f>VLOOKUP(B108,'Tabula RefULG 1'!$K$5:$R$83,4,0)</f>
        <v>Floor internal</v>
      </c>
      <c r="F108" s="123">
        <f>VLOOKUP(B108,'Tabula RefULG 1'!$K$5:$R$83,5,0)</f>
        <v>104.6</v>
      </c>
      <c r="G108" s="123">
        <f>VLOOKUP('Verwarming Tabula 2zone RefULG1'!C108,'Tabula RefULG 1'!$A$34:$F$45,5,0)</f>
        <v>18</v>
      </c>
      <c r="H108" s="123">
        <f>VLOOKUP('Verwarming Tabula 2zone RefULG1'!D108,'Tabula RefULG 1'!$A$34:$F$45,5,0)</f>
        <v>21</v>
      </c>
      <c r="I108" s="123">
        <f>VLOOKUP(B108,'Tabula RefULG 1'!$K$5:$R$83,7,0)</f>
        <v>1.0482529118136439</v>
      </c>
      <c r="J108" s="119">
        <f>VLOOKUP(B108,'Tabula RefULG 1'!$K$5:$R$83,8,0)</f>
        <v>109.64725457570714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1'!$K$5:$R$83,2,0)=$B$78,VLOOKUP(B109,'Tabula RefULG 1'!$K$5:$R$83,2,0),VLOOKUP(B109,'Tabula RefULG 1'!$K$5:$R$83,3,0))</f>
        <v>2</v>
      </c>
      <c r="D109" s="123">
        <f>IF(VLOOKUP(B109,'Tabula RefULG 1'!$K$5:$R$83,2,0)=$B$78,VLOOKUP(B109,'Tabula RefULG 1'!$K$5:$R$83,3,0),VLOOKUP(B109,'Tabula RefULG 1'!$K$5:$R$83,2,0))</f>
        <v>2</v>
      </c>
      <c r="E109" s="123" t="str">
        <f>VLOOKUP(B109,'Tabula RefULG 1'!$K$5:$R$83,4,0)</f>
        <v>Wall internal</v>
      </c>
      <c r="F109" s="123">
        <f>VLOOKUP(B109,'Tabula RefULG 1'!$K$5:$R$83,5,0)</f>
        <v>81.722130299896577</v>
      </c>
      <c r="G109" s="123">
        <f>VLOOKUP('Verwarming Tabula 2zone RefULG1'!C109,'Tabula RefULG 1'!$A$34:$F$45,5,0)</f>
        <v>18</v>
      </c>
      <c r="H109" s="123">
        <f>VLOOKUP('Verwarming Tabula 2zone RefULG1'!D109,'Tabula RefULG 1'!$A$34:$F$45,5,0)</f>
        <v>18</v>
      </c>
      <c r="I109" s="123">
        <f>VLOOKUP(B109,'Tabula RefULG 1'!$K$5:$R$83,7,0)</f>
        <v>1.210762331838565</v>
      </c>
      <c r="J109" s="119">
        <f>VLOOKUP(B109,'Tabula RefULG 1'!$K$5:$R$83,8,0)</f>
        <v>98.946077044717825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184.99777924290214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4809.9422603154553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1" t="s">
        <v>197</v>
      </c>
      <c r="B124" s="311"/>
      <c r="C124" s="311"/>
      <c r="D124" s="126" t="s">
        <v>225</v>
      </c>
      <c r="E124" s="295"/>
      <c r="F124" s="295"/>
      <c r="G124" s="295"/>
      <c r="H124" s="295"/>
      <c r="I124" s="295"/>
      <c r="J124" s="295"/>
      <c r="K124" s="295"/>
      <c r="L124" s="295"/>
      <c r="M124" s="295"/>
      <c r="N124" s="295"/>
      <c r="O124" s="29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data'!E34</f>
        <v>4.3039307880383673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1'!$A$34:$F$45,2,0)*B127*B128*B129</f>
        <v>57.044298664660509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1'!G35</f>
        <v>104.6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/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57.044298664660509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0.35767141518271278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19.395061545984575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504.27160019559892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104.6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RefULG1'!$B$4)</f>
        <v>143.82499999999999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1150.5999999999999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348.21784078888669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6464.8138605110544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95"/>
      <c r="C157" s="295"/>
      <c r="D157" s="295"/>
      <c r="E157" s="295"/>
      <c r="F157" s="295"/>
      <c r="G157" s="295"/>
      <c r="H157" s="295"/>
      <c r="I157" s="295"/>
      <c r="J157" s="295"/>
      <c r="K157" s="295"/>
      <c r="L157" s="295"/>
      <c r="M157" s="295"/>
      <c r="N157" s="295"/>
      <c r="O157" s="29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1" t="s">
        <v>171</v>
      </c>
      <c r="B159" s="311"/>
      <c r="C159" s="311"/>
      <c r="D159" s="311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RefULG1'!C188,'Gebouwgegevens Allacker'!$A$35:$F$46,5,0)</f>
        <v>#N/A</v>
      </c>
      <c r="H188" s="123" t="e">
        <f>VLOOKUP('Verwarming Tabula 2zone RefULG1'!D188,'Gebouwgegevens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RefULG1'!C189,'Gebouwgegevens Allacker'!$A$35:$F$46,5,0)</f>
        <v>#N/A</v>
      </c>
      <c r="H189" s="123" t="e">
        <f>VLOOKUP('Verwarming Tabula 2zone RefULG1'!D189,'Gebouwgegevens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RefULG1'!C190,'Gebouwgegevens Allacker'!$A$35:$F$46,5,0)</f>
        <v>#N/A</v>
      </c>
      <c r="H190" s="123" t="e">
        <f>VLOOKUP('Verwarming Tabula 2zone RefULG1'!D190,'Gebouwgegevens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1" t="s">
        <v>197</v>
      </c>
      <c r="B204" s="311"/>
      <c r="C204" s="311"/>
      <c r="D204" s="126" t="s">
        <v>225</v>
      </c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  <c r="O204" s="29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95"/>
      <c r="C236" s="295"/>
      <c r="D236" s="295"/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  <c r="O236" s="29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1" t="s">
        <v>171</v>
      </c>
      <c r="B238" s="311"/>
      <c r="C238" s="311"/>
      <c r="D238" s="311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RefULG1'!C267,'Gebouwgegevens Allacker'!$A$35:$F$46,5,0)</f>
        <v>#N/A</v>
      </c>
      <c r="H267" s="123" t="e">
        <f>VLOOKUP('Verwarming Tabula 2zone RefULG1'!D267,'Gebouwgegevens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RefULG1'!C268,'Gebouwgegevens Allacker'!$A$35:$F$46,5,0)</f>
        <v>#N/A</v>
      </c>
      <c r="H268" s="123" t="e">
        <f>VLOOKUP('Verwarming Tabula 2zone RefULG1'!D268,'Gebouwgegevens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RefULG1'!C269,'Gebouwgegevens Allacker'!$A$35:$F$46,5,0)</f>
        <v>#N/A</v>
      </c>
      <c r="H269" s="123" t="e">
        <f>VLOOKUP('Verwarming Tabula 2zone RefULG1'!D269,'Gebouwgegevens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RefULG1'!C270,'Gebouwgegevens Allacker'!$A$35:$F$46,5,0)</f>
        <v>#N/A</v>
      </c>
      <c r="H270" s="123" t="e">
        <f>VLOOKUP('Verwarming Tabula 2zone RefULG1'!D270,'Gebouwgegevens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1" t="s">
        <v>197</v>
      </c>
      <c r="B283" s="311"/>
      <c r="C283" s="311"/>
      <c r="D283" s="126" t="s">
        <v>225</v>
      </c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1" t="s">
        <v>171</v>
      </c>
      <c r="B317" s="311"/>
      <c r="C317" s="311"/>
      <c r="D317" s="311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RefULG1'!C346,'Gebouwgegevens Allacker'!$A$35:$F$46,5,0)</f>
        <v>#N/A</v>
      </c>
      <c r="H346" s="123" t="e">
        <f>VLOOKUP('Verwarming Tabula 2zone RefULG1'!D346,'Gebouwgegevens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RefULG1'!C347,'Gebouwgegevens Allacker'!$A$35:$F$46,5,0)</f>
        <v>#N/A</v>
      </c>
      <c r="H347" s="123" t="e">
        <f>VLOOKUP('Verwarming Tabula 2zone RefULG1'!D347,'Gebouwgegevens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RefULG1'!C348,'Gebouwgegevens Allacker'!$A$35:$F$46,5,0)</f>
        <v>#N/A</v>
      </c>
      <c r="H348" s="123" t="e">
        <f>VLOOKUP('Verwarming Tabula 2zone RefULG1'!D348,'Gebouwgegevens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RefULG1'!C349,'Gebouwgegevens Allacker'!$A$35:$F$46,5,0)</f>
        <v>#N/A</v>
      </c>
      <c r="H349" s="123" t="e">
        <f>VLOOKUP('Verwarming Tabula 2zone RefULG1'!D349,'Gebouwgegevens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RefULG1'!C350,'Gebouwgegevens Allacker'!$A$35:$F$46,5,0)</f>
        <v>#N/A</v>
      </c>
      <c r="H350" s="123" t="e">
        <f>VLOOKUP('Verwarming Tabula 2zone RefULG1'!D350,'Gebouwgegevens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1" t="s">
        <v>197</v>
      </c>
      <c r="B362" s="311"/>
      <c r="C362" s="311"/>
      <c r="D362" s="126" t="s">
        <v>225</v>
      </c>
      <c r="E362" s="295"/>
      <c r="F362" s="295"/>
      <c r="G362" s="295"/>
      <c r="H362" s="295"/>
      <c r="I362" s="295"/>
      <c r="J362" s="295"/>
      <c r="K362" s="295"/>
      <c r="L362" s="295"/>
      <c r="M362" s="295"/>
      <c r="N362" s="295"/>
      <c r="O362" s="29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95"/>
      <c r="C393" s="295"/>
      <c r="D393" s="295"/>
      <c r="E393" s="295"/>
      <c r="F393" s="295"/>
      <c r="G393" s="295"/>
      <c r="H393" s="295"/>
      <c r="I393" s="295"/>
      <c r="J393" s="295"/>
      <c r="K393" s="295"/>
      <c r="L393" s="295"/>
      <c r="M393" s="295"/>
      <c r="N393" s="295"/>
      <c r="O393" s="29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1" t="s">
        <v>171</v>
      </c>
      <c r="B395" s="311"/>
      <c r="C395" s="311"/>
      <c r="D395" s="311"/>
      <c r="E395" s="295"/>
      <c r="F395" s="295"/>
      <c r="G395" s="295"/>
      <c r="H395" s="295"/>
      <c r="I395" s="295"/>
      <c r="J395" s="295"/>
      <c r="K395" s="295"/>
      <c r="L395" s="295"/>
      <c r="M395" s="295"/>
      <c r="N395" s="295"/>
      <c r="O395" s="29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RefULG1'!C424,'Gebouwgegevens Allacker'!$A$35:$F$46,5,0)</f>
        <v>#N/A</v>
      </c>
      <c r="H424" s="123" t="e">
        <f>VLOOKUP('Verwarming Tabula 2zone RefULG1'!D424,'Gebouwgegevens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RefULG1'!C425,'Gebouwgegevens Allacker'!$A$35:$F$46,5,0)</f>
        <v>#N/A</v>
      </c>
      <c r="H425" s="123" t="e">
        <f>VLOOKUP('Verwarming Tabula 2zone RefULG1'!D425,'Gebouwgegevens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RefULG1'!C426,'Gebouwgegevens Allacker'!$A$35:$F$46,5,0)</f>
        <v>#N/A</v>
      </c>
      <c r="H426" s="123" t="e">
        <f>VLOOKUP('Verwarming Tabula 2zone RefULG1'!D426,'Gebouwgegevens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RefULG1'!C427,'Gebouwgegevens Allacker'!$A$35:$F$46,5,0)</f>
        <v>#N/A</v>
      </c>
      <c r="H427" s="123" t="e">
        <f>VLOOKUP('Verwarming Tabula 2zone RefULG1'!D427,'Gebouwgegevens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RefULG1'!C428,'Gebouwgegevens Allacker'!$A$35:$F$46,5,0)</f>
        <v>#N/A</v>
      </c>
      <c r="H428" s="123" t="e">
        <f>VLOOKUP('Verwarming Tabula 2zone RefULG1'!D428,'Gebouwgegevens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1" t="s">
        <v>197</v>
      </c>
      <c r="B440" s="311"/>
      <c r="C440" s="311"/>
      <c r="D440" s="126" t="s">
        <v>225</v>
      </c>
      <c r="E440" s="295"/>
      <c r="F440" s="295"/>
      <c r="G440" s="295"/>
      <c r="H440" s="295"/>
      <c r="I440" s="295"/>
      <c r="J440" s="295"/>
      <c r="K440" s="295"/>
      <c r="L440" s="295"/>
      <c r="M440" s="295"/>
      <c r="N440" s="295"/>
      <c r="O440" s="29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95"/>
      <c r="C471" s="295"/>
      <c r="D471" s="295"/>
      <c r="E471" s="295"/>
      <c r="F471" s="295"/>
      <c r="G471" s="295"/>
      <c r="H471" s="295"/>
      <c r="I471" s="295"/>
      <c r="J471" s="295"/>
      <c r="K471" s="295"/>
      <c r="L471" s="295"/>
      <c r="M471" s="295"/>
      <c r="N471" s="295"/>
      <c r="O471" s="29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1" t="s">
        <v>171</v>
      </c>
      <c r="B473" s="311"/>
      <c r="C473" s="311"/>
      <c r="D473" s="311"/>
      <c r="E473" s="295"/>
      <c r="F473" s="295"/>
      <c r="G473" s="295"/>
      <c r="H473" s="295"/>
      <c r="I473" s="295"/>
      <c r="J473" s="295"/>
      <c r="K473" s="295"/>
      <c r="L473" s="295"/>
      <c r="M473" s="295"/>
      <c r="N473" s="295"/>
      <c r="O473" s="29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RefULG1'!C502,'Gebouwgegevens Allacker'!$A$35:$F$46,5,0)</f>
        <v>#N/A</v>
      </c>
      <c r="H502" s="123" t="e">
        <f>VLOOKUP('Verwarming Tabula 2zone RefULG1'!D502,'Gebouwgegevens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RefULG1'!C503,'Gebouwgegevens Allacker'!$A$35:$F$46,5,0)</f>
        <v>#N/A</v>
      </c>
      <c r="H503" s="123" t="e">
        <f>VLOOKUP('Verwarming Tabula 2zone RefULG1'!D503,'Gebouwgegevens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RefULG1'!C504,'Gebouwgegevens Allacker'!$A$35:$F$46,5,0)</f>
        <v>#N/A</v>
      </c>
      <c r="H504" s="123" t="e">
        <f>VLOOKUP('Verwarming Tabula 2zone RefULG1'!D504,'Gebouwgegevens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1" t="s">
        <v>197</v>
      </c>
      <c r="B518" s="311"/>
      <c r="C518" s="311"/>
      <c r="D518" s="126" t="s">
        <v>225</v>
      </c>
      <c r="E518" s="295"/>
      <c r="F518" s="295"/>
      <c r="G518" s="295"/>
      <c r="H518" s="295"/>
      <c r="I518" s="295"/>
      <c r="J518" s="295"/>
      <c r="K518" s="295"/>
      <c r="L518" s="295"/>
      <c r="M518" s="295"/>
      <c r="N518" s="295"/>
      <c r="O518" s="29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95"/>
      <c r="C550" s="295"/>
      <c r="D550" s="295"/>
      <c r="E550" s="295"/>
      <c r="F550" s="295"/>
      <c r="G550" s="295"/>
      <c r="H550" s="295"/>
      <c r="I550" s="295"/>
      <c r="J550" s="295"/>
      <c r="K550" s="295"/>
      <c r="L550" s="295"/>
      <c r="M550" s="295"/>
      <c r="N550" s="295"/>
      <c r="O550" s="29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1" t="s">
        <v>171</v>
      </c>
      <c r="B552" s="311"/>
      <c r="C552" s="311"/>
      <c r="D552" s="311"/>
      <c r="E552" s="295"/>
      <c r="F552" s="295"/>
      <c r="G552" s="295"/>
      <c r="H552" s="295"/>
      <c r="I552" s="295"/>
      <c r="J552" s="295"/>
      <c r="K552" s="295"/>
      <c r="L552" s="295"/>
      <c r="M552" s="295"/>
      <c r="N552" s="295"/>
      <c r="O552" s="29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RefULG1'!C581,'Gebouwgegevens Allacker'!$A$35:$F$46,5,0)</f>
        <v>#N/A</v>
      </c>
      <c r="H581" s="123" t="e">
        <f>VLOOKUP('Verwarming Tabula 2zone RefULG1'!D581,'Gebouwgegevens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RefULG1'!C582,'Gebouwgegevens Allacker'!$A$35:$F$46,5,0)</f>
        <v>#N/A</v>
      </c>
      <c r="H582" s="123" t="e">
        <f>VLOOKUP('Verwarming Tabula 2zone RefULG1'!D582,'Gebouwgegevens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RefULG1'!C583,'Gebouwgegevens Allacker'!$A$35:$F$46,5,0)</f>
        <v>#N/A</v>
      </c>
      <c r="H583" s="123" t="e">
        <f>VLOOKUP('Verwarming Tabula 2zone RefULG1'!D583,'Gebouwgegevens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1" t="s">
        <v>197</v>
      </c>
      <c r="B597" s="311"/>
      <c r="C597" s="311"/>
      <c r="D597" s="126" t="s">
        <v>225</v>
      </c>
      <c r="E597" s="295"/>
      <c r="F597" s="295"/>
      <c r="G597" s="295"/>
      <c r="H597" s="295"/>
      <c r="I597" s="295"/>
      <c r="J597" s="295"/>
      <c r="K597" s="295"/>
      <c r="L597" s="295"/>
      <c r="M597" s="295"/>
      <c r="N597" s="295"/>
      <c r="O597" s="29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95"/>
      <c r="C629" s="295"/>
      <c r="D629" s="295"/>
      <c r="E629" s="295"/>
      <c r="F629" s="295"/>
      <c r="G629" s="295"/>
      <c r="H629" s="295"/>
      <c r="I629" s="295"/>
      <c r="J629" s="295"/>
      <c r="K629" s="295"/>
      <c r="L629" s="295"/>
      <c r="M629" s="295"/>
      <c r="N629" s="295"/>
      <c r="O629" s="29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1" t="s">
        <v>171</v>
      </c>
      <c r="B631" s="311"/>
      <c r="C631" s="311"/>
      <c r="D631" s="311"/>
      <c r="E631" s="295"/>
      <c r="F631" s="295"/>
      <c r="G631" s="295"/>
      <c r="H631" s="295"/>
      <c r="I631" s="295"/>
      <c r="J631" s="295"/>
      <c r="K631" s="295"/>
      <c r="L631" s="295"/>
      <c r="M631" s="295"/>
      <c r="N631" s="295"/>
      <c r="O631" s="29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RefULG1'!C660,'Gebouwgegevens Allacker'!$A$35:$F$46,5,0)</f>
        <v>#N/A</v>
      </c>
      <c r="H660" s="123" t="e">
        <f>VLOOKUP('Verwarming Tabula 2zone RefULG1'!D660,'Gebouwgegevens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RefULG1'!C661,'Gebouwgegevens Allacker'!$A$35:$F$46,5,0)</f>
        <v>#N/A</v>
      </c>
      <c r="H661" s="123" t="e">
        <f>VLOOKUP('Verwarming Tabula 2zone RefULG1'!D661,'Gebouwgegevens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1" t="s">
        <v>197</v>
      </c>
      <c r="B676" s="311"/>
      <c r="C676" s="311"/>
      <c r="D676" s="126" t="s">
        <v>225</v>
      </c>
      <c r="E676" s="295"/>
      <c r="F676" s="295"/>
      <c r="G676" s="295"/>
      <c r="H676" s="295"/>
      <c r="I676" s="295"/>
      <c r="J676" s="295"/>
      <c r="K676" s="295"/>
      <c r="L676" s="295"/>
      <c r="M676" s="295"/>
      <c r="N676" s="295"/>
      <c r="O676" s="29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95"/>
      <c r="C708" s="295"/>
      <c r="D708" s="295"/>
      <c r="E708" s="295"/>
      <c r="F708" s="295"/>
      <c r="G708" s="295"/>
      <c r="H708" s="295"/>
      <c r="I708" s="295"/>
      <c r="J708" s="295"/>
      <c r="K708" s="295"/>
      <c r="L708" s="295"/>
      <c r="M708" s="295"/>
      <c r="N708" s="295"/>
      <c r="O708" s="29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1" t="s">
        <v>171</v>
      </c>
      <c r="B710" s="311"/>
      <c r="C710" s="311"/>
      <c r="D710" s="311"/>
      <c r="E710" s="295"/>
      <c r="F710" s="295"/>
      <c r="G710" s="295"/>
      <c r="H710" s="295"/>
      <c r="I710" s="295"/>
      <c r="J710" s="295"/>
      <c r="K710" s="295"/>
      <c r="L710" s="295"/>
      <c r="M710" s="295"/>
      <c r="N710" s="295"/>
      <c r="O710" s="29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RefULG1'!C739,'Gebouwgegevens Allacker'!$A$35:$F$46,5,0)</f>
        <v>#N/A</v>
      </c>
      <c r="H739" s="123" t="e">
        <f>VLOOKUP('Verwarming Tabula 2zone RefULG1'!D739,'Gebouwgegevens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RefULG1'!C740,'Gebouwgegevens Allacker'!$A$35:$F$46,5,0)</f>
        <v>#N/A</v>
      </c>
      <c r="H740" s="123" t="e">
        <f>VLOOKUP('Verwarming Tabula 2zone RefULG1'!D740,'Gebouwgegevens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RefULG1'!C741,'Gebouwgegevens Allacker'!$A$35:$F$46,5,0)</f>
        <v>#N/A</v>
      </c>
      <c r="H741" s="123" t="e">
        <f>VLOOKUP('Verwarming Tabula 2zone RefULG1'!D741,'Gebouwgegevens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RefULG1'!C742,'Gebouwgegevens Allacker'!$A$35:$F$46,5,0)</f>
        <v>#N/A</v>
      </c>
      <c r="H742" s="123" t="e">
        <f>VLOOKUP('Verwarming Tabula 2zone RefULG1'!D742,'Gebouwgegevens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RefULG1'!C743,'Gebouwgegevens Allacker'!$A$35:$F$46,5,0)</f>
        <v>#N/A</v>
      </c>
      <c r="H743" s="123" t="e">
        <f>VLOOKUP('Verwarming Tabula 2zone RefULG1'!D743,'Gebouwgegevens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RefULG1'!C744,'Gebouwgegevens Allacker'!$A$35:$F$46,5,0)</f>
        <v>#N/A</v>
      </c>
      <c r="H744" s="123" t="e">
        <f>VLOOKUP('Verwarming Tabula 2zone RefULG1'!D744,'Gebouwgegevens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RefULG1'!C745,'Gebouwgegevens Allacker'!$A$35:$F$46,5,0)</f>
        <v>#N/A</v>
      </c>
      <c r="H745" s="123" t="e">
        <f>VLOOKUP('Verwarming Tabula 2zone RefULG1'!D745,'Gebouwgegevens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RefULG1'!C746,'Gebouwgegevens Allacker'!$A$35:$F$46,5,0)</f>
        <v>#N/A</v>
      </c>
      <c r="H746" s="123" t="e">
        <f>VLOOKUP('Verwarming Tabula 2zone RefULG1'!D746,'Gebouwgegevens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RefULG1'!C747,'Gebouwgegevens Allacker'!$A$35:$F$46,5,0)</f>
        <v>#N/A</v>
      </c>
      <c r="H747" s="123" t="e">
        <f>VLOOKUP('Verwarming Tabula 2zone RefULG1'!D747,'Gebouwgegevens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RefULG1'!C748,'Gebouwgegevens Allacker'!$A$35:$F$46,5,0)</f>
        <v>#N/A</v>
      </c>
      <c r="H748" s="123" t="e">
        <f>VLOOKUP('Verwarming Tabula 2zone RefULG1'!D748,'Gebouwgegevens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RefULG1'!C749,'Gebouwgegevens Allacker'!$A$35:$F$46,5,0)</f>
        <v>#N/A</v>
      </c>
      <c r="H749" s="123" t="e">
        <f>VLOOKUP('Verwarming Tabula 2zone RefULG1'!D749,'Gebouwgegevens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RefULG1'!C750,'Gebouwgegevens Allacker'!$A$35:$F$46,5,0)</f>
        <v>#N/A</v>
      </c>
      <c r="H750" s="123" t="e">
        <f>VLOOKUP('Verwarming Tabula 2zone RefULG1'!D750,'Gebouwgegevens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1" t="s">
        <v>197</v>
      </c>
      <c r="B755" s="311"/>
      <c r="C755" s="311"/>
      <c r="D755" s="126" t="s">
        <v>225</v>
      </c>
      <c r="E755" s="295"/>
      <c r="F755" s="295"/>
      <c r="G755" s="295"/>
      <c r="H755" s="295"/>
      <c r="I755" s="295"/>
      <c r="J755" s="295"/>
      <c r="K755" s="295"/>
      <c r="L755" s="295"/>
      <c r="M755" s="295"/>
      <c r="N755" s="295"/>
      <c r="O755" s="29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="D12" sqref="D12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95"/>
      <c r="W4" s="295"/>
      <c r="X4" s="295"/>
      <c r="Y4" s="95"/>
    </row>
    <row r="5" spans="1:25" ht="18" customHeight="1" thickTop="1" thickBot="1" x14ac:dyDescent="0.3">
      <c r="A5" s="94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95"/>
      <c r="U5" s="96"/>
      <c r="V5" s="306" t="s">
        <v>168</v>
      </c>
      <c r="W5" s="306"/>
      <c r="X5" s="306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95"/>
      <c r="Y6" s="97"/>
    </row>
    <row r="7" spans="1:25" ht="16.5" customHeight="1" thickTop="1" x14ac:dyDescent="0.25">
      <c r="A7" s="311" t="s">
        <v>171</v>
      </c>
      <c r="B7" s="311"/>
      <c r="C7" s="311"/>
      <c r="D7" s="311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95"/>
      <c r="U7" s="96"/>
      <c r="V7" s="102">
        <f>B6</f>
        <v>1</v>
      </c>
      <c r="W7" s="103">
        <f>B73</f>
        <v>4771.2124758801265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3985.72589230733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2'!K6</f>
        <v>W1</v>
      </c>
      <c r="C12" s="108">
        <f>VLOOKUP(B12,'Tabula RefULG 2'!$K$5:$R$83,3,0)</f>
        <v>1</v>
      </c>
      <c r="D12" s="108" t="str">
        <f>VLOOKUP(B12,'Tabula RefULG 2'!$K$5:$R$83,4,0)</f>
        <v>Wall External</v>
      </c>
      <c r="E12" s="108">
        <f>VLOOKUP(B12,'Tabula RefULG 2'!$K$5:$R$83,5,0)</f>
        <v>16.822408211117601</v>
      </c>
      <c r="F12" s="108" t="str">
        <f>VLOOKUP(B12,'Tabula RefULG 2'!$K$5:$R$83,6,0)</f>
        <v>front</v>
      </c>
      <c r="G12" s="108">
        <f>VLOOKUP(B12,'Tabula RefULG 2'!$K$5:$R$83,7,0)</f>
        <v>0.29056172075831888</v>
      </c>
      <c r="H12" s="109">
        <f>VLOOKUP(B12,'Tabula RefULG 2'!$K$5:$R$83,8,0)</f>
        <v>4.8879478771212028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2'!K7</f>
        <v>W2</v>
      </c>
      <c r="C13" s="108">
        <f>VLOOKUP(B13,'Tabula RefULG 2'!$K$5:$R$83,3,0)</f>
        <v>1</v>
      </c>
      <c r="D13" s="108" t="str">
        <f>VLOOKUP(B13,'Tabula RefULG 2'!$K$5:$R$83,4,0)</f>
        <v>Wall External</v>
      </c>
      <c r="E13" s="108">
        <f>VLOOKUP(B13,'Tabula RefULG 2'!$K$5:$R$83,5,0)</f>
        <v>35.733053277868223</v>
      </c>
      <c r="F13" s="108" t="str">
        <f>VLOOKUP(B13,'Tabula RefULG 2'!$K$5:$R$83,6,0)</f>
        <v>right</v>
      </c>
      <c r="G13" s="108">
        <f>VLOOKUP(B13,'Tabula RefULG 2'!$K$5:$R$83,7,0)</f>
        <v>0.29056172075831888</v>
      </c>
      <c r="H13" s="109">
        <f>VLOOKUP(B13,'Tabula RefULG 2'!$K$5:$R$83,8,0)</f>
        <v>10.382657448366077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2'!K8</f>
        <v>W3</v>
      </c>
      <c r="C14" s="108">
        <f>VLOOKUP(B14,'Tabula RefULG 2'!$K$5:$R$83,3,0)</f>
        <v>1</v>
      </c>
      <c r="D14" s="108" t="str">
        <f>VLOOKUP(B14,'Tabula RefULG 2'!$K$5:$R$83,4,0)</f>
        <v>Wall External</v>
      </c>
      <c r="E14" s="108">
        <f>VLOOKUP(B14,'Tabula RefULG 2'!$K$5:$R$83,5,0)</f>
        <v>16.822408211117601</v>
      </c>
      <c r="F14" s="108" t="str">
        <f>VLOOKUP(B14,'Tabula RefULG 2'!$K$5:$R$83,6,0)</f>
        <v>back</v>
      </c>
      <c r="G14" s="108">
        <f>VLOOKUP(B14,'Tabula RefULG 2'!$K$5:$R$83,7,0)</f>
        <v>0.29056172075831888</v>
      </c>
      <c r="H14" s="109">
        <f>VLOOKUP(B14,'Tabula RefULG 2'!$K$5:$R$83,8,0)</f>
        <v>4.8879478771212028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2'!K9</f>
        <v>W4</v>
      </c>
      <c r="C15" s="108">
        <f>VLOOKUP(B15,'Tabula RefULG 2'!$K$5:$R$83,3,0)</f>
        <v>1</v>
      </c>
      <c r="D15" s="108" t="str">
        <f>VLOOKUP(B15,'Tabula RefULG 2'!$K$5:$R$83,4,0)</f>
        <v>Wall External</v>
      </c>
      <c r="E15" s="108">
        <f>VLOOKUP(B15,'Tabula RefULG 2'!$K$5:$R$83,5,0)</f>
        <v>0</v>
      </c>
      <c r="F15" s="108" t="str">
        <f>VLOOKUP(B15,'Tabula RefULG 2'!$K$5:$R$83,6,0)</f>
        <v>left</v>
      </c>
      <c r="G15" s="108">
        <f>VLOOKUP(B15,'Tabula RefULG 2'!$K$5:$R$83,7,0)</f>
        <v>0.29056172075831888</v>
      </c>
      <c r="H15" s="109">
        <f>VLOOKUP(B15,'Tabula RefULG 2'!$K$5:$R$83,8,0)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2'!K10</f>
        <v>W5</v>
      </c>
      <c r="C16" s="108">
        <f>VLOOKUP(B16,'Tabula RefULG 2'!$K$5:$R$83,3,0)</f>
        <v>1</v>
      </c>
      <c r="D16" s="108" t="str">
        <f>VLOOKUP(B16,'Tabula RefULG 2'!$K$5:$R$83,4,0)</f>
        <v>Window</v>
      </c>
      <c r="E16" s="108">
        <f>VLOOKUP(B16,'Tabula RefULG 2'!$K$5:$R$83,5,0)</f>
        <v>3.7</v>
      </c>
      <c r="F16" s="108" t="str">
        <f>VLOOKUP(B16,'Tabula RefULG 2'!$K$5:$R$83,6,0)</f>
        <v>front</v>
      </c>
      <c r="G16" s="108">
        <f>VLOOKUP(B16,'Tabula RefULG 2'!$K$5:$R$83,7,0)</f>
        <v>2</v>
      </c>
      <c r="H16" s="109">
        <f>VLOOKUP(B16,'Tabula RefULG 2'!$K$5:$R$83,8,0)</f>
        <v>7.4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2'!K11</f>
        <v>W6</v>
      </c>
      <c r="C17" s="108">
        <f>VLOOKUP(B17,'Tabula RefULG 2'!$K$5:$R$83,3,0)</f>
        <v>1</v>
      </c>
      <c r="D17" s="108" t="str">
        <f>VLOOKUP(B17,'Tabula RefULG 2'!$K$5:$R$83,4,0)</f>
        <v>Window</v>
      </c>
      <c r="E17" s="108">
        <f>VLOOKUP(B17,'Tabula RefULG 2'!$K$5:$R$83,5,0)</f>
        <v>3.65</v>
      </c>
      <c r="F17" s="108" t="str">
        <f>VLOOKUP(B17,'Tabula RefULG 2'!$K$5:$R$83,6,0)</f>
        <v>right</v>
      </c>
      <c r="G17" s="108">
        <f>VLOOKUP(B17,'Tabula RefULG 2'!$K$5:$R$83,7,0)</f>
        <v>2</v>
      </c>
      <c r="H17" s="109">
        <f>VLOOKUP(B17,'Tabula RefULG 2'!$K$5:$R$83,8,0)</f>
        <v>7.3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2'!K12</f>
        <v>W7</v>
      </c>
      <c r="C18" s="108">
        <f>VLOOKUP(B18,'Tabula RefULG 2'!$K$5:$R$83,3,0)</f>
        <v>1</v>
      </c>
      <c r="D18" s="108" t="str">
        <f>VLOOKUP(B18,'Tabula RefULG 2'!$K$5:$R$83,4,0)</f>
        <v>Window</v>
      </c>
      <c r="E18" s="108">
        <f>VLOOKUP(B18,'Tabula RefULG 2'!$K$5:$R$83,5,0)</f>
        <v>4.2</v>
      </c>
      <c r="F18" s="108" t="str">
        <f>VLOOKUP(B18,'Tabula RefULG 2'!$K$5:$R$83,6,0)</f>
        <v>back</v>
      </c>
      <c r="G18" s="108">
        <f>VLOOKUP(B18,'Tabula RefULG 2'!$K$5:$R$83,7,0)</f>
        <v>2</v>
      </c>
      <c r="H18" s="109">
        <f>VLOOKUP(B18,'Tabula RefULG 2'!$K$5:$R$83,8,0)</f>
        <v>8.4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8756.9383681874569</v>
      </c>
      <c r="X18" s="295" t="s">
        <v>172</v>
      </c>
      <c r="Y18" s="97"/>
    </row>
    <row r="19" spans="1:25" ht="16.5" customHeight="1" thickTop="1" thickBot="1" x14ac:dyDescent="0.3">
      <c r="A19" s="96"/>
      <c r="B19" s="107" t="str">
        <f>'Tabula RefULG 2'!K13</f>
        <v>W8</v>
      </c>
      <c r="C19" s="108">
        <f>VLOOKUP(B19,'Tabula RefULG 2'!$K$5:$R$83,3,0)</f>
        <v>1</v>
      </c>
      <c r="D19" s="108" t="str">
        <f>VLOOKUP(B19,'Tabula RefULG 2'!$K$5:$R$83,4,0)</f>
        <v>Window</v>
      </c>
      <c r="E19" s="108">
        <f>VLOOKUP(B19,'Tabula RefULG 2'!$K$5:$R$83,5,0)</f>
        <v>3.75</v>
      </c>
      <c r="F19" s="108" t="str">
        <f>VLOOKUP(B19,'Tabula RefULG 2'!$K$5:$R$83,6,0)</f>
        <v>left</v>
      </c>
      <c r="G19" s="108">
        <f>VLOOKUP(B19,'Tabula RefULG 2'!$K$5:$R$83,7,0)</f>
        <v>2</v>
      </c>
      <c r="H19" s="109">
        <f>VLOOKUP(B19,'Tabula RefULG 2'!$K$5:$R$83,8,0)</f>
        <v>7.5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2'!$K$5:$R$83,3,0)</f>
        <v>1</v>
      </c>
      <c r="D21" s="108" t="str">
        <f>VLOOKUP(B21,'Tabula RefULG 2'!$K$5:$R$83,4,0)</f>
        <v>Roof</v>
      </c>
      <c r="E21" s="108">
        <f>VLOOKUP(B21,'Tabula RefULG 2'!$K$5:$R$83,5,0)</f>
        <v>0</v>
      </c>
      <c r="F21" s="108">
        <f>VLOOKUP(B21,'Tabula RefULG 2'!$K$5:$R$83,6,0)</f>
        <v>0</v>
      </c>
      <c r="G21" s="108">
        <f>VLOOKUP(B21,'Tabula RefULG 2'!$K$5:$R$83,7,0)</f>
        <v>0.2816515182597264</v>
      </c>
      <c r="H21" s="109">
        <f>VLOOKUP(B21,'Tabula RefULG 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5248.3337234681394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2'!$K$5:$R$83,3,0)</f>
        <v>1</v>
      </c>
      <c r="D22" s="108" t="str">
        <f>VLOOKUP(B22,'Tabula RefULG 2'!$K$5:$R$83,4,0)</f>
        <v>Door</v>
      </c>
      <c r="E22" s="108">
        <f>VLOOKUP(B22,'Tabula RefULG 2'!$K$5:$R$83,5,0)</f>
        <v>9.5</v>
      </c>
      <c r="F22" s="108">
        <f>VLOOKUP(B22,'Tabula RefULG 2'!$K$5:$R$83,6,0)</f>
        <v>0</v>
      </c>
      <c r="G22" s="108">
        <f>VLOOKUP(B22,'Tabula RefULG 2'!$K$5:$R$83,7,0)</f>
        <v>4</v>
      </c>
      <c r="H22" s="109">
        <f>VLOOKUP(B22,'Tabula RefULG 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2'!$K$5:$R$83,3,0)</f>
        <v>1</v>
      </c>
      <c r="D28" s="118" t="str">
        <f>VLOOKUP(B28,'Tabula RefULG 2'!$K$5:$R$83,4,0)</f>
        <v>Floor</v>
      </c>
      <c r="E28" s="118">
        <f>VLOOKUP(B28,'Tabula RefULG 2'!$K$5:$R$83,5,0)</f>
        <v>88.800000000000011</v>
      </c>
      <c r="F28" s="118">
        <f>VLOOKUP(B28,'Tabula RefULG 2'!$K$5:$R$83,7,0)</f>
        <v>0.26077238296287103</v>
      </c>
      <c r="G28" s="119">
        <f>VLOOKUP(B28,'Tabula RefULG 2'!$K$5:$R$83,8,0)</f>
        <v>23.156587607102949</v>
      </c>
      <c r="H28" s="119">
        <f>N28/F28*1.45*(21-12)/(21+8)</f>
        <v>0.34548217102158868</v>
      </c>
      <c r="I28" s="118">
        <f>'Tabula RefULG 2'!O14</f>
        <v>88.800000000000011</v>
      </c>
      <c r="J28" s="117">
        <f>SQRT(I28)*4</f>
        <v>37.693500766047194</v>
      </c>
      <c r="K28" s="117">
        <f>SUM('Tabula RefULG 2'!Z16:Z19)</f>
        <v>0.16700000000000001</v>
      </c>
      <c r="L28" s="120">
        <f>I28/(0.5*J28)</f>
        <v>4.7116875957558984</v>
      </c>
      <c r="M28" s="120">
        <f>K28+2*(1/F28)</f>
        <v>7.8365238095238077</v>
      </c>
      <c r="N28" s="121">
        <f>IF(M28&lt;L28,2*2/(PI()*L28+M28)*LN(PI()*L28/M28+1),2/(0.457*L28+M28))</f>
        <v>0.20020490890774631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9632.6322050062026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2'!$K$5:$R$83,2,0)=B$6,VLOOKUP(B33,'Tabula RefULG 2'!$K$5:$R$83,2,0),VLOOKUP(B33,'Tabula RefULG 2'!$K$5:$R$83,3,0))</f>
        <v>1</v>
      </c>
      <c r="D33" s="123">
        <f>IF(VLOOKUP(B33,'Tabula RefULG 2'!$K$5:$R$83,2,0)=B$6,VLOOKUP(B33,'Tabula RefULG 2'!$K$5:$R$83,3,0),VLOOKUP(B33,'Tabula RefULG 2'!$K$5:$R$83,2,0))</f>
        <v>2</v>
      </c>
      <c r="E33" s="123" t="str">
        <f>VLOOKUP(B33,'Tabula RefULG 2'!$K$5:$R$83,4,0)</f>
        <v>Floor internal</v>
      </c>
      <c r="F33" s="123">
        <f>VLOOKUP(B33,'Tabula RefULG 2'!$K$5:$R$83,5,0)</f>
        <v>104.6</v>
      </c>
      <c r="G33" s="123">
        <f>VLOOKUP('Verwarming Tabula 2zone RefULG2'!C33,'Tabula RefULG 2'!$A$34:$F$45,5,0)</f>
        <v>21</v>
      </c>
      <c r="H33" s="123">
        <f>VLOOKUP('Verwarming Tabula 2zone RefULG2'!D33,'Tabula RefULG 2'!$A$34:$F$45,5,0)</f>
        <v>18</v>
      </c>
      <c r="I33" s="123">
        <f>VLOOKUP(B33,'Tabula RefULG 2'!$K$5:$R$83,7,0)</f>
        <v>1.0482529118136439</v>
      </c>
      <c r="J33" s="119">
        <f>VLOOKUP(B33,'Tabula RefULG 2'!$K$5:$R$83,8,0)</f>
        <v>109.64725457570714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2'!$K$5:$R$83,2,0)=B$6,VLOOKUP(B34,'Tabula RefULG 2'!$K$5:$R$83,2,0),VLOOKUP(B34,'Tabula RefULG 2'!$K$5:$R$83,3,0))</f>
        <v>1</v>
      </c>
      <c r="D34" s="123">
        <f>IF(VLOOKUP(B34,'Tabula RefULG 2'!$K$5:$R$83,2,0)=B$6,VLOOKUP(B34,'Tabula RefULG 2'!$K$5:$R$83,3,0),VLOOKUP(B34,'Tabula RefULG 2'!$K$5:$R$83,2,0))</f>
        <v>1</v>
      </c>
      <c r="E34" s="123" t="str">
        <f>VLOOKUP(B34,'Tabula RefULG 2'!$K$5:$R$83,4,0)</f>
        <v>Wall internal</v>
      </c>
      <c r="F34" s="123">
        <f>VLOOKUP(B34,'Tabula RefULG 2'!$K$5:$R$83,5,0)</f>
        <v>69.377869700103432</v>
      </c>
      <c r="G34" s="123">
        <f>VLOOKUP('Verwarming Tabula 2zone RefULG2'!C34,'Tabula RefULG 2'!$A$34:$F$45,5,0)</f>
        <v>21</v>
      </c>
      <c r="H34" s="123">
        <f>VLOOKUP('Verwarming Tabula 2zone RefULG2'!D34,'Tabula RefULG 2'!$A$34:$F$45,5,0)</f>
        <v>21</v>
      </c>
      <c r="I34" s="123">
        <f>VLOOKUP(B34,'Tabula RefULG 2'!$K$5:$R$83,7,0)</f>
        <v>1.210762331838565</v>
      </c>
      <c r="J34" s="119">
        <f>VLOOKUP(B34,'Tabula RefULG 2'!$K$5:$R$83,8,0)</f>
        <v>84.000111296089358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108.10156080142828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3134.94526324142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1" t="s">
        <v>197</v>
      </c>
      <c r="B45" s="311"/>
      <c r="C45" s="311"/>
      <c r="D45" s="126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data'!E34</f>
        <v>4.3039307880383673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2'!B34</f>
        <v>66.883084446116243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2'!G34</f>
        <v>88.800000000000011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66.883084446116243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0.32229394688811908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22.740248711679524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659.4672126387062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2'!B7</f>
        <v>88.800000000000011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RefULG2'!$B$4)</f>
        <v>33.682758620689661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976.80000000000018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164.52456813379746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4771.2124758801265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1" t="s">
        <v>171</v>
      </c>
      <c r="B79" s="311"/>
      <c r="C79" s="311"/>
      <c r="D79" s="311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2'!$K$5:$R$83,3,0)</f>
        <v>2</v>
      </c>
      <c r="D84" s="108" t="str">
        <f>VLOOKUP(B84,'Tabula RefULG 2'!$K$5:$R$83,4,0)</f>
        <v>Wall External</v>
      </c>
      <c r="E84" s="108">
        <f>VLOOKUP(B84,'Tabula RefULG 2'!$K$5:$R$83,5,0)</f>
        <v>19.815584446879509</v>
      </c>
      <c r="F84" s="108" t="str">
        <f>VLOOKUP(B84,'Tabula RefULG 2'!$K$5:$R$83,6,0)</f>
        <v>front</v>
      </c>
      <c r="G84" s="108">
        <f>VLOOKUP(B84,'Tabula RefULG 2'!$K$5:$R$83,7,0)</f>
        <v>0.29056172075831888</v>
      </c>
      <c r="H84" s="109">
        <f>VLOOKUP(B84,'Tabula RefULG 2'!$K$5:$R$83,8,0)</f>
        <v>5.7576503147170905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2'!$K$5:$R$83,3,0)</f>
        <v>2</v>
      </c>
      <c r="D85" s="108" t="str">
        <f>VLOOKUP(B85,'Tabula RefULG 2'!$K$5:$R$83,4,0)</f>
        <v>Wall External</v>
      </c>
      <c r="E85" s="108">
        <f>VLOOKUP(B85,'Tabula RefULG 2'!$K$5:$R$83,5,0)</f>
        <v>42.090961406137552</v>
      </c>
      <c r="F85" s="108" t="str">
        <f>VLOOKUP(B85,'Tabula RefULG 2'!$K$5:$R$83,6,0)</f>
        <v>right</v>
      </c>
      <c r="G85" s="108">
        <f>VLOOKUP(B85,'Tabula RefULG 2'!$K$5:$R$83,7,0)</f>
        <v>0.29056172075831888</v>
      </c>
      <c r="H85" s="109">
        <f>VLOOKUP(B85,'Tabula RefULG 2'!$K$5:$R$83,8,0)</f>
        <v>12.230022174539316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2'!$K$5:$R$83,3,0)</f>
        <v>2</v>
      </c>
      <c r="D86" s="108" t="str">
        <f>VLOOKUP(B86,'Tabula RefULG 2'!$K$5:$R$83,4,0)</f>
        <v>Wall External</v>
      </c>
      <c r="E86" s="108">
        <f>VLOOKUP(B86,'Tabula RefULG 2'!$K$5:$R$83,5,0)</f>
        <v>19.815584446879509</v>
      </c>
      <c r="F86" s="108" t="str">
        <f>VLOOKUP(B86,'Tabula RefULG 2'!$K$5:$R$83,6,0)</f>
        <v>back</v>
      </c>
      <c r="G86" s="108">
        <f>VLOOKUP(B86,'Tabula RefULG 2'!$K$5:$R$83,7,0)</f>
        <v>0.29056172075831888</v>
      </c>
      <c r="H86" s="109">
        <f>VLOOKUP(B86,'Tabula RefULG 2'!$K$5:$R$83,8,0)</f>
        <v>5.7576503147170905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2'!$K$5:$R$83,3,0)</f>
        <v>2</v>
      </c>
      <c r="D87" s="108" t="str">
        <f>VLOOKUP(B87,'Tabula RefULG 2'!$K$5:$R$83,4,0)</f>
        <v>Wall External</v>
      </c>
      <c r="E87" s="108">
        <f>VLOOKUP(B87,'Tabula RefULG 2'!$K$5:$R$83,5,0)</f>
        <v>0</v>
      </c>
      <c r="F87" s="108" t="str">
        <f>VLOOKUP(B87,'Tabula RefULG 2'!$K$5:$R$83,6,0)</f>
        <v>left</v>
      </c>
      <c r="G87" s="108">
        <f>VLOOKUP(B87,'Tabula RefULG 2'!$K$5:$R$83,7,0)</f>
        <v>0.29056172075831888</v>
      </c>
      <c r="H87" s="109">
        <f>VLOOKUP(B87,'Tabula RefULG 2'!$K$5:$R$83,8,0)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2'!$K$5:$R$83,3,0)</f>
        <v>2</v>
      </c>
      <c r="D88" s="108" t="str">
        <f>VLOOKUP(B88,'Tabula RefULG 2'!$K$5:$R$83,4,0)</f>
        <v>Window</v>
      </c>
      <c r="E88" s="108">
        <f>VLOOKUP(B88,'Tabula RefULG 2'!$K$5:$R$83,5,0)</f>
        <v>3.7</v>
      </c>
      <c r="F88" s="108" t="str">
        <f>VLOOKUP(B88,'Tabula RefULG 2'!$K$5:$R$83,6,0)</f>
        <v>front</v>
      </c>
      <c r="G88" s="108">
        <f>VLOOKUP(B88,'Tabula RefULG 2'!$K$5:$R$83,7,0)</f>
        <v>2</v>
      </c>
      <c r="H88" s="109">
        <f>VLOOKUP(B88,'Tabula RefULG 2'!$K$5:$R$83,8,0)</f>
        <v>7.4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2'!$K$5:$R$83,3,0)</f>
        <v>2</v>
      </c>
      <c r="D89" s="108" t="str">
        <f>VLOOKUP(B89,'Tabula RefULG 2'!$K$5:$R$83,4,0)</f>
        <v>Window</v>
      </c>
      <c r="E89" s="108">
        <f>VLOOKUP(B89,'Tabula RefULG 2'!$K$5:$R$83,5,0)</f>
        <v>3.65</v>
      </c>
      <c r="F89" s="108" t="str">
        <f>VLOOKUP(B89,'Tabula RefULG 2'!$K$5:$R$83,6,0)</f>
        <v>right</v>
      </c>
      <c r="G89" s="108">
        <f>VLOOKUP(B89,'Tabula RefULG 2'!$K$5:$R$83,7,0)</f>
        <v>2</v>
      </c>
      <c r="H89" s="109">
        <f>VLOOKUP(B89,'Tabula RefULG 2'!$K$5:$R$83,8,0)</f>
        <v>7.3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2'!$K$5:$R$83,3,0)</f>
        <v>2</v>
      </c>
      <c r="D90" s="108" t="str">
        <f>VLOOKUP(B90,'Tabula RefULG 2'!$K$5:$R$83,4,0)</f>
        <v>Window</v>
      </c>
      <c r="E90" s="108">
        <f>VLOOKUP(B90,'Tabula RefULG 2'!$K$5:$R$83,5,0)</f>
        <v>4.2</v>
      </c>
      <c r="F90" s="108" t="str">
        <f>VLOOKUP(B90,'Tabula RefULG 2'!$K$5:$R$83,6,0)</f>
        <v>back</v>
      </c>
      <c r="G90" s="108">
        <f>VLOOKUP(B90,'Tabula RefULG 2'!$K$5:$R$83,7,0)</f>
        <v>2</v>
      </c>
      <c r="H90" s="109">
        <f>VLOOKUP(B90,'Tabula RefULG 2'!$K$5:$R$83,8,0)</f>
        <v>8.4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2'!$K$5:$R$83,3,0)</f>
        <v>2</v>
      </c>
      <c r="D91" s="108" t="str">
        <f>VLOOKUP(B91,'Tabula RefULG 2'!$K$5:$R$83,4,0)</f>
        <v>Window</v>
      </c>
      <c r="E91" s="108">
        <f>VLOOKUP(B91,'Tabula RefULG 2'!$K$5:$R$83,5,0)</f>
        <v>3.75</v>
      </c>
      <c r="F91" s="108" t="str">
        <f>VLOOKUP(B91,'Tabula RefULG 2'!$K$5:$R$83,6,0)</f>
        <v>left</v>
      </c>
      <c r="G91" s="108">
        <f>VLOOKUP(B91,'Tabula RefULG 2'!$K$5:$R$83,7,0)</f>
        <v>2</v>
      </c>
      <c r="H91" s="109">
        <f>VLOOKUP(B91,'Tabula RefULG 2'!$K$5:$R$83,8,0)</f>
        <v>7.5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2'!$K$5:$R$83,3,0)</f>
        <v>2</v>
      </c>
      <c r="D92" s="108" t="str">
        <f>VLOOKUP(B92,'Tabula RefULG 2'!$K$5:$R$83,4,0)</f>
        <v>Roof</v>
      </c>
      <c r="E92" s="108">
        <f>VLOOKUP(B92,'Tabula RefULG 2'!$K$5:$R$83,5,0)</f>
        <v>101.4</v>
      </c>
      <c r="F92" s="108" t="str">
        <f>VLOOKUP(B92,'Tabula RefULG 2'!$K$5:$R$83,6,0)</f>
        <v>front/back</v>
      </c>
      <c r="G92" s="108">
        <f>VLOOKUP(B92,'Tabula RefULG 2'!$K$5:$R$83,7,0)</f>
        <v>0.2816515182597264</v>
      </c>
      <c r="H92" s="109">
        <f>VLOOKUP(B92,'Tabula RefULG 2'!$K$5:$R$83,8,0)</f>
        <v>28.559463951536259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2'!$K$5:$R$83,2,0)=$B$78,VLOOKUP(B108,'Tabula RefULG 2'!$K$5:$R$83,2,0),VLOOKUP(B108,'Tabula RefULG 2'!$K$5:$R$83,3,0))</f>
        <v>2</v>
      </c>
      <c r="D108" s="123">
        <f>IF(VLOOKUP(B108,'Tabula RefULG 2'!$K$5:$R$83,2,0)=$B$78,VLOOKUP(B108,'Tabula RefULG 2'!$K$5:$R$83,3,0),VLOOKUP(B108,'Tabula RefULG 2'!$K$5:$R$83,2,0))</f>
        <v>1</v>
      </c>
      <c r="E108" s="123" t="str">
        <f>VLOOKUP(B108,'Tabula RefULG 2'!$K$5:$R$83,4,0)</f>
        <v>Floor internal</v>
      </c>
      <c r="F108" s="123">
        <f>VLOOKUP(B108,'Tabula RefULG 2'!$K$5:$R$83,5,0)</f>
        <v>104.6</v>
      </c>
      <c r="G108" s="123">
        <f>VLOOKUP('Verwarming Tabula 2zone RefULG2'!C108,'Tabula RefULG 2'!$A$34:$F$45,5,0)</f>
        <v>18</v>
      </c>
      <c r="H108" s="123">
        <f>VLOOKUP('Verwarming Tabula 2zone RefULG2'!D108,'Tabula RefULG 2'!$A$34:$F$45,5,0)</f>
        <v>21</v>
      </c>
      <c r="I108" s="123">
        <f>VLOOKUP(B108,'Tabula RefULG 2'!$K$5:$R$83,7,0)</f>
        <v>1.0482529118136439</v>
      </c>
      <c r="J108" s="119">
        <f>VLOOKUP(B108,'Tabula RefULG 2'!$K$5:$R$83,8,0)</f>
        <v>109.64725457570714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2'!$K$5:$R$83,2,0)=$B$78,VLOOKUP(B109,'Tabula RefULG 2'!$K$5:$R$83,2,0),VLOOKUP(B109,'Tabula RefULG 2'!$K$5:$R$83,3,0))</f>
        <v>2</v>
      </c>
      <c r="D109" s="123">
        <f>IF(VLOOKUP(B109,'Tabula RefULG 2'!$K$5:$R$83,2,0)=$B$78,VLOOKUP(B109,'Tabula RefULG 2'!$K$5:$R$83,3,0),VLOOKUP(B109,'Tabula RefULG 2'!$K$5:$R$83,2,0))</f>
        <v>2</v>
      </c>
      <c r="E109" s="123" t="str">
        <f>VLOOKUP(B109,'Tabula RefULG 2'!$K$5:$R$83,4,0)</f>
        <v>Wall internal</v>
      </c>
      <c r="F109" s="123">
        <f>VLOOKUP(B109,'Tabula RefULG 2'!$K$5:$R$83,5,0)</f>
        <v>81.722130299896577</v>
      </c>
      <c r="G109" s="123">
        <f>VLOOKUP('Verwarming Tabula 2zone RefULG2'!C109,'Tabula RefULG 2'!$A$34:$F$45,5,0)</f>
        <v>18</v>
      </c>
      <c r="H109" s="123">
        <f>VLOOKUP('Verwarming Tabula 2zone RefULG2'!D109,'Tabula RefULG 2'!$A$34:$F$45,5,0)</f>
        <v>18</v>
      </c>
      <c r="I109" s="123">
        <f>VLOOKUP(B109,'Tabula RefULG 2'!$K$5:$R$83,7,0)</f>
        <v>1.210762331838565</v>
      </c>
      <c r="J109" s="119">
        <f>VLOOKUP(B109,'Tabula RefULG 2'!$K$5:$R$83,8,0)</f>
        <v>98.946077044717825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70.253180458312769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1826.582691916132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1" t="s">
        <v>197</v>
      </c>
      <c r="B124" s="311"/>
      <c r="C124" s="311"/>
      <c r="D124" s="126" t="s">
        <v>225</v>
      </c>
      <c r="E124" s="295"/>
      <c r="F124" s="295"/>
      <c r="G124" s="295"/>
      <c r="H124" s="295"/>
      <c r="I124" s="295"/>
      <c r="J124" s="295"/>
      <c r="K124" s="295"/>
      <c r="L124" s="295"/>
      <c r="M124" s="295"/>
      <c r="N124" s="295"/>
      <c r="O124" s="29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data'!E34</f>
        <v>4.3039307880383673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2'!$A$34:$F$45,2,0)*B127*B128*B129</f>
        <v>57.044298664660509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2'!G35</f>
        <v>104.6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/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57.044298664660509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0.35767141518271278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38.79012309196915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1008.5432003911978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104.6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RefULG2'!$B$4)</f>
        <v>143.82499999999999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1150.5999999999999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252.86830355028189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3985.72589230733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95"/>
      <c r="C157" s="295"/>
      <c r="D157" s="295"/>
      <c r="E157" s="295"/>
      <c r="F157" s="295"/>
      <c r="G157" s="295"/>
      <c r="H157" s="295"/>
      <c r="I157" s="295"/>
      <c r="J157" s="295"/>
      <c r="K157" s="295"/>
      <c r="L157" s="295"/>
      <c r="M157" s="295"/>
      <c r="N157" s="295"/>
      <c r="O157" s="295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1" t="s">
        <v>171</v>
      </c>
      <c r="B159" s="311"/>
      <c r="C159" s="311"/>
      <c r="D159" s="311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RefULG2'!C188,'Gebouwgegevens Allacker'!$A$35:$F$46,5,0)</f>
        <v>#N/A</v>
      </c>
      <c r="H188" s="123" t="e">
        <f>VLOOKUP('Verwarming Tabula 2zone RefULG2'!D188,'Gebouwgegevens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RefULG2'!C189,'Gebouwgegevens Allacker'!$A$35:$F$46,5,0)</f>
        <v>#N/A</v>
      </c>
      <c r="H189" s="123" t="e">
        <f>VLOOKUP('Verwarming Tabula 2zone RefULG2'!D189,'Gebouwgegevens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RefULG2'!C190,'Gebouwgegevens Allacker'!$A$35:$F$46,5,0)</f>
        <v>#N/A</v>
      </c>
      <c r="H190" s="123" t="e">
        <f>VLOOKUP('Verwarming Tabula 2zone RefULG2'!D190,'Gebouwgegevens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1" t="s">
        <v>197</v>
      </c>
      <c r="B204" s="311"/>
      <c r="C204" s="311"/>
      <c r="D204" s="126" t="s">
        <v>225</v>
      </c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  <c r="O204" s="29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95"/>
      <c r="C236" s="295"/>
      <c r="D236" s="295"/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  <c r="O236" s="295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1" t="s">
        <v>171</v>
      </c>
      <c r="B238" s="311"/>
      <c r="C238" s="311"/>
      <c r="D238" s="311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RefULG2'!C267,'Gebouwgegevens Allacker'!$A$35:$F$46,5,0)</f>
        <v>#N/A</v>
      </c>
      <c r="H267" s="123" t="e">
        <f>VLOOKUP('Verwarming Tabula 2zone RefULG2'!D267,'Gebouwgegevens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RefULG2'!C268,'Gebouwgegevens Allacker'!$A$35:$F$46,5,0)</f>
        <v>#N/A</v>
      </c>
      <c r="H268" s="123" t="e">
        <f>VLOOKUP('Verwarming Tabula 2zone RefULG2'!D268,'Gebouwgegevens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RefULG2'!C269,'Gebouwgegevens Allacker'!$A$35:$F$46,5,0)</f>
        <v>#N/A</v>
      </c>
      <c r="H269" s="123" t="e">
        <f>VLOOKUP('Verwarming Tabula 2zone RefULG2'!D269,'Gebouwgegevens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RefULG2'!C270,'Gebouwgegevens Allacker'!$A$35:$F$46,5,0)</f>
        <v>#N/A</v>
      </c>
      <c r="H270" s="123" t="e">
        <f>VLOOKUP('Verwarming Tabula 2zone RefULG2'!D270,'Gebouwgegevens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1" t="s">
        <v>197</v>
      </c>
      <c r="B283" s="311"/>
      <c r="C283" s="311"/>
      <c r="D283" s="126" t="s">
        <v>225</v>
      </c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1" t="s">
        <v>171</v>
      </c>
      <c r="B317" s="311"/>
      <c r="C317" s="311"/>
      <c r="D317" s="311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RefULG2'!C346,'Gebouwgegevens Allacker'!$A$35:$F$46,5,0)</f>
        <v>#N/A</v>
      </c>
      <c r="H346" s="123" t="e">
        <f>VLOOKUP('Verwarming Tabula 2zone RefULG2'!D346,'Gebouwgegevens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RefULG2'!C347,'Gebouwgegevens Allacker'!$A$35:$F$46,5,0)</f>
        <v>#N/A</v>
      </c>
      <c r="H347" s="123" t="e">
        <f>VLOOKUP('Verwarming Tabula 2zone RefULG2'!D347,'Gebouwgegevens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RefULG2'!C348,'Gebouwgegevens Allacker'!$A$35:$F$46,5,0)</f>
        <v>#N/A</v>
      </c>
      <c r="H348" s="123" t="e">
        <f>VLOOKUP('Verwarming Tabula 2zone RefULG2'!D348,'Gebouwgegevens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RefULG2'!C349,'Gebouwgegevens Allacker'!$A$35:$F$46,5,0)</f>
        <v>#N/A</v>
      </c>
      <c r="H349" s="123" t="e">
        <f>VLOOKUP('Verwarming Tabula 2zone RefULG2'!D349,'Gebouwgegevens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RefULG2'!C350,'Gebouwgegevens Allacker'!$A$35:$F$46,5,0)</f>
        <v>#N/A</v>
      </c>
      <c r="H350" s="123" t="e">
        <f>VLOOKUP('Verwarming Tabula 2zone RefULG2'!D350,'Gebouwgegevens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1" t="s">
        <v>197</v>
      </c>
      <c r="B362" s="311"/>
      <c r="C362" s="311"/>
      <c r="D362" s="126" t="s">
        <v>225</v>
      </c>
      <c r="E362" s="295"/>
      <c r="F362" s="295"/>
      <c r="G362" s="295"/>
      <c r="H362" s="295"/>
      <c r="I362" s="295"/>
      <c r="J362" s="295"/>
      <c r="K362" s="295"/>
      <c r="L362" s="295"/>
      <c r="M362" s="295"/>
      <c r="N362" s="295"/>
      <c r="O362" s="29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95"/>
      <c r="C393" s="295"/>
      <c r="D393" s="295"/>
      <c r="E393" s="295"/>
      <c r="F393" s="295"/>
      <c r="G393" s="295"/>
      <c r="H393" s="295"/>
      <c r="I393" s="295"/>
      <c r="J393" s="295"/>
      <c r="K393" s="295"/>
      <c r="L393" s="295"/>
      <c r="M393" s="295"/>
      <c r="N393" s="295"/>
      <c r="O393" s="295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1" t="s">
        <v>171</v>
      </c>
      <c r="B395" s="311"/>
      <c r="C395" s="311"/>
      <c r="D395" s="311"/>
      <c r="E395" s="295"/>
      <c r="F395" s="295"/>
      <c r="G395" s="295"/>
      <c r="H395" s="295"/>
      <c r="I395" s="295"/>
      <c r="J395" s="295"/>
      <c r="K395" s="295"/>
      <c r="L395" s="295"/>
      <c r="M395" s="295"/>
      <c r="N395" s="295"/>
      <c r="O395" s="29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RefULG2'!C424,'Gebouwgegevens Allacker'!$A$35:$F$46,5,0)</f>
        <v>#N/A</v>
      </c>
      <c r="H424" s="123" t="e">
        <f>VLOOKUP('Verwarming Tabula 2zone RefULG2'!D424,'Gebouwgegevens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RefULG2'!C425,'Gebouwgegevens Allacker'!$A$35:$F$46,5,0)</f>
        <v>#N/A</v>
      </c>
      <c r="H425" s="123" t="e">
        <f>VLOOKUP('Verwarming Tabula 2zone RefULG2'!D425,'Gebouwgegevens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RefULG2'!C426,'Gebouwgegevens Allacker'!$A$35:$F$46,5,0)</f>
        <v>#N/A</v>
      </c>
      <c r="H426" s="123" t="e">
        <f>VLOOKUP('Verwarming Tabula 2zone RefULG2'!D426,'Gebouwgegevens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RefULG2'!C427,'Gebouwgegevens Allacker'!$A$35:$F$46,5,0)</f>
        <v>#N/A</v>
      </c>
      <c r="H427" s="123" t="e">
        <f>VLOOKUP('Verwarming Tabula 2zone RefULG2'!D427,'Gebouwgegevens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RefULG2'!C428,'Gebouwgegevens Allacker'!$A$35:$F$46,5,0)</f>
        <v>#N/A</v>
      </c>
      <c r="H428" s="123" t="e">
        <f>VLOOKUP('Verwarming Tabula 2zone RefULG2'!D428,'Gebouwgegevens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1" t="s">
        <v>197</v>
      </c>
      <c r="B440" s="311"/>
      <c r="C440" s="311"/>
      <c r="D440" s="126" t="s">
        <v>225</v>
      </c>
      <c r="E440" s="295"/>
      <c r="F440" s="295"/>
      <c r="G440" s="295"/>
      <c r="H440" s="295"/>
      <c r="I440" s="295"/>
      <c r="J440" s="295"/>
      <c r="K440" s="295"/>
      <c r="L440" s="295"/>
      <c r="M440" s="295"/>
      <c r="N440" s="295"/>
      <c r="O440" s="29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95"/>
      <c r="C471" s="295"/>
      <c r="D471" s="295"/>
      <c r="E471" s="295"/>
      <c r="F471" s="295"/>
      <c r="G471" s="295"/>
      <c r="H471" s="295"/>
      <c r="I471" s="295"/>
      <c r="J471" s="295"/>
      <c r="K471" s="295"/>
      <c r="L471" s="295"/>
      <c r="M471" s="295"/>
      <c r="N471" s="295"/>
      <c r="O471" s="295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1" t="s">
        <v>171</v>
      </c>
      <c r="B473" s="311"/>
      <c r="C473" s="311"/>
      <c r="D473" s="311"/>
      <c r="E473" s="295"/>
      <c r="F473" s="295"/>
      <c r="G473" s="295"/>
      <c r="H473" s="295"/>
      <c r="I473" s="295"/>
      <c r="J473" s="295"/>
      <c r="K473" s="295"/>
      <c r="L473" s="295"/>
      <c r="M473" s="295"/>
      <c r="N473" s="295"/>
      <c r="O473" s="29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RefULG2'!C502,'Gebouwgegevens Allacker'!$A$35:$F$46,5,0)</f>
        <v>#N/A</v>
      </c>
      <c r="H502" s="123" t="e">
        <f>VLOOKUP('Verwarming Tabula 2zone RefULG2'!D502,'Gebouwgegevens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RefULG2'!C503,'Gebouwgegevens Allacker'!$A$35:$F$46,5,0)</f>
        <v>#N/A</v>
      </c>
      <c r="H503" s="123" t="e">
        <f>VLOOKUP('Verwarming Tabula 2zone RefULG2'!D503,'Gebouwgegevens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RefULG2'!C504,'Gebouwgegevens Allacker'!$A$35:$F$46,5,0)</f>
        <v>#N/A</v>
      </c>
      <c r="H504" s="123" t="e">
        <f>VLOOKUP('Verwarming Tabula 2zone RefULG2'!D504,'Gebouwgegevens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1" t="s">
        <v>197</v>
      </c>
      <c r="B518" s="311"/>
      <c r="C518" s="311"/>
      <c r="D518" s="126" t="s">
        <v>225</v>
      </c>
      <c r="E518" s="295"/>
      <c r="F518" s="295"/>
      <c r="G518" s="295"/>
      <c r="H518" s="295"/>
      <c r="I518" s="295"/>
      <c r="J518" s="295"/>
      <c r="K518" s="295"/>
      <c r="L518" s="295"/>
      <c r="M518" s="295"/>
      <c r="N518" s="295"/>
      <c r="O518" s="29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95"/>
      <c r="C550" s="295"/>
      <c r="D550" s="295"/>
      <c r="E550" s="295"/>
      <c r="F550" s="295"/>
      <c r="G550" s="295"/>
      <c r="H550" s="295"/>
      <c r="I550" s="295"/>
      <c r="J550" s="295"/>
      <c r="K550" s="295"/>
      <c r="L550" s="295"/>
      <c r="M550" s="295"/>
      <c r="N550" s="295"/>
      <c r="O550" s="295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1" t="s">
        <v>171</v>
      </c>
      <c r="B552" s="311"/>
      <c r="C552" s="311"/>
      <c r="D552" s="311"/>
      <c r="E552" s="295"/>
      <c r="F552" s="295"/>
      <c r="G552" s="295"/>
      <c r="H552" s="295"/>
      <c r="I552" s="295"/>
      <c r="J552" s="295"/>
      <c r="K552" s="295"/>
      <c r="L552" s="295"/>
      <c r="M552" s="295"/>
      <c r="N552" s="295"/>
      <c r="O552" s="29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RefULG2'!C581,'Gebouwgegevens Allacker'!$A$35:$F$46,5,0)</f>
        <v>#N/A</v>
      </c>
      <c r="H581" s="123" t="e">
        <f>VLOOKUP('Verwarming Tabula 2zone RefULG2'!D581,'Gebouwgegevens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RefULG2'!C582,'Gebouwgegevens Allacker'!$A$35:$F$46,5,0)</f>
        <v>#N/A</v>
      </c>
      <c r="H582" s="123" t="e">
        <f>VLOOKUP('Verwarming Tabula 2zone RefULG2'!D582,'Gebouwgegevens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RefULG2'!C583,'Gebouwgegevens Allacker'!$A$35:$F$46,5,0)</f>
        <v>#N/A</v>
      </c>
      <c r="H583" s="123" t="e">
        <f>VLOOKUP('Verwarming Tabula 2zone RefULG2'!D583,'Gebouwgegevens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1" t="s">
        <v>197</v>
      </c>
      <c r="B597" s="311"/>
      <c r="C597" s="311"/>
      <c r="D597" s="126" t="s">
        <v>225</v>
      </c>
      <c r="E597" s="295"/>
      <c r="F597" s="295"/>
      <c r="G597" s="295"/>
      <c r="H597" s="295"/>
      <c r="I597" s="295"/>
      <c r="J597" s="295"/>
      <c r="K597" s="295"/>
      <c r="L597" s="295"/>
      <c r="M597" s="295"/>
      <c r="N597" s="295"/>
      <c r="O597" s="29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95"/>
      <c r="C629" s="295"/>
      <c r="D629" s="295"/>
      <c r="E629" s="295"/>
      <c r="F629" s="295"/>
      <c r="G629" s="295"/>
      <c r="H629" s="295"/>
      <c r="I629" s="295"/>
      <c r="J629" s="295"/>
      <c r="K629" s="295"/>
      <c r="L629" s="295"/>
      <c r="M629" s="295"/>
      <c r="N629" s="295"/>
      <c r="O629" s="295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1" t="s">
        <v>171</v>
      </c>
      <c r="B631" s="311"/>
      <c r="C631" s="311"/>
      <c r="D631" s="311"/>
      <c r="E631" s="295"/>
      <c r="F631" s="295"/>
      <c r="G631" s="295"/>
      <c r="H631" s="295"/>
      <c r="I631" s="295"/>
      <c r="J631" s="295"/>
      <c r="K631" s="295"/>
      <c r="L631" s="295"/>
      <c r="M631" s="295"/>
      <c r="N631" s="295"/>
      <c r="O631" s="29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RefULG2'!C660,'Gebouwgegevens Allacker'!$A$35:$F$46,5,0)</f>
        <v>#N/A</v>
      </c>
      <c r="H660" s="123" t="e">
        <f>VLOOKUP('Verwarming Tabula 2zone RefULG2'!D660,'Gebouwgegevens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RefULG2'!C661,'Gebouwgegevens Allacker'!$A$35:$F$46,5,0)</f>
        <v>#N/A</v>
      </c>
      <c r="H661" s="123" t="e">
        <f>VLOOKUP('Verwarming Tabula 2zone RefULG2'!D661,'Gebouwgegevens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1" t="s">
        <v>197</v>
      </c>
      <c r="B676" s="311"/>
      <c r="C676" s="311"/>
      <c r="D676" s="126" t="s">
        <v>225</v>
      </c>
      <c r="E676" s="295"/>
      <c r="F676" s="295"/>
      <c r="G676" s="295"/>
      <c r="H676" s="295"/>
      <c r="I676" s="295"/>
      <c r="J676" s="295"/>
      <c r="K676" s="295"/>
      <c r="L676" s="295"/>
      <c r="M676" s="295"/>
      <c r="N676" s="295"/>
      <c r="O676" s="29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95"/>
      <c r="C708" s="295"/>
      <c r="D708" s="295"/>
      <c r="E708" s="295"/>
      <c r="F708" s="295"/>
      <c r="G708" s="295"/>
      <c r="H708" s="295"/>
      <c r="I708" s="295"/>
      <c r="J708" s="295"/>
      <c r="K708" s="295"/>
      <c r="L708" s="295"/>
      <c r="M708" s="295"/>
      <c r="N708" s="295"/>
      <c r="O708" s="295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1" t="s">
        <v>171</v>
      </c>
      <c r="B710" s="311"/>
      <c r="C710" s="311"/>
      <c r="D710" s="311"/>
      <c r="E710" s="295"/>
      <c r="F710" s="295"/>
      <c r="G710" s="295"/>
      <c r="H710" s="295"/>
      <c r="I710" s="295"/>
      <c r="J710" s="295"/>
      <c r="K710" s="295"/>
      <c r="L710" s="295"/>
      <c r="M710" s="295"/>
      <c r="N710" s="295"/>
      <c r="O710" s="29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RefULG2'!C739,'Gebouwgegevens Allacker'!$A$35:$F$46,5,0)</f>
        <v>#N/A</v>
      </c>
      <c r="H739" s="123" t="e">
        <f>VLOOKUP('Verwarming Tabula 2zone RefULG2'!D739,'Gebouwgegevens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RefULG2'!C740,'Gebouwgegevens Allacker'!$A$35:$F$46,5,0)</f>
        <v>#N/A</v>
      </c>
      <c r="H740" s="123" t="e">
        <f>VLOOKUP('Verwarming Tabula 2zone RefULG2'!D740,'Gebouwgegevens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RefULG2'!C741,'Gebouwgegevens Allacker'!$A$35:$F$46,5,0)</f>
        <v>#N/A</v>
      </c>
      <c r="H741" s="123" t="e">
        <f>VLOOKUP('Verwarming Tabula 2zone RefULG2'!D741,'Gebouwgegevens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RefULG2'!C742,'Gebouwgegevens Allacker'!$A$35:$F$46,5,0)</f>
        <v>#N/A</v>
      </c>
      <c r="H742" s="123" t="e">
        <f>VLOOKUP('Verwarming Tabula 2zone RefULG2'!D742,'Gebouwgegevens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RefULG2'!C743,'Gebouwgegevens Allacker'!$A$35:$F$46,5,0)</f>
        <v>#N/A</v>
      </c>
      <c r="H743" s="123" t="e">
        <f>VLOOKUP('Verwarming Tabula 2zone RefULG2'!D743,'Gebouwgegevens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RefULG2'!C744,'Gebouwgegevens Allacker'!$A$35:$F$46,5,0)</f>
        <v>#N/A</v>
      </c>
      <c r="H744" s="123" t="e">
        <f>VLOOKUP('Verwarming Tabula 2zone RefULG2'!D744,'Gebouwgegevens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RefULG2'!C745,'Gebouwgegevens Allacker'!$A$35:$F$46,5,0)</f>
        <v>#N/A</v>
      </c>
      <c r="H745" s="123" t="e">
        <f>VLOOKUP('Verwarming Tabula 2zone RefULG2'!D745,'Gebouwgegevens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RefULG2'!C746,'Gebouwgegevens Allacker'!$A$35:$F$46,5,0)</f>
        <v>#N/A</v>
      </c>
      <c r="H746" s="123" t="e">
        <f>VLOOKUP('Verwarming Tabula 2zone RefULG2'!D746,'Gebouwgegevens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RefULG2'!C747,'Gebouwgegevens Allacker'!$A$35:$F$46,5,0)</f>
        <v>#N/A</v>
      </c>
      <c r="H747" s="123" t="e">
        <f>VLOOKUP('Verwarming Tabula 2zone RefULG2'!D747,'Gebouwgegevens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RefULG2'!C748,'Gebouwgegevens Allacker'!$A$35:$F$46,5,0)</f>
        <v>#N/A</v>
      </c>
      <c r="H748" s="123" t="e">
        <f>VLOOKUP('Verwarming Tabula 2zone RefULG2'!D748,'Gebouwgegevens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RefULG2'!C749,'Gebouwgegevens Allacker'!$A$35:$F$46,5,0)</f>
        <v>#N/A</v>
      </c>
      <c r="H749" s="123" t="e">
        <f>VLOOKUP('Verwarming Tabula 2zone RefULG2'!D749,'Gebouwgegevens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RefULG2'!C750,'Gebouwgegevens Allacker'!$A$35:$F$46,5,0)</f>
        <v>#N/A</v>
      </c>
      <c r="H750" s="123" t="e">
        <f>VLOOKUP('Verwarming Tabula 2zone RefULG2'!D750,'Gebouwgegevens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1" t="s">
        <v>197</v>
      </c>
      <c r="B755" s="311"/>
      <c r="C755" s="311"/>
      <c r="D755" s="126" t="s">
        <v>225</v>
      </c>
      <c r="E755" s="295"/>
      <c r="F755" s="295"/>
      <c r="G755" s="295"/>
      <c r="H755" s="295"/>
      <c r="I755" s="295"/>
      <c r="J755" s="295"/>
      <c r="K755" s="295"/>
      <c r="L755" s="295"/>
      <c r="M755" s="295"/>
      <c r="N755" s="295"/>
      <c r="O755" s="29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B4" sqref="B4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51" t="s">
        <v>287</v>
      </c>
    </row>
    <row r="3" spans="1:9" x14ac:dyDescent="0.25">
      <c r="A3" s="152" t="s">
        <v>288</v>
      </c>
    </row>
    <row r="4" spans="1:9" x14ac:dyDescent="0.25">
      <c r="A4" t="s">
        <v>289</v>
      </c>
      <c r="B4" s="153">
        <f>SUM('Gebouwgegevens Tabula 2zone'!R6:R9)</f>
        <v>117.570793853388</v>
      </c>
      <c r="C4" t="s">
        <v>107</v>
      </c>
    </row>
    <row r="5" spans="1:9" x14ac:dyDescent="0.25">
      <c r="A5" t="s">
        <v>290</v>
      </c>
      <c r="B5" s="153">
        <f>F5+I5</f>
        <v>144.72074613503855</v>
      </c>
      <c r="C5" t="s">
        <v>107</v>
      </c>
      <c r="E5" s="154" t="s">
        <v>291</v>
      </c>
      <c r="F5" s="155">
        <f>'Verwarming Tabula 2zone'!B60</f>
        <v>68.220746135038567</v>
      </c>
      <c r="G5" s="154"/>
      <c r="H5" s="154" t="s">
        <v>292</v>
      </c>
      <c r="I5" s="155">
        <f>SUM('Gebouwgegevens Tabula 2zone'!R10:R13)</f>
        <v>76.5</v>
      </c>
    </row>
    <row r="6" spans="1:9" x14ac:dyDescent="0.25">
      <c r="A6" t="s">
        <v>293</v>
      </c>
      <c r="B6" s="153">
        <f>SUM('Gebouwgegevens Tabula 2zone'!O6:O9*'Gebouwgegevens Tabula 2zone'!AA21)</f>
        <v>29.209326154352105</v>
      </c>
      <c r="C6" t="s">
        <v>107</v>
      </c>
    </row>
    <row r="7" spans="1:9" x14ac:dyDescent="0.25">
      <c r="A7" t="s">
        <v>294</v>
      </c>
      <c r="B7" s="153">
        <f>'Gebouwgegevens Tabula 2zone'!R14</f>
        <v>250.30872483221484</v>
      </c>
      <c r="C7" t="s">
        <v>107</v>
      </c>
      <c r="D7" s="154" t="s">
        <v>295</v>
      </c>
    </row>
    <row r="8" spans="1:9" x14ac:dyDescent="0.25">
      <c r="A8" t="s">
        <v>296</v>
      </c>
      <c r="B8" s="153">
        <f>B4+B5+B7</f>
        <v>512.60026482064143</v>
      </c>
      <c r="D8" s="154"/>
    </row>
    <row r="9" spans="1:9" x14ac:dyDescent="0.25">
      <c r="B9" s="153"/>
      <c r="D9" s="154"/>
    </row>
    <row r="10" spans="1:9" x14ac:dyDescent="0.25">
      <c r="B10" t="s">
        <v>297</v>
      </c>
      <c r="D10" t="s">
        <v>298</v>
      </c>
    </row>
    <row r="11" spans="1:9" x14ac:dyDescent="0.25">
      <c r="A11" t="s">
        <v>299</v>
      </c>
      <c r="B11" s="156">
        <f>SUM('Gebouwgegevens Tabula 2zone'!S6:S9)</f>
        <v>21183838.73422958</v>
      </c>
      <c r="C11" s="156" t="s">
        <v>300</v>
      </c>
      <c r="D11" s="156">
        <f>SUM('Gebouwgegevens Tabula 2zone'!U6:U9)</f>
        <v>12558781.973112725</v>
      </c>
      <c r="E11" t="s">
        <v>300</v>
      </c>
    </row>
    <row r="12" spans="1:9" x14ac:dyDescent="0.25">
      <c r="A12" t="s">
        <v>122</v>
      </c>
      <c r="B12" s="156">
        <f>'Gebouwgegevens Tabula 2zone'!B34*5*1012*1.204</f>
        <v>1893468.1920000005</v>
      </c>
      <c r="C12" t="s">
        <v>300</v>
      </c>
      <c r="D12" s="156">
        <f>B12</f>
        <v>1893468.1920000005</v>
      </c>
      <c r="E12" t="s">
        <v>300</v>
      </c>
    </row>
    <row r="13" spans="1:9" x14ac:dyDescent="0.25">
      <c r="A13" t="s">
        <v>301</v>
      </c>
      <c r="B13" s="156">
        <f>SUM('Gebouwgegevens Tabula 2zone'!O6:O9)*'Gebouwgegevens Tabula 2zone'!AE21</f>
        <v>13695191.47880042</v>
      </c>
      <c r="C13" t="s">
        <v>300</v>
      </c>
      <c r="D13" s="156">
        <f>B13</f>
        <v>13695191.47880042</v>
      </c>
      <c r="E13" t="s">
        <v>300</v>
      </c>
    </row>
    <row r="14" spans="1:9" x14ac:dyDescent="0.25">
      <c r="A14" t="s">
        <v>302</v>
      </c>
      <c r="B14" s="156">
        <f>'Gebouwgegevens Tabula 2zone'!S14</f>
        <v>33349728.000000004</v>
      </c>
      <c r="C14" s="156" t="s">
        <v>300</v>
      </c>
      <c r="D14" s="156">
        <f>'Gebouwgegevens Tabula 2zone'!U14</f>
        <v>9853248.0000000019</v>
      </c>
      <c r="E14" s="156" t="s">
        <v>300</v>
      </c>
      <c r="F14" s="156"/>
    </row>
    <row r="16" spans="1:9" x14ac:dyDescent="0.25">
      <c r="A16" t="s">
        <v>303</v>
      </c>
      <c r="B16">
        <f>B11+B13</f>
        <v>34879030.213029996</v>
      </c>
      <c r="D16">
        <f>D11+D13</f>
        <v>26253973.451913144</v>
      </c>
    </row>
    <row r="17" spans="1:9" x14ac:dyDescent="0.25">
      <c r="A17" t="s">
        <v>304</v>
      </c>
      <c r="B17" s="157">
        <f>SUM(B11:B14)</f>
        <v>70122226.405029997</v>
      </c>
      <c r="D17" s="157">
        <f>SUM(D11:D14)</f>
        <v>38000689.643913142</v>
      </c>
    </row>
    <row r="18" spans="1:9" x14ac:dyDescent="0.25">
      <c r="A18" s="152" t="s">
        <v>63</v>
      </c>
    </row>
    <row r="19" spans="1:9" x14ac:dyDescent="0.25">
      <c r="A19" t="s">
        <v>305</v>
      </c>
      <c r="B19" s="153">
        <f>'Gebouwgegevens Tabula 2zone'!R26</f>
        <v>152.18937644341798</v>
      </c>
      <c r="C19" t="s">
        <v>107</v>
      </c>
    </row>
    <row r="20" spans="1:9" x14ac:dyDescent="0.25">
      <c r="A20" t="s">
        <v>306</v>
      </c>
      <c r="B20" s="156">
        <f>'Gebouwgegevens Tabula 2zone'!S26</f>
        <v>48695484</v>
      </c>
      <c r="C20" s="156" t="s">
        <v>300</v>
      </c>
      <c r="D20" s="156">
        <f>'Gebouwgegevens Tabula 2zone'!U26</f>
        <v>48695484</v>
      </c>
      <c r="E20" t="s">
        <v>300</v>
      </c>
    </row>
    <row r="22" spans="1:9" x14ac:dyDescent="0.25">
      <c r="A22" s="152" t="s">
        <v>307</v>
      </c>
    </row>
    <row r="23" spans="1:9" x14ac:dyDescent="0.25">
      <c r="A23" t="s">
        <v>289</v>
      </c>
      <c r="B23" s="153">
        <f>SUM('Gebouwgegevens Tabula 2zone'!R17:R20)</f>
        <v>138.48992158856285</v>
      </c>
      <c r="C23" t="s">
        <v>107</v>
      </c>
    </row>
    <row r="24" spans="1:9" x14ac:dyDescent="0.25">
      <c r="A24" t="s">
        <v>290</v>
      </c>
      <c r="B24" s="153">
        <f>SUM(F24,I24)</f>
        <v>134.68518463795371</v>
      </c>
      <c r="C24" t="s">
        <v>107</v>
      </c>
      <c r="E24" s="154" t="s">
        <v>291</v>
      </c>
      <c r="F24" s="155">
        <f>'Verwarming Tabula 2zone'!B139</f>
        <v>58.185184637953718</v>
      </c>
      <c r="G24" s="154"/>
      <c r="H24" s="154" t="s">
        <v>292</v>
      </c>
      <c r="I24" s="155">
        <f>SUM('Gebouwgegevens Tabula 2zone'!R21:R24)</f>
        <v>76.5</v>
      </c>
    </row>
    <row r="25" spans="1:9" x14ac:dyDescent="0.25">
      <c r="A25" t="s">
        <v>293</v>
      </c>
      <c r="B25" s="153">
        <f>SUM('Gebouwgegevens Tabula 2zone'!O17:O20)*'Gebouwgegevens Tabula 2zone'!AA21</f>
        <v>141.89694650142815</v>
      </c>
      <c r="C25" t="s">
        <v>107</v>
      </c>
    </row>
    <row r="26" spans="1:9" x14ac:dyDescent="0.25">
      <c r="A26" t="s">
        <v>308</v>
      </c>
      <c r="B26" s="153">
        <f>'Gebouwgegevens Tabula 2zone'!R25</f>
        <v>168.38365699687139</v>
      </c>
      <c r="C26" t="s">
        <v>107</v>
      </c>
      <c r="D26" s="154" t="s">
        <v>295</v>
      </c>
    </row>
    <row r="27" spans="1:9" x14ac:dyDescent="0.25">
      <c r="A27" t="s">
        <v>296</v>
      </c>
      <c r="B27" s="153">
        <f>B23+B24+B26</f>
        <v>441.55876322338793</v>
      </c>
      <c r="D27" s="154"/>
    </row>
    <row r="28" spans="1:9" x14ac:dyDescent="0.25">
      <c r="B28" s="153"/>
      <c r="D28" s="154"/>
    </row>
    <row r="29" spans="1:9" x14ac:dyDescent="0.25">
      <c r="B29" t="s">
        <v>297</v>
      </c>
      <c r="D29" t="s">
        <v>298</v>
      </c>
    </row>
    <row r="30" spans="1:9" x14ac:dyDescent="0.25">
      <c r="A30" t="s">
        <v>299</v>
      </c>
      <c r="B30" s="156">
        <f>SUM('Gebouwgegevens Tabula 2zone'!S17:S20)</f>
        <v>24953035.265770417</v>
      </c>
      <c r="C30" s="156" t="s">
        <v>300</v>
      </c>
      <c r="D30" s="156">
        <f>SUM('Gebouwgegevens Tabula 2zone'!U17:U20)</f>
        <v>14793340.026887279</v>
      </c>
      <c r="E30" t="s">
        <v>300</v>
      </c>
    </row>
    <row r="31" spans="1:9" x14ac:dyDescent="0.25">
      <c r="A31" t="s">
        <v>122</v>
      </c>
      <c r="B31" s="156">
        <f>'Gebouwgegevens Tabula 2zone'!B35*5*1012*1.204</f>
        <v>1345775.8159999999</v>
      </c>
      <c r="C31" t="s">
        <v>300</v>
      </c>
      <c r="D31" s="156">
        <f>B31</f>
        <v>1345775.8159999999</v>
      </c>
      <c r="E31" t="s">
        <v>300</v>
      </c>
    </row>
    <row r="32" spans="1:9" x14ac:dyDescent="0.25">
      <c r="A32" t="s">
        <v>301</v>
      </c>
      <c r="B32" s="156">
        <f>SUM('Gebouwgegevens Tabula 2zone'!O17:O20)*'Gebouwgegevens Tabula 2zone'!AE21</f>
        <v>16131948.521199586</v>
      </c>
      <c r="C32" t="s">
        <v>300</v>
      </c>
      <c r="D32" s="156">
        <f>B32</f>
        <v>16131948.521199586</v>
      </c>
      <c r="E32" t="s">
        <v>300</v>
      </c>
    </row>
    <row r="33" spans="1:6" x14ac:dyDescent="0.25">
      <c r="A33" t="s">
        <v>309</v>
      </c>
      <c r="B33" s="156">
        <f>'Gebouwgegevens Tabula 2zone'!S25</f>
        <v>4625056.8</v>
      </c>
      <c r="C33" s="156" t="s">
        <v>300</v>
      </c>
      <c r="D33" s="156">
        <f>'Gebouwgegevens Tabula 2zone'!U25</f>
        <v>1660932</v>
      </c>
      <c r="E33" s="156" t="s">
        <v>300</v>
      </c>
      <c r="F33" s="156"/>
    </row>
    <row r="35" spans="1:6" x14ac:dyDescent="0.25">
      <c r="A35" t="s">
        <v>303</v>
      </c>
      <c r="B35">
        <f>B30+B32</f>
        <v>41084983.786970004</v>
      </c>
      <c r="D35">
        <f>D30+D32</f>
        <v>30925288.548086867</v>
      </c>
    </row>
    <row r="36" spans="1:6" x14ac:dyDescent="0.25">
      <c r="A36" t="s">
        <v>304</v>
      </c>
      <c r="B36">
        <f>B30+B31+B32+B33</f>
        <v>47055816.402970001</v>
      </c>
      <c r="D36" s="157">
        <f>SUM(D30:D33)</f>
        <v>33931996.364086866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296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zoomScaleNormal="100" workbookViewId="0">
      <selection activeCell="AM8" sqref="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309" t="s">
        <v>0</v>
      </c>
      <c r="B1" s="309"/>
      <c r="C1" s="309"/>
      <c r="D1" s="309"/>
      <c r="E1" s="309"/>
      <c r="F1" s="309"/>
      <c r="G1" s="309"/>
    </row>
    <row r="3" spans="1:41" x14ac:dyDescent="0.25">
      <c r="A3" s="306" t="s">
        <v>1</v>
      </c>
      <c r="B3" s="306"/>
      <c r="C3" s="306"/>
      <c r="D3" s="306"/>
      <c r="E3" s="306"/>
      <c r="F3" s="306"/>
      <c r="G3" s="306"/>
      <c r="H3" s="306"/>
      <c r="J3" s="306" t="s">
        <v>2</v>
      </c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4"/>
      <c r="V3" s="306" t="s">
        <v>3</v>
      </c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06" t="s">
        <v>112</v>
      </c>
      <c r="F34" s="306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307">
        <v>21</v>
      </c>
      <c r="F35" s="307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308" t="s">
        <v>119</v>
      </c>
      <c r="F37" s="308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>
      <selection activeCell="E34" sqref="E34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5" ht="15" customHeight="1" x14ac:dyDescent="0.3">
      <c r="A1" s="82" t="s">
        <v>134</v>
      </c>
      <c r="B1" s="82"/>
      <c r="C1" s="82"/>
    </row>
    <row r="3" spans="1:5" ht="15" customHeight="1" x14ac:dyDescent="0.25">
      <c r="A3" s="83" t="s">
        <v>135</v>
      </c>
      <c r="B3" s="310" t="s">
        <v>4</v>
      </c>
      <c r="C3" s="310"/>
      <c r="D3" t="s">
        <v>136</v>
      </c>
    </row>
    <row r="4" spans="1:5" ht="15" customHeight="1" x14ac:dyDescent="0.25">
      <c r="A4" s="84" t="s">
        <v>137</v>
      </c>
      <c r="B4" s="84">
        <v>193.4</v>
      </c>
      <c r="C4" s="84" t="s">
        <v>9</v>
      </c>
      <c r="D4" s="85">
        <f>'Gebouwgegevens Allacker'!B24</f>
        <v>181.04399999999998</v>
      </c>
    </row>
    <row r="5" spans="1:5" ht="15" customHeight="1" x14ac:dyDescent="0.25">
      <c r="A5" s="84" t="s">
        <v>6</v>
      </c>
      <c r="B5" s="84">
        <v>531.70000000000005</v>
      </c>
      <c r="C5" s="84" t="s">
        <v>7</v>
      </c>
      <c r="D5" s="81">
        <f>'Gebouwgegevens Allacker'!B5</f>
        <v>502</v>
      </c>
      <c r="E5" s="255">
        <f>B5/B4</f>
        <v>2.7492244053774564</v>
      </c>
    </row>
    <row r="6" spans="1:5" ht="15" customHeight="1" x14ac:dyDescent="0.25">
      <c r="A6" s="84" t="s">
        <v>138</v>
      </c>
      <c r="B6" s="84">
        <v>381.4</v>
      </c>
      <c r="C6" s="84" t="s">
        <v>9</v>
      </c>
      <c r="D6" s="3">
        <f>'Gebouwgegevens Allacker'!B27</f>
        <v>461.41751555669748</v>
      </c>
    </row>
    <row r="7" spans="1:5" ht="15" customHeight="1" x14ac:dyDescent="0.25">
      <c r="A7" s="84" t="s">
        <v>20</v>
      </c>
      <c r="B7" s="84">
        <v>101.4</v>
      </c>
      <c r="C7" s="84" t="s">
        <v>9</v>
      </c>
      <c r="D7" s="3">
        <f>'Gebouwgegevens Allacker'!N15+'Gebouwgegevens Allacker'!N25</f>
        <v>128.62751555669749</v>
      </c>
    </row>
    <row r="8" spans="1:5" ht="15" customHeight="1" x14ac:dyDescent="0.25">
      <c r="A8" s="84" t="s">
        <v>139</v>
      </c>
      <c r="B8" s="86">
        <v>133.1</v>
      </c>
      <c r="C8" s="84" t="s">
        <v>9</v>
      </c>
      <c r="D8">
        <v>0</v>
      </c>
    </row>
    <row r="9" spans="1:5" ht="15" customHeight="1" x14ac:dyDescent="0.25">
      <c r="A9" s="84" t="s">
        <v>140</v>
      </c>
      <c r="B9" s="84">
        <v>18</v>
      </c>
      <c r="C9" s="84" t="s">
        <v>9</v>
      </c>
      <c r="D9">
        <v>0</v>
      </c>
    </row>
    <row r="10" spans="1:5" ht="15" customHeight="1" x14ac:dyDescent="0.25">
      <c r="A10" s="84" t="s">
        <v>141</v>
      </c>
      <c r="B10" s="87">
        <f>B8+B9</f>
        <v>151.1</v>
      </c>
      <c r="C10" s="84"/>
      <c r="D10" s="3">
        <f>SUM('Gebouwgegevens Allacker'!N6:N9,'Gebouwgegevens Allacker'!N17:N20)</f>
        <v>206.43000000000004</v>
      </c>
    </row>
    <row r="11" spans="1:5" ht="15" customHeight="1" x14ac:dyDescent="0.25">
      <c r="A11" s="84" t="s">
        <v>142</v>
      </c>
      <c r="B11" s="84">
        <v>43.7</v>
      </c>
      <c r="C11" s="84" t="s">
        <v>9</v>
      </c>
      <c r="D11">
        <v>0</v>
      </c>
    </row>
    <row r="12" spans="1:5" ht="15" customHeight="1" x14ac:dyDescent="0.25">
      <c r="A12" s="84" t="s">
        <v>143</v>
      </c>
      <c r="B12" s="84">
        <v>45.1</v>
      </c>
      <c r="C12" s="84" t="s">
        <v>9</v>
      </c>
      <c r="D12">
        <v>0</v>
      </c>
    </row>
    <row r="13" spans="1:5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5" ht="15" customHeight="1" x14ac:dyDescent="0.25">
      <c r="A14" s="84" t="s">
        <v>145</v>
      </c>
      <c r="B14" s="84">
        <f>B12+B11</f>
        <v>88.800000000000011</v>
      </c>
      <c r="C14" s="84"/>
      <c r="D14" s="3">
        <f>SUM('Gebouwgegevens Allacker'!N14)</f>
        <v>104.86</v>
      </c>
    </row>
    <row r="15" spans="1:5" s="81" customFormat="1" ht="15" customHeight="1" x14ac:dyDescent="0.25">
      <c r="A15" s="266" t="s">
        <v>501</v>
      </c>
      <c r="B15" s="267">
        <v>2</v>
      </c>
      <c r="C15" s="268"/>
      <c r="D15" s="153">
        <f>B4/B14</f>
        <v>2.1779279279279278</v>
      </c>
      <c r="E15" s="81">
        <f>B4/B14</f>
        <v>2.1779279279279278</v>
      </c>
    </row>
    <row r="16" spans="1:5" s="81" customFormat="1" ht="15" customHeight="1" x14ac:dyDescent="0.25">
      <c r="A16" s="266" t="s">
        <v>502</v>
      </c>
      <c r="B16" s="269">
        <f>E5</f>
        <v>2.7492244053774564</v>
      </c>
      <c r="C16" s="266" t="s">
        <v>70</v>
      </c>
      <c r="D16" s="153"/>
    </row>
    <row r="17" spans="1:5" s="81" customFormat="1" ht="15" customHeight="1" x14ac:dyDescent="0.25">
      <c r="A17" s="266" t="s">
        <v>503</v>
      </c>
      <c r="B17" s="269">
        <f>SQRT(B14/2)</f>
        <v>6.6633324995830732</v>
      </c>
      <c r="C17" s="266" t="s">
        <v>70</v>
      </c>
      <c r="D17" s="153"/>
      <c r="E17" s="270" t="s">
        <v>504</v>
      </c>
    </row>
    <row r="18" spans="1:5" s="81" customFormat="1" ht="15" customHeight="1" x14ac:dyDescent="0.25">
      <c r="A18" s="266" t="s">
        <v>505</v>
      </c>
      <c r="B18" s="269">
        <f>B14/B17</f>
        <v>13.326664999166146</v>
      </c>
      <c r="C18" s="266" t="s">
        <v>70</v>
      </c>
      <c r="D18" s="153"/>
      <c r="E18" s="81" t="s">
        <v>506</v>
      </c>
    </row>
    <row r="19" spans="1:5" s="81" customFormat="1" ht="15" customHeight="1" x14ac:dyDescent="0.25">
      <c r="A19" s="266" t="s">
        <v>507</v>
      </c>
      <c r="B19" s="269">
        <f>B15*B16*B17</f>
        <v>36.63799265799711</v>
      </c>
      <c r="C19" s="266"/>
      <c r="D19" s="153"/>
    </row>
    <row r="20" spans="1:5" s="81" customFormat="1" ht="15" customHeight="1" x14ac:dyDescent="0.25">
      <c r="A20" s="266" t="s">
        <v>508</v>
      </c>
      <c r="B20" s="269">
        <f>B10-2*B19</f>
        <v>77.824014684005775</v>
      </c>
      <c r="C20" s="266" t="s">
        <v>9</v>
      </c>
      <c r="D20" s="153"/>
    </row>
    <row r="21" spans="1:5" ht="15" customHeight="1" x14ac:dyDescent="0.25">
      <c r="A21" s="84" t="s">
        <v>146</v>
      </c>
      <c r="B21" s="84">
        <v>9.5</v>
      </c>
      <c r="C21" s="84" t="s">
        <v>9</v>
      </c>
      <c r="D21" s="3">
        <f>'Gebouwgegevens Allacker'!N16</f>
        <v>7.5</v>
      </c>
    </row>
    <row r="22" spans="1:5" ht="15" customHeight="1" x14ac:dyDescent="0.25">
      <c r="A22" s="84" t="s">
        <v>147</v>
      </c>
      <c r="B22" s="84">
        <v>7.4</v>
      </c>
      <c r="C22" s="84" t="s">
        <v>9</v>
      </c>
      <c r="D22">
        <v>0</v>
      </c>
    </row>
    <row r="23" spans="1:5" ht="15" customHeight="1" x14ac:dyDescent="0.25">
      <c r="A23" s="84" t="s">
        <v>148</v>
      </c>
      <c r="B23" s="84">
        <v>7.3</v>
      </c>
      <c r="C23" s="84" t="s">
        <v>9</v>
      </c>
      <c r="D23">
        <v>0</v>
      </c>
    </row>
    <row r="24" spans="1:5" ht="15" customHeight="1" x14ac:dyDescent="0.25">
      <c r="A24" s="84" t="s">
        <v>149</v>
      </c>
      <c r="B24" s="84">
        <v>8.4</v>
      </c>
      <c r="C24" s="84" t="s">
        <v>9</v>
      </c>
      <c r="D24">
        <v>0</v>
      </c>
    </row>
    <row r="25" spans="1:5" ht="15" customHeight="1" x14ac:dyDescent="0.25">
      <c r="A25" s="84" t="s">
        <v>150</v>
      </c>
      <c r="B25" s="84">
        <v>7.5</v>
      </c>
      <c r="C25" s="84" t="s">
        <v>9</v>
      </c>
      <c r="D25">
        <v>0</v>
      </c>
    </row>
    <row r="26" spans="1:5" ht="15" customHeight="1" x14ac:dyDescent="0.25">
      <c r="A26" s="84" t="s">
        <v>151</v>
      </c>
      <c r="B26" s="84">
        <f>SUM(B22:B25)</f>
        <v>30.6</v>
      </c>
      <c r="C26" s="84"/>
      <c r="D26">
        <f>'Gebouwgegevens Allacker'!G5</f>
        <v>14</v>
      </c>
    </row>
    <row r="27" spans="1:5" ht="15" customHeight="1" x14ac:dyDescent="0.25">
      <c r="A27" s="84" t="s">
        <v>152</v>
      </c>
      <c r="B27" s="86">
        <f>B5/B6</f>
        <v>1.3940744625065551</v>
      </c>
      <c r="C27" s="84"/>
      <c r="D27" s="3">
        <f>'Gebouwgegevens Allacker'!F17</f>
        <v>1.0879517640207914</v>
      </c>
    </row>
    <row r="28" spans="1:5" ht="15" customHeight="1" x14ac:dyDescent="0.25">
      <c r="A28" s="84" t="s">
        <v>153</v>
      </c>
      <c r="B28" s="86">
        <f>B6/(SUM(B11:B13)*2)</f>
        <v>2.1475225225225221</v>
      </c>
      <c r="C28" s="84"/>
      <c r="D28" s="3">
        <f>'Gebouwgegevens Allacker'!F18</f>
        <v>2.5486484807930534</v>
      </c>
    </row>
    <row r="29" spans="1:5" ht="15" customHeight="1" x14ac:dyDescent="0.25">
      <c r="A29" s="84" t="s">
        <v>154</v>
      </c>
      <c r="B29" s="86">
        <f>B6/(SUM(B11:B13))</f>
        <v>4.2950450450450441</v>
      </c>
      <c r="C29" s="84"/>
      <c r="D29" s="3">
        <f>'Gebouwgegevens Allacker'!F19</f>
        <v>4.4003196219406586</v>
      </c>
    </row>
    <row r="30" spans="1:5" ht="15" customHeight="1" x14ac:dyDescent="0.25">
      <c r="A30" s="84" t="s">
        <v>155</v>
      </c>
      <c r="B30" s="86">
        <f>SUM(B22:B25)/B6</f>
        <v>8.0230728893550082E-2</v>
      </c>
      <c r="C30" s="84"/>
      <c r="D30" s="3">
        <f>'Gebouwgegevens Allacker'!F23</f>
        <v>3.034128425555992E-2</v>
      </c>
    </row>
    <row r="31" spans="1:5" ht="15" customHeight="1" x14ac:dyDescent="0.25">
      <c r="A31" s="84" t="s">
        <v>156</v>
      </c>
      <c r="B31" s="88">
        <f>SUM(B22:B25)/SUM(B11:B13)/2</f>
        <v>0.17229729729729729</v>
      </c>
      <c r="C31" s="84"/>
      <c r="D31" s="3">
        <f>'Gebouwgegevens Allacker'!F21</f>
        <v>7.732926802324297E-2</v>
      </c>
    </row>
    <row r="32" spans="1:5" ht="15" customHeight="1" x14ac:dyDescent="0.25">
      <c r="A32" s="84" t="s">
        <v>157</v>
      </c>
      <c r="B32" s="89">
        <f>SUM(B22:B25)/SUM(B11:B13)</f>
        <v>0.34459459459459457</v>
      </c>
      <c r="C32" s="84"/>
      <c r="D32" s="3">
        <f>'Gebouwgegevens Allacker'!F22</f>
        <v>0.13351134846461948</v>
      </c>
    </row>
    <row r="33" spans="1:6" s="81" customFormat="1" ht="15" customHeight="1" x14ac:dyDescent="0.25">
      <c r="A33" s="84" t="s">
        <v>499</v>
      </c>
      <c r="B33" s="262">
        <v>18</v>
      </c>
      <c r="C33" s="84"/>
      <c r="D33" s="153"/>
      <c r="E33" s="81">
        <v>6</v>
      </c>
      <c r="F33" s="81">
        <v>2.5</v>
      </c>
    </row>
    <row r="34" spans="1:6" ht="15" customHeight="1" x14ac:dyDescent="0.25">
      <c r="A34" s="84" t="s">
        <v>158</v>
      </c>
      <c r="B34" s="84">
        <f>B33/B5*B6</f>
        <v>12.911792364115101</v>
      </c>
      <c r="C34" s="84" t="s">
        <v>159</v>
      </c>
      <c r="D34" s="84" t="s">
        <v>160</v>
      </c>
      <c r="E34">
        <f>E33/B5*B6</f>
        <v>4.3039307880383673</v>
      </c>
      <c r="F34">
        <f>F33/B5*B6</f>
        <v>1.7933044950159862</v>
      </c>
    </row>
    <row r="38" spans="1:6" ht="15" customHeight="1" x14ac:dyDescent="0.25">
      <c r="A38" s="90" t="s">
        <v>161</v>
      </c>
      <c r="B38" s="90"/>
    </row>
    <row r="39" spans="1:6" ht="15" customHeight="1" x14ac:dyDescent="0.25">
      <c r="A39" s="91" t="s">
        <v>137</v>
      </c>
      <c r="B39" s="91">
        <f>'Tabula data'!B4/'Gebouwgegevens Allacker'!B24</f>
        <v>1.0682486025496565</v>
      </c>
    </row>
    <row r="40" spans="1:6" ht="15" customHeight="1" x14ac:dyDescent="0.25">
      <c r="A40" s="91" t="s">
        <v>6</v>
      </c>
      <c r="B40" s="91">
        <f>B5/'Gebouwgegevens Allacker'!B5</f>
        <v>1.0591633466135459</v>
      </c>
    </row>
    <row r="41" spans="1:6" ht="15" customHeight="1" x14ac:dyDescent="0.25">
      <c r="A41" s="91" t="s">
        <v>138</v>
      </c>
      <c r="B41" s="91">
        <f>B6/'Gebouwgegevens Allacker'!B27</f>
        <v>0.82658327250503949</v>
      </c>
    </row>
    <row r="42" spans="1:6" ht="15" customHeight="1" x14ac:dyDescent="0.25">
      <c r="A42" s="91" t="s">
        <v>20</v>
      </c>
      <c r="B42" s="91">
        <f>B7/('Gebouwgegevens Allacker'!N15+'Gebouwgegevens Allacker'!N25)</f>
        <v>0.7883227749610392</v>
      </c>
    </row>
    <row r="43" spans="1:6" ht="15" customHeight="1" x14ac:dyDescent="0.25">
      <c r="A43" s="91" t="s">
        <v>139</v>
      </c>
      <c r="B43" s="91">
        <f>(B8+B9)/SUM('Gebouwgegevens Allacker'!N6:N9,'Gebouwgegevens Allacker'!N17:N20)</f>
        <v>0.73196725282177966</v>
      </c>
    </row>
    <row r="44" spans="1:6" ht="15" customHeight="1" x14ac:dyDescent="0.25">
      <c r="A44" s="91" t="s">
        <v>162</v>
      </c>
      <c r="B44" s="91">
        <f>SUM(B11:B12)/'Gebouwgegevens Allacker'!B7</f>
        <v>0.84684341026130094</v>
      </c>
    </row>
    <row r="45" spans="1:6" ht="15" customHeight="1" x14ac:dyDescent="0.25">
      <c r="A45" s="91" t="s">
        <v>146</v>
      </c>
      <c r="B45" s="91">
        <f>B21/'Gebouwgegevens Allacker'!N16</f>
        <v>1.2666666666666666</v>
      </c>
    </row>
    <row r="46" spans="1:6" ht="15" customHeight="1" x14ac:dyDescent="0.25">
      <c r="A46" s="91" t="s">
        <v>163</v>
      </c>
      <c r="B46" s="91">
        <f>SUM(B22:B25)/'Gebouwgegevens Allacker'!G5</f>
        <v>2.1857142857142859</v>
      </c>
    </row>
    <row r="47" spans="1:6" ht="15" customHeight="1" x14ac:dyDescent="0.25">
      <c r="A47" s="91" t="s">
        <v>152</v>
      </c>
      <c r="B47" s="91">
        <f>B27/'Gebouwgegevens Allacker'!F17</f>
        <v>1.2813752489856833</v>
      </c>
    </row>
    <row r="48" spans="1:6" ht="15" customHeight="1" x14ac:dyDescent="0.25">
      <c r="A48" s="91" t="s">
        <v>153</v>
      </c>
      <c r="B48" s="91">
        <f>B28/'Gebouwgegevens Allacker'!F18</f>
        <v>0.84261228596510318</v>
      </c>
    </row>
    <row r="49" spans="1:2" ht="15" customHeight="1" x14ac:dyDescent="0.25">
      <c r="A49" s="91" t="s">
        <v>154</v>
      </c>
      <c r="B49" s="91">
        <f>'Tabula data'!B29/'Gebouwgegevens Allacker'!F19</f>
        <v>0.97607569769007241</v>
      </c>
    </row>
    <row r="50" spans="1:2" ht="15" customHeight="1" x14ac:dyDescent="0.25">
      <c r="A50" s="91" t="s">
        <v>155</v>
      </c>
      <c r="B50" s="91">
        <f>B30/'Gebouwgegevens Allacker'!F23</f>
        <v>2.6442759712403445</v>
      </c>
    </row>
    <row r="51" spans="1:2" ht="15" customHeight="1" x14ac:dyDescent="0.25">
      <c r="A51" s="91" t="s">
        <v>156</v>
      </c>
      <c r="B51" s="91">
        <f>B31/'Gebouwgegevens Allacker'!F21</f>
        <v>2.2280994208494205</v>
      </c>
    </row>
    <row r="52" spans="1:2" ht="15" customHeight="1" x14ac:dyDescent="0.25">
      <c r="A52" s="91" t="s">
        <v>157</v>
      </c>
      <c r="B52" s="91">
        <f>B32/'Gebouwgegevens Allacker'!F22</f>
        <v>2.5810135135135135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sqref="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06" t="s">
        <v>168</v>
      </c>
      <c r="W5" s="306"/>
      <c r="X5" s="306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1" t="s">
        <v>171</v>
      </c>
      <c r="B7" s="311"/>
      <c r="C7" s="311"/>
      <c r="D7" s="31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21584.030838614995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Allacker'!$J$5:$Q$83,3,0)</f>
        <v>1</v>
      </c>
      <c r="D12" s="108" t="str">
        <f>VLOOKUP(B12,'Gebouwgegevens Allacker'!$J$5:$Q$83,4,0)</f>
        <v>Wall External</v>
      </c>
      <c r="E12" s="108">
        <f>VLOOKUP(B12,'Gebouwgegevens Allacker'!$J$5:$Q$83,5,0)</f>
        <v>25.449999999999996</v>
      </c>
      <c r="F12" s="108" t="str">
        <f>VLOOKUP(B12,'Gebouwgegevens Allacker'!$J$5:$Q$83,6,0)</f>
        <v>front</v>
      </c>
      <c r="G12" s="108">
        <f>VLOOKUP(B12,'Gebouwgegevens Allacker'!$J$5:$Q$83,7,0)</f>
        <v>2.2022341505875525</v>
      </c>
      <c r="H12" s="109">
        <f>VLOOKUP(B12,'Gebouwgegevens Allacker'!$J$5:$Q$83,8,0)</f>
        <v>56.0468591324532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Allacker'!$J$5:$Q$83,3,0)</f>
        <v>1</v>
      </c>
      <c r="D13" s="108" t="str">
        <f>VLOOKUP(B13,'Gebouwgegevens Allacker'!$J$5:$Q$83,4,0)</f>
        <v>Wall External</v>
      </c>
      <c r="E13" s="108">
        <f>VLOOKUP(B13,'Gebouwgegevens Allacker'!$J$5:$Q$83,5,0)</f>
        <v>85.750000000000014</v>
      </c>
      <c r="F13" s="108" t="str">
        <f>VLOOKUP(B13,'Gebouwgegevens Allacker'!$J$5:$Q$83,6,0)</f>
        <v>right</v>
      </c>
      <c r="G13" s="108">
        <f>VLOOKUP(B13,'Gebouwgegevens Allacker'!$J$5:$Q$83,7,0)</f>
        <v>2.2022341505875525</v>
      </c>
      <c r="H13" s="109">
        <f>VLOOKUP(B13,'Gebouwgegevens Allacker'!$J$5:$Q$83,8,0)</f>
        <v>188.84157841288265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Allacker'!$J$5:$Q$83,3,0)</f>
        <v>1</v>
      </c>
      <c r="D14" s="108" t="str">
        <f>VLOOKUP(B14,'Gebouwgegevens Allacker'!$J$5:$Q$83,4,0)</f>
        <v>Wall External</v>
      </c>
      <c r="E14" s="108">
        <f>VLOOKUP(B14,'Gebouwgegevens Allacker'!$J$5:$Q$83,5,0)</f>
        <v>32.449999999999996</v>
      </c>
      <c r="F14" s="108" t="str">
        <f>VLOOKUP(B14,'Gebouwgegevens Allacker'!$J$5:$Q$83,6,0)</f>
        <v>back</v>
      </c>
      <c r="G14" s="108">
        <f>VLOOKUP(B14,'Gebouwgegevens Allacker'!$J$5:$Q$83,7,0)</f>
        <v>2.2022341505875525</v>
      </c>
      <c r="H14" s="109">
        <f>VLOOKUP(B14,'Gebouwgegevens Allacker'!$J$5:$Q$83,8,0)</f>
        <v>71.462498186566066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Allacker'!$J$5:$Q$83,3,0)</f>
        <v>1</v>
      </c>
      <c r="D15" s="108" t="str">
        <f>VLOOKUP(B15,'Gebouwgegevens Allacker'!$J$5:$Q$83,4,0)</f>
        <v>Wall External</v>
      </c>
      <c r="E15" s="108">
        <f>VLOOKUP(B15,'Gebouwgegevens Allacker'!$J$5:$Q$83,5,0)</f>
        <v>34.300000000000004</v>
      </c>
      <c r="F15" s="108" t="str">
        <f>VLOOKUP(B15,'Gebouwgegevens Allacker'!$J$5:$Q$83,6,0)</f>
        <v>left</v>
      </c>
      <c r="G15" s="108">
        <f>VLOOKUP(B15,'Gebouwgegevens Allacker'!$J$5:$Q$83,7,0)</f>
        <v>2.2022341505875525</v>
      </c>
      <c r="H15" s="109">
        <f>VLOOKUP(B15,'Gebouwgegevens Allacker'!$J$5:$Q$83,8,0)</f>
        <v>75.536631365153056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Allacker'!$J$5:$Q$83,3,0)</f>
        <v>1</v>
      </c>
      <c r="D16" s="108" t="str">
        <f>VLOOKUP(B16,'Gebouwgegevens Allacker'!$J$5:$Q$83,4,0)</f>
        <v>Window</v>
      </c>
      <c r="E16" s="108">
        <f>VLOOKUP(B16,'Gebouwgegevens Allacker'!$J$5:$Q$83,5,0)</f>
        <v>7</v>
      </c>
      <c r="F16" s="108" t="str">
        <f>VLOOKUP(B16,'Gebouwgegevens Allacker'!$J$5:$Q$83,6,0)</f>
        <v>front</v>
      </c>
      <c r="G16" s="108">
        <f>VLOOKUP(B16,'Gebouwgegevens Allacker'!$J$5:$Q$83,7,0)</f>
        <v>5</v>
      </c>
      <c r="H16" s="109">
        <f>VLOOKUP(B16,'Gebouwgegevens Allacker'!$J$5:$Q$83,8,0)</f>
        <v>35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Allacker'!$J$5:$Q$83,3,0)</f>
        <v>1</v>
      </c>
      <c r="D17" s="108" t="str">
        <f>VLOOKUP(B17,'Gebouwgegevens Allacker'!$J$5:$Q$83,4,0)</f>
        <v>Window</v>
      </c>
      <c r="E17" s="108">
        <f>VLOOKUP(B17,'Gebouwgegevens Allacker'!$J$5:$Q$83,5,0)</f>
        <v>0</v>
      </c>
      <c r="F17" s="108" t="str">
        <f>VLOOKUP(B17,'Gebouwgegevens Allacker'!$J$5:$Q$83,6,0)</f>
        <v>right</v>
      </c>
      <c r="G17" s="108">
        <f>VLOOKUP(B17,'Gebouwgegevens Allacker'!$J$5:$Q$83,7,0)</f>
        <v>5</v>
      </c>
      <c r="H17" s="109">
        <f>VLOOKUP(B17,'Gebouwgegevens Allacker'!$J$5:$Q$83,8,0)</f>
        <v>0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Allacker'!$J$5:$Q$83,3,0)</f>
        <v>1</v>
      </c>
      <c r="D18" s="108" t="str">
        <f>VLOOKUP(B18,'Gebouwgegevens Allacker'!$J$5:$Q$83,4,0)</f>
        <v>Window</v>
      </c>
      <c r="E18" s="108">
        <f>VLOOKUP(B18,'Gebouwgegevens Allacker'!$J$5:$Q$83,5,0)</f>
        <v>5</v>
      </c>
      <c r="F18" s="108" t="str">
        <f>VLOOKUP(B18,'Gebouwgegevens Allacker'!$J$5:$Q$83,6,0)</f>
        <v>back</v>
      </c>
      <c r="G18" s="108">
        <f>VLOOKUP(B18,'Gebouwgegevens Allacker'!$J$5:$Q$83,7,0)</f>
        <v>5</v>
      </c>
      <c r="H18" s="109">
        <f>VLOOKUP(B18,'Gebouwgegevens Allacker'!$J$5:$Q$83,8,0)</f>
        <v>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Allacker'!$J$5:$Q$83,3,0)</f>
        <v>1</v>
      </c>
      <c r="D19" s="108" t="str">
        <f>VLOOKUP(B19,'Gebouwgegevens Allacker'!$J$5:$Q$83,4,0)</f>
        <v>Window</v>
      </c>
      <c r="E19" s="108">
        <f>VLOOKUP(B19,'Gebouwgegevens Allacker'!$J$5:$Q$83,5,0)</f>
        <v>0</v>
      </c>
      <c r="F19" s="108" t="str">
        <f>VLOOKUP(B19,'Gebouwgegevens Allacker'!$J$5:$Q$83,6,0)</f>
        <v>left</v>
      </c>
      <c r="G19" s="108">
        <f>VLOOKUP(B19,'Gebouwgegevens Allacker'!$J$5:$Q$83,7,0)</f>
        <v>5</v>
      </c>
      <c r="H19" s="109">
        <f>VLOOKUP(B19,'Gebouwgegevens Allacker'!$J$5:$Q$83,8,0)</f>
        <v>0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Allacker'!$J$5:$Q$83,3,0)</f>
        <v>1</v>
      </c>
      <c r="D21" s="108" t="str">
        <f>VLOOKUP(B21,'Gebouwgegevens Allacker'!$J$5:$Q$83,4,0)</f>
        <v>Roof</v>
      </c>
      <c r="E21" s="108">
        <f>VLOOKUP(B21,'Gebouwgegevens Allacker'!$J$5:$Q$83,5,0)</f>
        <v>29</v>
      </c>
      <c r="F21" s="108">
        <f>VLOOKUP(B21,'Gebouwgegevens Allacker'!$J$5:$Q$83,6,0)</f>
        <v>0</v>
      </c>
      <c r="G21" s="108">
        <f>VLOOKUP(B21,'Gebouwgegevens Allacker'!$J$5:$Q$83,7,0)</f>
        <v>1.6975498473547073</v>
      </c>
      <c r="H21" s="109">
        <f>VLOOKUP(B21,'Gebouwgegevens Allacker'!$J$5:$Q$83,8,0)</f>
        <v>49.228945573286509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/>
      <c r="W21" s="99"/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Allacker'!$J$5:$Q$83,3,0)</f>
        <v>1</v>
      </c>
      <c r="D28" s="118" t="str">
        <f>VLOOKUP(B28,'Gebouwgegevens Allacker'!$J$5:$Q$83,4,0)</f>
        <v>Floor</v>
      </c>
      <c r="E28" s="118">
        <f>VLOOKUP(B28,'Gebouwgegevens Allacker'!$J$5:$Q$83,5,0)</f>
        <v>104.86</v>
      </c>
      <c r="F28" s="118">
        <f>VLOOKUP(B28,'Gebouwgegevens Allacker'!$J$5:$Q$83,7,0)</f>
        <v>2.5990099009900991</v>
      </c>
      <c r="G28" s="119">
        <f>VLOOKUP(B28,'Gebouwgegevens Allacker'!$J$5:$Q$83,8,0)</f>
        <v>272.53217821782181</v>
      </c>
      <c r="H28" s="119">
        <f>N28/F28</f>
        <v>0.21722245983746219</v>
      </c>
      <c r="I28" s="118">
        <v>132</v>
      </c>
      <c r="J28" s="117">
        <v>42</v>
      </c>
      <c r="K28" s="117">
        <v>0.33</v>
      </c>
      <c r="L28" s="120">
        <f>I28/(0.5*J28)</f>
        <v>6.2857142857142856</v>
      </c>
      <c r="M28" s="120">
        <f>K28+2*(1/F28)</f>
        <v>1.0995238095238096</v>
      </c>
      <c r="N28" s="121">
        <f>IF(M28&lt;L28,2*2/(PI()*L28+M28)*LN(PI()*L28/M28+1),2/(0.457*L28+M28))</f>
        <v>0.56456332383498842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560.31662280767841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15688.865438614996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1" t="s">
        <v>197</v>
      </c>
      <c r="B45" s="311"/>
      <c r="C45" s="311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B48/20*741</f>
        <v>22.23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Allacker'!G35</f>
        <v>59.291999999999994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Allacker'!B5*(1-F55)</f>
        <v>40.160000000000011</v>
      </c>
      <c r="C55" s="119" t="s">
        <v>206</v>
      </c>
      <c r="D55" s="99"/>
      <c r="E55" s="99" t="s">
        <v>209</v>
      </c>
      <c r="F55" s="99">
        <f>0.84</f>
        <v>0.84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62.390000000000015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0.30064282341149379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21.212600000000005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Allacker'!E35-$B$4)</f>
        <v>615.1654000000002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20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v>264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Allacker'!E35-'Verwarming Allacker'!$B$4)</f>
        <v>182.06896551724137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5280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763.59818832491976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21584.030838614995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1" t="s">
        <v>171</v>
      </c>
      <c r="B79" s="311"/>
      <c r="C79" s="311"/>
      <c r="D79" s="311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Allacker'!C108,'Gebouwgegevens Allacker'!$A$35:$F$46,5,0)</f>
        <v>#N/A</v>
      </c>
      <c r="H108" s="123" t="e">
        <f>VLOOKUP('Verwarming Allacker'!D108,'Gebouwgegevens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Allacker'!C109,'Gebouwgegevens Allacker'!$A$35:$F$46,5,0)</f>
        <v>#N/A</v>
      </c>
      <c r="H109" s="123" t="e">
        <f>VLOOKUP('Verwarming Allacker'!D109,'Gebouwgegevens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Allacker'!C110,'Gebouwgegevens Allacker'!$A$35:$F$46,5,0)</f>
        <v>#N/A</v>
      </c>
      <c r="H110" s="123" t="e">
        <f>VLOOKUP('Verwarming Allacker'!D110,'Gebouwgegevens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Allacker'!C111,'Gebouwgegevens Allacker'!$A$35:$F$46,5,0)</f>
        <v>#N/A</v>
      </c>
      <c r="H111" s="123" t="e">
        <f>VLOOKUP('Verwarming Allacker'!D111,'Gebouwgegevens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Allacker'!C112,'Gebouwgegevens Allacker'!$A$35:$F$46,5,0)</f>
        <v>#N/A</v>
      </c>
      <c r="H112" s="123" t="e">
        <f>VLOOKUP('Verwarming Allacker'!D112,'Gebouwgegevens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1" t="s">
        <v>197</v>
      </c>
      <c r="B124" s="311"/>
      <c r="C124" s="311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Allacker'!$B$4)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1" t="s">
        <v>171</v>
      </c>
      <c r="B159" s="311"/>
      <c r="C159" s="311"/>
      <c r="D159" s="311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Allacker'!C188,'Gebouwgegevens Allacker'!$A$35:$F$46,5,0)</f>
        <v>#N/A</v>
      </c>
      <c r="H188" s="123" t="e">
        <f>VLOOKUP('Verwarming Allacker'!D188,'Gebouwgegevens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Allacker'!C189,'Gebouwgegevens Allacker'!$A$35:$F$46,5,0)</f>
        <v>#N/A</v>
      </c>
      <c r="H189" s="123" t="e">
        <f>VLOOKUP('Verwarming Allacker'!D189,'Gebouwgegevens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Allacker'!C190,'Gebouwgegevens Allacker'!$A$35:$F$46,5,0)</f>
        <v>#N/A</v>
      </c>
      <c r="H190" s="123" t="e">
        <f>VLOOKUP('Verwarming Allacker'!D190,'Gebouwgegevens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1" t="s">
        <v>197</v>
      </c>
      <c r="B204" s="311"/>
      <c r="C204" s="311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Allacker'!$B$4)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1" t="s">
        <v>171</v>
      </c>
      <c r="B238" s="311"/>
      <c r="C238" s="311"/>
      <c r="D238" s="311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Allacker'!C267,'Gebouwgegevens Allacker'!$A$35:$F$46,5,0)</f>
        <v>#N/A</v>
      </c>
      <c r="H267" s="123" t="e">
        <f>VLOOKUP('Verwarming Allacker'!D267,'Gebouwgegevens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Allacker'!C268,'Gebouwgegevens Allacker'!$A$35:$F$46,5,0)</f>
        <v>#N/A</v>
      </c>
      <c r="H268" s="123" t="e">
        <f>VLOOKUP('Verwarming Allacker'!D268,'Gebouwgegevens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Allacker'!C269,'Gebouwgegevens Allacker'!$A$35:$F$46,5,0)</f>
        <v>#N/A</v>
      </c>
      <c r="H269" s="123" t="e">
        <f>VLOOKUP('Verwarming Allacker'!D269,'Gebouwgegevens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Allacker'!C270,'Gebouwgegevens Allacker'!$A$35:$F$46,5,0)</f>
        <v>#N/A</v>
      </c>
      <c r="H270" s="123" t="e">
        <f>VLOOKUP('Verwarming Allacker'!D270,'Gebouwgegevens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1" t="s">
        <v>197</v>
      </c>
      <c r="B283" s="311"/>
      <c r="C283" s="311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Allacker'!$B$4)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1" t="s">
        <v>171</v>
      </c>
      <c r="B317" s="311"/>
      <c r="C317" s="311"/>
      <c r="D317" s="311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Allacker'!C346,'Gebouwgegevens Allacker'!$A$35:$F$46,5,0)</f>
        <v>#N/A</v>
      </c>
      <c r="H346" s="123" t="e">
        <f>VLOOKUP('Verwarming Allacker'!D346,'Gebouwgegevens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Allacker'!C347,'Gebouwgegevens Allacker'!$A$35:$F$46,5,0)</f>
        <v>#N/A</v>
      </c>
      <c r="H347" s="123" t="e">
        <f>VLOOKUP('Verwarming Allacker'!D347,'Gebouwgegevens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Allacker'!C348,'Gebouwgegevens Allacker'!$A$35:$F$46,5,0)</f>
        <v>#N/A</v>
      </c>
      <c r="H348" s="123" t="e">
        <f>VLOOKUP('Verwarming Allacker'!D348,'Gebouwgegevens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Allacker'!C349,'Gebouwgegevens Allacker'!$A$35:$F$46,5,0)</f>
        <v>#N/A</v>
      </c>
      <c r="H349" s="123" t="e">
        <f>VLOOKUP('Verwarming Allacker'!D349,'Gebouwgegevens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Allacker'!C350,'Gebouwgegevens Allacker'!$A$35:$F$46,5,0)</f>
        <v>#N/A</v>
      </c>
      <c r="H350" s="123" t="e">
        <f>VLOOKUP('Verwarming Allacker'!D350,'Gebouwgegevens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1" t="s">
        <v>197</v>
      </c>
      <c r="B362" s="311"/>
      <c r="C362" s="311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Allacker'!$B$4)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1" t="s">
        <v>171</v>
      </c>
      <c r="B395" s="311"/>
      <c r="C395" s="311"/>
      <c r="D395" s="311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Allacker'!C424,'Gebouwgegevens Allacker'!$A$35:$F$46,5,0)</f>
        <v>#N/A</v>
      </c>
      <c r="H424" s="123" t="e">
        <f>VLOOKUP('Verwarming Allacker'!D424,'Gebouwgegevens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Allacker'!C425,'Gebouwgegevens Allacker'!$A$35:$F$46,5,0)</f>
        <v>#N/A</v>
      </c>
      <c r="H425" s="123" t="e">
        <f>VLOOKUP('Verwarming Allacker'!D425,'Gebouwgegevens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Allacker'!C426,'Gebouwgegevens Allacker'!$A$35:$F$46,5,0)</f>
        <v>#N/A</v>
      </c>
      <c r="H426" s="123" t="e">
        <f>VLOOKUP('Verwarming Allacker'!D426,'Gebouwgegevens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Allacker'!C427,'Gebouwgegevens Allacker'!$A$35:$F$46,5,0)</f>
        <v>#N/A</v>
      </c>
      <c r="H427" s="123" t="e">
        <f>VLOOKUP('Verwarming Allacker'!D427,'Gebouwgegevens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Allacker'!C428,'Gebouwgegevens Allacker'!$A$35:$F$46,5,0)</f>
        <v>#N/A</v>
      </c>
      <c r="H428" s="123" t="e">
        <f>VLOOKUP('Verwarming Allacker'!D428,'Gebouwgegevens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1" t="s">
        <v>197</v>
      </c>
      <c r="B440" s="311"/>
      <c r="C440" s="311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Allacker'!$B$4)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1" t="s">
        <v>171</v>
      </c>
      <c r="B473" s="311"/>
      <c r="C473" s="311"/>
      <c r="D473" s="311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Allacker'!C502,'Gebouwgegevens Allacker'!$A$35:$F$46,5,0)</f>
        <v>#N/A</v>
      </c>
      <c r="H502" s="123" t="e">
        <f>VLOOKUP('Verwarming Allacker'!D502,'Gebouwgegevens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Allacker'!C503,'Gebouwgegevens Allacker'!$A$35:$F$46,5,0)</f>
        <v>#N/A</v>
      </c>
      <c r="H503" s="123" t="e">
        <f>VLOOKUP('Verwarming Allacker'!D503,'Gebouwgegevens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Allacker'!C504,'Gebouwgegevens Allacker'!$A$35:$F$46,5,0)</f>
        <v>#N/A</v>
      </c>
      <c r="H504" s="123" t="e">
        <f>VLOOKUP('Verwarming Allacker'!D504,'Gebouwgegevens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1" t="s">
        <v>197</v>
      </c>
      <c r="B518" s="311"/>
      <c r="C518" s="311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Allacker'!$B$4)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1" t="s">
        <v>171</v>
      </c>
      <c r="B552" s="311"/>
      <c r="C552" s="311"/>
      <c r="D552" s="311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Allacker'!C581,'Gebouwgegevens Allacker'!$A$35:$F$46,5,0)</f>
        <v>#N/A</v>
      </c>
      <c r="H581" s="123" t="e">
        <f>VLOOKUP('Verwarming Allacker'!D581,'Gebouwgegevens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Allacker'!C582,'Gebouwgegevens Allacker'!$A$35:$F$46,5,0)</f>
        <v>#N/A</v>
      </c>
      <c r="H582" s="123" t="e">
        <f>VLOOKUP('Verwarming Allacker'!D582,'Gebouwgegevens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Allacker'!C583,'Gebouwgegevens Allacker'!$A$35:$F$46,5,0)</f>
        <v>#N/A</v>
      </c>
      <c r="H583" s="123" t="e">
        <f>VLOOKUP('Verwarming Allacker'!D583,'Gebouwgegevens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1" t="s">
        <v>197</v>
      </c>
      <c r="B597" s="311"/>
      <c r="C597" s="311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Allacker'!$B$4)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1" t="s">
        <v>171</v>
      </c>
      <c r="B631" s="311"/>
      <c r="C631" s="311"/>
      <c r="D631" s="311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Allacker'!C660,'Gebouwgegevens Allacker'!$A$35:$F$46,5,0)</f>
        <v>#N/A</v>
      </c>
      <c r="H660" s="123" t="e">
        <f>VLOOKUP('Verwarming Allacker'!D660,'Gebouwgegevens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Allacker'!C661,'Gebouwgegevens Allacker'!$A$35:$F$46,5,0)</f>
        <v>#N/A</v>
      </c>
      <c r="H661" s="123" t="e">
        <f>VLOOKUP('Verwarming Allacker'!D661,'Gebouwgegevens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1" t="s">
        <v>197</v>
      </c>
      <c r="B676" s="311"/>
      <c r="C676" s="311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Allacker'!$B$4)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1" t="s">
        <v>171</v>
      </c>
      <c r="B710" s="311"/>
      <c r="C710" s="311"/>
      <c r="D710" s="311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Allacker'!C739,'Gebouwgegevens Allacker'!$A$35:$F$46,5,0)</f>
        <v>#N/A</v>
      </c>
      <c r="H739" s="123" t="e">
        <f>VLOOKUP('Verwarming Allacker'!D739,'Gebouwgegevens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Allacker'!C740,'Gebouwgegevens Allacker'!$A$35:$F$46,5,0)</f>
        <v>#N/A</v>
      </c>
      <c r="H740" s="123" t="e">
        <f>VLOOKUP('Verwarming Allacker'!D740,'Gebouwgegevens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Allacker'!C741,'Gebouwgegevens Allacker'!$A$35:$F$46,5,0)</f>
        <v>#N/A</v>
      </c>
      <c r="H741" s="123" t="e">
        <f>VLOOKUP('Verwarming Allacker'!D741,'Gebouwgegevens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Allacker'!C742,'Gebouwgegevens Allacker'!$A$35:$F$46,5,0)</f>
        <v>#N/A</v>
      </c>
      <c r="H742" s="123" t="e">
        <f>VLOOKUP('Verwarming Allacker'!D742,'Gebouwgegevens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Allacker'!C743,'Gebouwgegevens Allacker'!$A$35:$F$46,5,0)</f>
        <v>#N/A</v>
      </c>
      <c r="H743" s="123" t="e">
        <f>VLOOKUP('Verwarming Allacker'!D743,'Gebouwgegevens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Allacker'!C744,'Gebouwgegevens Allacker'!$A$35:$F$46,5,0)</f>
        <v>#N/A</v>
      </c>
      <c r="H744" s="123" t="e">
        <f>VLOOKUP('Verwarming Allacker'!D744,'Gebouwgegevens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Allacker'!C745,'Gebouwgegevens Allacker'!$A$35:$F$46,5,0)</f>
        <v>#N/A</v>
      </c>
      <c r="H745" s="123" t="e">
        <f>VLOOKUP('Verwarming Allacker'!D745,'Gebouwgegevens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Allacker'!C746,'Gebouwgegevens Allacker'!$A$35:$F$46,5,0)</f>
        <v>#N/A</v>
      </c>
      <c r="H746" s="123" t="e">
        <f>VLOOKUP('Verwarming Allacker'!D746,'Gebouwgegevens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Allacker'!C747,'Gebouwgegevens Allacker'!$A$35:$F$46,5,0)</f>
        <v>#N/A</v>
      </c>
      <c r="H747" s="123" t="e">
        <f>VLOOKUP('Verwarming Allacker'!D747,'Gebouwgegevens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Allacker'!C748,'Gebouwgegevens Allacker'!$A$35:$F$46,5,0)</f>
        <v>#N/A</v>
      </c>
      <c r="H748" s="123" t="e">
        <f>VLOOKUP('Verwarming Allacker'!D748,'Gebouwgegevens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Allacker'!C749,'Gebouwgegevens Allacker'!$A$35:$F$46,5,0)</f>
        <v>#N/A</v>
      </c>
      <c r="H749" s="123" t="e">
        <f>VLOOKUP('Verwarming Allacker'!D749,'Gebouwgegevens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Allacker'!C750,'Gebouwgegevens Allacker'!$A$35:$F$46,5,0)</f>
        <v>#N/A</v>
      </c>
      <c r="H750" s="123" t="e">
        <f>VLOOKUP('Verwarming Allacker'!D750,'Gebouwgegevens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1" t="s">
        <v>197</v>
      </c>
      <c r="B755" s="311"/>
      <c r="C755" s="311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Allacker'!$B$4)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Q1" zoomScaleNormal="100" workbookViewId="0">
      <selection activeCell="T28" sqref="T28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309" t="s">
        <v>164</v>
      </c>
      <c r="B1" s="309"/>
      <c r="C1" s="309"/>
      <c r="D1" s="309"/>
      <c r="E1" s="309"/>
      <c r="F1" s="309"/>
      <c r="G1" s="309"/>
      <c r="H1" s="309"/>
      <c r="I1" s="309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06" t="s">
        <v>168</v>
      </c>
      <c r="W5" s="306"/>
      <c r="X5" s="306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1" t="s">
        <v>171</v>
      </c>
      <c r="B7" s="311"/>
      <c r="C7" s="311"/>
      <c r="D7" s="31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34055.705283500865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Tabula'!$J$5:$Q$83,3,0)</f>
        <v>1</v>
      </c>
      <c r="D12" s="108" t="str">
        <f>VLOOKUP(B12,'Gebouwgegevens Tabula'!$J$5:$Q$83,4,0)</f>
        <v>Wall External</v>
      </c>
      <c r="E12" s="108">
        <f>VLOOKUP(B12,'Gebouwgegevens Tabula'!$J$5:$Q$83,5,0)</f>
        <v>41.552500000000002</v>
      </c>
      <c r="F12" s="108" t="str">
        <f>VLOOKUP(B12,'Gebouwgegevens Tabula'!$J$5:$Q$83,6,0)</f>
        <v>front</v>
      </c>
      <c r="G12" s="108">
        <f>VLOOKUP(B12,'Gebouwgegevens Tabula'!$J$5:$Q$83,7,0)</f>
        <v>2.2022341505875525</v>
      </c>
      <c r="H12" s="109">
        <f>VLOOKUP(B12,'Gebouwgegevens Tabula'!$J$5:$Q$83,8,0)</f>
        <v>91.508334542289276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Tabula'!$J$5:$Q$83,3,0)</f>
        <v>1</v>
      </c>
      <c r="D13" s="108" t="str">
        <f>VLOOKUP(B13,'Gebouwgegevens Tabula'!$J$5:$Q$83,4,0)</f>
        <v>Wall External</v>
      </c>
      <c r="E13" s="108">
        <f>VLOOKUP(B13,'Gebouwgegevens Tabula'!$J$5:$Q$83,5,0)</f>
        <v>33.997500000000002</v>
      </c>
      <c r="F13" s="108" t="str">
        <f>VLOOKUP(B13,'Gebouwgegevens Tabula'!$J$5:$Q$83,6,0)</f>
        <v>right</v>
      </c>
      <c r="G13" s="108">
        <f>VLOOKUP(B13,'Gebouwgegevens Tabula'!$J$5:$Q$83,7,0)</f>
        <v>2.2022341505875525</v>
      </c>
      <c r="H13" s="109">
        <f>VLOOKUP(B13,'Gebouwgegevens Tabula'!$J$5:$Q$83,8,0)</f>
        <v>74.870455534600325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Tabula'!$J$5:$Q$83,3,0)</f>
        <v>1</v>
      </c>
      <c r="D14" s="108" t="str">
        <f>VLOOKUP(B14,'Gebouwgegevens Tabula'!$J$5:$Q$83,4,0)</f>
        <v>Wall External</v>
      </c>
      <c r="E14" s="108">
        <f>VLOOKUP(B14,'Gebouwgegevens Tabula'!$J$5:$Q$83,5,0)</f>
        <v>41.552500000000002</v>
      </c>
      <c r="F14" s="108" t="str">
        <f>VLOOKUP(B14,'Gebouwgegevens Tabula'!$J$5:$Q$83,6,0)</f>
        <v>back</v>
      </c>
      <c r="G14" s="108">
        <f>VLOOKUP(B14,'Gebouwgegevens Tabula'!$J$5:$Q$83,7,0)</f>
        <v>2.2022341505875525</v>
      </c>
      <c r="H14" s="109">
        <f>VLOOKUP(B14,'Gebouwgegevens Tabula'!$J$5:$Q$83,8,0)</f>
        <v>91.508334542289276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Tabula'!$J$5:$Q$83,3,0)</f>
        <v>1</v>
      </c>
      <c r="D15" s="108" t="str">
        <f>VLOOKUP(B15,'Gebouwgegevens Tabula'!$J$5:$Q$83,4,0)</f>
        <v>Wall External</v>
      </c>
      <c r="E15" s="108">
        <f>VLOOKUP(B15,'Gebouwgegevens Tabula'!$J$5:$Q$83,5,0)</f>
        <v>33.997500000000002</v>
      </c>
      <c r="F15" s="108" t="str">
        <f>VLOOKUP(B15,'Gebouwgegevens Tabula'!$J$5:$Q$83,6,0)</f>
        <v>left</v>
      </c>
      <c r="G15" s="108">
        <f>VLOOKUP(B15,'Gebouwgegevens Tabula'!$J$5:$Q$83,7,0)</f>
        <v>2.2022341505875525</v>
      </c>
      <c r="H15" s="109">
        <f>VLOOKUP(B15,'Gebouwgegevens Tabula'!$J$5:$Q$83,8,0)</f>
        <v>74.870455534600325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Tabula'!$J$5:$Q$83,3,0)</f>
        <v>1</v>
      </c>
      <c r="D16" s="108" t="str">
        <f>VLOOKUP(B16,'Gebouwgegevens Tabula'!$J$5:$Q$83,4,0)</f>
        <v>Window</v>
      </c>
      <c r="E16" s="108">
        <f>VLOOKUP(B16,'Gebouwgegevens Tabula'!$J$5:$Q$83,5,0)</f>
        <v>10.8</v>
      </c>
      <c r="F16" s="108" t="str">
        <f>VLOOKUP(B16,'Gebouwgegevens Tabula'!$J$5:$Q$83,6,0)</f>
        <v>front</v>
      </c>
      <c r="G16" s="108">
        <f>VLOOKUP(B16,'Gebouwgegevens Tabula'!$J$5:$Q$83,7,0)</f>
        <v>5</v>
      </c>
      <c r="H16" s="109">
        <f>VLOOKUP(B16,'Gebouwgegevens Tabula'!$J$5:$Q$83,8,0)</f>
        <v>54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Tabula'!$J$5:$Q$83,3,0)</f>
        <v>1</v>
      </c>
      <c r="D17" s="108" t="str">
        <f>VLOOKUP(B17,'Gebouwgegevens Tabula'!$J$5:$Q$83,4,0)</f>
        <v>Window</v>
      </c>
      <c r="E17" s="108">
        <f>VLOOKUP(B17,'Gebouwgegevens Tabula'!$J$5:$Q$83,5,0)</f>
        <v>9.3000000000000007</v>
      </c>
      <c r="F17" s="108" t="str">
        <f>VLOOKUP(B17,'Gebouwgegevens Tabula'!$J$5:$Q$83,6,0)</f>
        <v>right</v>
      </c>
      <c r="G17" s="108">
        <f>VLOOKUP(B17,'Gebouwgegevens Tabula'!$J$5:$Q$83,7,0)</f>
        <v>5</v>
      </c>
      <c r="H17" s="109">
        <f>VLOOKUP(B17,'Gebouwgegevens Tabula'!$J$5:$Q$83,8,0)</f>
        <v>46.5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Tabula'!$J$5:$Q$83,3,0)</f>
        <v>1</v>
      </c>
      <c r="D18" s="108" t="str">
        <f>VLOOKUP(B18,'Gebouwgegevens Tabula'!$J$5:$Q$83,4,0)</f>
        <v>Window</v>
      </c>
      <c r="E18" s="108">
        <f>VLOOKUP(B18,'Gebouwgegevens Tabula'!$J$5:$Q$83,5,0)</f>
        <v>12.2</v>
      </c>
      <c r="F18" s="108" t="str">
        <f>VLOOKUP(B18,'Gebouwgegevens Tabula'!$J$5:$Q$83,6,0)</f>
        <v>back</v>
      </c>
      <c r="G18" s="108">
        <f>VLOOKUP(B18,'Gebouwgegevens Tabula'!$J$5:$Q$83,7,0)</f>
        <v>5</v>
      </c>
      <c r="H18" s="109">
        <f>VLOOKUP(B18,'Gebouwgegevens Tabula'!$J$5:$Q$83,8,0)</f>
        <v>61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Tabula'!$J$5:$Q$83,3,0)</f>
        <v>1</v>
      </c>
      <c r="D19" s="108" t="str">
        <f>VLOOKUP(B19,'Gebouwgegevens Tabula'!$J$5:$Q$83,4,0)</f>
        <v>Window</v>
      </c>
      <c r="E19" s="108">
        <f>VLOOKUP(B19,'Gebouwgegevens Tabula'!$J$5:$Q$83,5,0)</f>
        <v>8.9</v>
      </c>
      <c r="F19" s="108" t="str">
        <f>VLOOKUP(B19,'Gebouwgegevens Tabula'!$J$5:$Q$83,6,0)</f>
        <v>left</v>
      </c>
      <c r="G19" s="108">
        <f>VLOOKUP(B19,'Gebouwgegevens Tabula'!$J$5:$Q$83,7,0)</f>
        <v>5</v>
      </c>
      <c r="H19" s="109">
        <f>VLOOKUP(B19,'Gebouwgegevens Tabula'!$J$5:$Q$83,8,0)</f>
        <v>44.5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Tabula'!$J$5:$Q$83,3,0)</f>
        <v>1</v>
      </c>
      <c r="D21" s="108" t="str">
        <f>VLOOKUP(B21,'Gebouwgegevens Tabula'!$J$5:$Q$83,4,0)</f>
        <v>Roof</v>
      </c>
      <c r="E21" s="108">
        <f>VLOOKUP(B21,'Gebouwgegevens Tabula'!$J$5:$Q$83,5,0)</f>
        <v>101.4</v>
      </c>
      <c r="F21" s="108">
        <f>VLOOKUP(B21,'Gebouwgegevens Tabula'!$J$5:$Q$83,6,0)</f>
        <v>0</v>
      </c>
      <c r="G21" s="108">
        <f>VLOOKUP(B21,'Gebouwgegevens Tabula'!$J$5:$Q$83,7,0)</f>
        <v>1.6975498473547073</v>
      </c>
      <c r="H21" s="109">
        <f>VLOOKUP(B21,'Gebouwgegevens Tabula'!$J$5:$Q$83,8,0)</f>
        <v>172.13155452176733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37461.275811850952</v>
      </c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Tabula'!$J$5:$Q$83,3,0)</f>
        <v>1</v>
      </c>
      <c r="D28" s="118" t="str">
        <f>VLOOKUP(B28,'Gebouwgegevens Tabula'!$J$5:$Q$83,4,0)</f>
        <v>Floor</v>
      </c>
      <c r="E28" s="118">
        <f>VLOOKUP(B28,'Gebouwgegevens Tabula'!$J$5:$Q$83,5,0)</f>
        <v>88.800000000000011</v>
      </c>
      <c r="F28" s="118">
        <f>VLOOKUP(B28,'Gebouwgegevens Tabula'!$J$5:$Q$83,7,0)</f>
        <v>2.5990099009900991</v>
      </c>
      <c r="G28" s="119">
        <f>VLOOKUP(B28,'Gebouwgegevens Tabula'!$J$5:$Q$83,8,0)</f>
        <v>230.79207920792084</v>
      </c>
      <c r="H28" s="119">
        <f>N28/F28</f>
        <v>0.27511570443577593</v>
      </c>
      <c r="I28" s="118">
        <f>'Gebouwgegevens Tabula'!N14</f>
        <v>88.800000000000011</v>
      </c>
      <c r="J28" s="117">
        <v>42</v>
      </c>
      <c r="K28" s="117">
        <v>0.33</v>
      </c>
      <c r="L28" s="120">
        <f>I28/(0.5*J28)</f>
        <v>4.2285714285714295</v>
      </c>
      <c r="M28" s="120">
        <f>K28+2*(1/F28)</f>
        <v>1.0995238095238096</v>
      </c>
      <c r="N28" s="121">
        <f>IF(M28&lt;L28,2*2/(PI()*L28+M28)*LN(PI()*L28/M28+1),2/(0.457*L28+M28))</f>
        <v>0.71502843974644736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774.38366012503104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21682.742483500868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1" t="s">
        <v>197</v>
      </c>
      <c r="B45" s="311"/>
      <c r="C45" s="311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Tabula'!B5</f>
        <v>22.98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Tabula'!G35</f>
        <v>167.39999999999998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Tabula'!B5*(1-F55)</f>
        <v>383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405.98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1.9563227031350894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138.03320000000002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4002.9628000000007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1" t="s">
        <v>213</v>
      </c>
      <c r="B63" s="311"/>
      <c r="C63" s="311"/>
      <c r="D63" s="311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30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Tabula'!B7</f>
        <v>279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Tabula'!$B$4)</f>
        <v>288.62068965517244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8370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1201.0375497802033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34055.705283500865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1" t="s">
        <v>171</v>
      </c>
      <c r="B79" s="311"/>
      <c r="C79" s="311"/>
      <c r="D79" s="311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Tabula'!C108,'Gebouwgegevens Allacker'!$A$35:$F$46,5,0)</f>
        <v>#N/A</v>
      </c>
      <c r="H108" s="123" t="e">
        <f>VLOOKUP('Verwarming Tabula'!D108,'Gebouwgegevens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Tabula'!C109,'Gebouwgegevens Allacker'!$A$35:$F$46,5,0)</f>
        <v>#N/A</v>
      </c>
      <c r="H109" s="123" t="e">
        <f>VLOOKUP('Verwarming Tabula'!D109,'Gebouwgegevens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Tabula'!C110,'Gebouwgegevens Allacker'!$A$35:$F$46,5,0)</f>
        <v>#N/A</v>
      </c>
      <c r="H110" s="123" t="e">
        <f>VLOOKUP('Verwarming Tabula'!D110,'Gebouwgegevens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Tabula'!C111,'Gebouwgegevens Allacker'!$A$35:$F$46,5,0)</f>
        <v>#N/A</v>
      </c>
      <c r="H111" s="123" t="e">
        <f>VLOOKUP('Verwarming Tabula'!D111,'Gebouwgegevens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Tabula'!C112,'Gebouwgegevens Allacker'!$A$35:$F$46,5,0)</f>
        <v>#N/A</v>
      </c>
      <c r="H112" s="123" t="e">
        <f>VLOOKUP('Verwarming Tabula'!D112,'Gebouwgegevens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1" t="s">
        <v>197</v>
      </c>
      <c r="B124" s="311"/>
      <c r="C124" s="311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1" t="s">
        <v>213</v>
      </c>
      <c r="B142" s="311"/>
      <c r="C142" s="311"/>
      <c r="D142" s="311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1" t="s">
        <v>171</v>
      </c>
      <c r="B159" s="311"/>
      <c r="C159" s="311"/>
      <c r="D159" s="311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Tabula'!C188,'Gebouwgegevens Allacker'!$A$35:$F$46,5,0)</f>
        <v>#N/A</v>
      </c>
      <c r="H188" s="123" t="e">
        <f>VLOOKUP('Verwarming Tabula'!D188,'Gebouwgegevens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Tabula'!C189,'Gebouwgegevens Allacker'!$A$35:$F$46,5,0)</f>
        <v>#N/A</v>
      </c>
      <c r="H189" s="123" t="e">
        <f>VLOOKUP('Verwarming Tabula'!D189,'Gebouwgegevens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Tabula'!C190,'Gebouwgegevens Allacker'!$A$35:$F$46,5,0)</f>
        <v>#N/A</v>
      </c>
      <c r="H190" s="123" t="e">
        <f>VLOOKUP('Verwarming Tabula'!D190,'Gebouwgegevens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1" t="s">
        <v>197</v>
      </c>
      <c r="B204" s="311"/>
      <c r="C204" s="311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1" t="s">
        <v>213</v>
      </c>
      <c r="B222" s="311"/>
      <c r="C222" s="311"/>
      <c r="D222" s="311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1" t="s">
        <v>171</v>
      </c>
      <c r="B238" s="311"/>
      <c r="C238" s="311"/>
      <c r="D238" s="311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Tabula'!C267,'Gebouwgegevens Allacker'!$A$35:$F$46,5,0)</f>
        <v>#N/A</v>
      </c>
      <c r="H267" s="123" t="e">
        <f>VLOOKUP('Verwarming Tabula'!D267,'Gebouwgegevens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Tabula'!C268,'Gebouwgegevens Allacker'!$A$35:$F$46,5,0)</f>
        <v>#N/A</v>
      </c>
      <c r="H268" s="123" t="e">
        <f>VLOOKUP('Verwarming Tabula'!D268,'Gebouwgegevens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Tabula'!C269,'Gebouwgegevens Allacker'!$A$35:$F$46,5,0)</f>
        <v>#N/A</v>
      </c>
      <c r="H269" s="123" t="e">
        <f>VLOOKUP('Verwarming Tabula'!D269,'Gebouwgegevens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Tabula'!C270,'Gebouwgegevens Allacker'!$A$35:$F$46,5,0)</f>
        <v>#N/A</v>
      </c>
      <c r="H270" s="123" t="e">
        <f>VLOOKUP('Verwarming Tabula'!D270,'Gebouwgegevens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1" t="s">
        <v>197</v>
      </c>
      <c r="B283" s="311"/>
      <c r="C283" s="311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1" t="s">
        <v>213</v>
      </c>
      <c r="B301" s="311"/>
      <c r="C301" s="311"/>
      <c r="D301" s="311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1" t="s">
        <v>171</v>
      </c>
      <c r="B317" s="311"/>
      <c r="C317" s="311"/>
      <c r="D317" s="311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Tabula'!C346,'Gebouwgegevens Allacker'!$A$35:$F$46,5,0)</f>
        <v>#N/A</v>
      </c>
      <c r="H346" s="123" t="e">
        <f>VLOOKUP('Verwarming Tabula'!D346,'Gebouwgegevens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Tabula'!C347,'Gebouwgegevens Allacker'!$A$35:$F$46,5,0)</f>
        <v>#N/A</v>
      </c>
      <c r="H347" s="123" t="e">
        <f>VLOOKUP('Verwarming Tabula'!D347,'Gebouwgegevens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Tabula'!C348,'Gebouwgegevens Allacker'!$A$35:$F$46,5,0)</f>
        <v>#N/A</v>
      </c>
      <c r="H348" s="123" t="e">
        <f>VLOOKUP('Verwarming Tabula'!D348,'Gebouwgegevens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Tabula'!C349,'Gebouwgegevens Allacker'!$A$35:$F$46,5,0)</f>
        <v>#N/A</v>
      </c>
      <c r="H349" s="123" t="e">
        <f>VLOOKUP('Verwarming Tabula'!D349,'Gebouwgegevens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Tabula'!C350,'Gebouwgegevens Allacker'!$A$35:$F$46,5,0)</f>
        <v>#N/A</v>
      </c>
      <c r="H350" s="123" t="e">
        <f>VLOOKUP('Verwarming Tabula'!D350,'Gebouwgegevens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1" t="s">
        <v>197</v>
      </c>
      <c r="B362" s="311"/>
      <c r="C362" s="311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1" t="s">
        <v>213</v>
      </c>
      <c r="B380" s="311"/>
      <c r="C380" s="311"/>
      <c r="D380" s="311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1" t="s">
        <v>171</v>
      </c>
      <c r="B395" s="311"/>
      <c r="C395" s="311"/>
      <c r="D395" s="311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Tabula'!C424,'Gebouwgegevens Allacker'!$A$35:$F$46,5,0)</f>
        <v>#N/A</v>
      </c>
      <c r="H424" s="123" t="e">
        <f>VLOOKUP('Verwarming Tabula'!D424,'Gebouwgegevens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Tabula'!C425,'Gebouwgegevens Allacker'!$A$35:$F$46,5,0)</f>
        <v>#N/A</v>
      </c>
      <c r="H425" s="123" t="e">
        <f>VLOOKUP('Verwarming Tabula'!D425,'Gebouwgegevens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Tabula'!C426,'Gebouwgegevens Allacker'!$A$35:$F$46,5,0)</f>
        <v>#N/A</v>
      </c>
      <c r="H426" s="123" t="e">
        <f>VLOOKUP('Verwarming Tabula'!D426,'Gebouwgegevens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Tabula'!C427,'Gebouwgegevens Allacker'!$A$35:$F$46,5,0)</f>
        <v>#N/A</v>
      </c>
      <c r="H427" s="123" t="e">
        <f>VLOOKUP('Verwarming Tabula'!D427,'Gebouwgegevens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Tabula'!C428,'Gebouwgegevens Allacker'!$A$35:$F$46,5,0)</f>
        <v>#N/A</v>
      </c>
      <c r="H428" s="123" t="e">
        <f>VLOOKUP('Verwarming Tabula'!D428,'Gebouwgegevens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1" t="s">
        <v>197</v>
      </c>
      <c r="B440" s="311"/>
      <c r="C440" s="311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1" t="s">
        <v>213</v>
      </c>
      <c r="B458" s="311"/>
      <c r="C458" s="311"/>
      <c r="D458" s="311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1" t="s">
        <v>171</v>
      </c>
      <c r="B473" s="311"/>
      <c r="C473" s="311"/>
      <c r="D473" s="311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Tabula'!C502,'Gebouwgegevens Allacker'!$A$35:$F$46,5,0)</f>
        <v>#N/A</v>
      </c>
      <c r="H502" s="123" t="e">
        <f>VLOOKUP('Verwarming Tabula'!D502,'Gebouwgegevens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Tabula'!C503,'Gebouwgegevens Allacker'!$A$35:$F$46,5,0)</f>
        <v>#N/A</v>
      </c>
      <c r="H503" s="123" t="e">
        <f>VLOOKUP('Verwarming Tabula'!D503,'Gebouwgegevens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Tabula'!C504,'Gebouwgegevens Allacker'!$A$35:$F$46,5,0)</f>
        <v>#N/A</v>
      </c>
      <c r="H504" s="123" t="e">
        <f>VLOOKUP('Verwarming Tabula'!D504,'Gebouwgegevens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1" t="s">
        <v>197</v>
      </c>
      <c r="B518" s="311"/>
      <c r="C518" s="311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1" t="s">
        <v>213</v>
      </c>
      <c r="B536" s="311"/>
      <c r="C536" s="311"/>
      <c r="D536" s="311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1" t="s">
        <v>171</v>
      </c>
      <c r="B552" s="311"/>
      <c r="C552" s="311"/>
      <c r="D552" s="311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Tabula'!C581,'Gebouwgegevens Allacker'!$A$35:$F$46,5,0)</f>
        <v>#N/A</v>
      </c>
      <c r="H581" s="123" t="e">
        <f>VLOOKUP('Verwarming Tabula'!D581,'Gebouwgegevens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Tabula'!C582,'Gebouwgegevens Allacker'!$A$35:$F$46,5,0)</f>
        <v>#N/A</v>
      </c>
      <c r="H582" s="123" t="e">
        <f>VLOOKUP('Verwarming Tabula'!D582,'Gebouwgegevens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Tabula'!C583,'Gebouwgegevens Allacker'!$A$35:$F$46,5,0)</f>
        <v>#N/A</v>
      </c>
      <c r="H583" s="123" t="e">
        <f>VLOOKUP('Verwarming Tabula'!D583,'Gebouwgegevens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1" t="s">
        <v>197</v>
      </c>
      <c r="B597" s="311"/>
      <c r="C597" s="311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1" t="s">
        <v>213</v>
      </c>
      <c r="B615" s="311"/>
      <c r="C615" s="311"/>
      <c r="D615" s="311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1" t="s">
        <v>171</v>
      </c>
      <c r="B631" s="311"/>
      <c r="C631" s="311"/>
      <c r="D631" s="311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Tabula'!C660,'Gebouwgegevens Allacker'!$A$35:$F$46,5,0)</f>
        <v>#N/A</v>
      </c>
      <c r="H660" s="123" t="e">
        <f>VLOOKUP('Verwarming Tabula'!D660,'Gebouwgegevens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Tabula'!C661,'Gebouwgegevens Allacker'!$A$35:$F$46,5,0)</f>
        <v>#N/A</v>
      </c>
      <c r="H661" s="123" t="e">
        <f>VLOOKUP('Verwarming Tabula'!D661,'Gebouwgegevens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1" t="s">
        <v>197</v>
      </c>
      <c r="B676" s="311"/>
      <c r="C676" s="311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1" t="s">
        <v>213</v>
      </c>
      <c r="B694" s="311"/>
      <c r="C694" s="311"/>
      <c r="D694" s="311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1" t="s">
        <v>171</v>
      </c>
      <c r="B710" s="311"/>
      <c r="C710" s="311"/>
      <c r="D710" s="311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Tabula'!C739,'Gebouwgegevens Allacker'!$A$35:$F$46,5,0)</f>
        <v>#N/A</v>
      </c>
      <c r="H739" s="123" t="e">
        <f>VLOOKUP('Verwarming Tabula'!D739,'Gebouwgegevens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Tabula'!C740,'Gebouwgegevens Allacker'!$A$35:$F$46,5,0)</f>
        <v>#N/A</v>
      </c>
      <c r="H740" s="123" t="e">
        <f>VLOOKUP('Verwarming Tabula'!D740,'Gebouwgegevens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Tabula'!C741,'Gebouwgegevens Allacker'!$A$35:$F$46,5,0)</f>
        <v>#N/A</v>
      </c>
      <c r="H741" s="123" t="e">
        <f>VLOOKUP('Verwarming Tabula'!D741,'Gebouwgegevens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Tabula'!C742,'Gebouwgegevens Allacker'!$A$35:$F$46,5,0)</f>
        <v>#N/A</v>
      </c>
      <c r="H742" s="123" t="e">
        <f>VLOOKUP('Verwarming Tabula'!D742,'Gebouwgegevens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Tabula'!C743,'Gebouwgegevens Allacker'!$A$35:$F$46,5,0)</f>
        <v>#N/A</v>
      </c>
      <c r="H743" s="123" t="e">
        <f>VLOOKUP('Verwarming Tabula'!D743,'Gebouwgegevens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Tabula'!C744,'Gebouwgegevens Allacker'!$A$35:$F$46,5,0)</f>
        <v>#N/A</v>
      </c>
      <c r="H744" s="123" t="e">
        <f>VLOOKUP('Verwarming Tabula'!D744,'Gebouwgegevens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Tabula'!C745,'Gebouwgegevens Allacker'!$A$35:$F$46,5,0)</f>
        <v>#N/A</v>
      </c>
      <c r="H745" s="123" t="e">
        <f>VLOOKUP('Verwarming Tabula'!D745,'Gebouwgegevens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Tabula'!C746,'Gebouwgegevens Allacker'!$A$35:$F$46,5,0)</f>
        <v>#N/A</v>
      </c>
      <c r="H746" s="123" t="e">
        <f>VLOOKUP('Verwarming Tabula'!D746,'Gebouwgegevens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Tabula'!C747,'Gebouwgegevens Allacker'!$A$35:$F$46,5,0)</f>
        <v>#N/A</v>
      </c>
      <c r="H747" s="123" t="e">
        <f>VLOOKUP('Verwarming Tabula'!D747,'Gebouwgegevens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Tabula'!C748,'Gebouwgegevens Allacker'!$A$35:$F$46,5,0)</f>
        <v>#N/A</v>
      </c>
      <c r="H748" s="123" t="e">
        <f>VLOOKUP('Verwarming Tabula'!D748,'Gebouwgegevens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Tabula'!C749,'Gebouwgegevens Allacker'!$A$35:$F$46,5,0)</f>
        <v>#N/A</v>
      </c>
      <c r="H749" s="123" t="e">
        <f>VLOOKUP('Verwarming Tabula'!D749,'Gebouwgegevens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Tabula'!C750,'Gebouwgegevens Allacker'!$A$35:$F$46,5,0)</f>
        <v>#N/A</v>
      </c>
      <c r="H750" s="123" t="e">
        <f>VLOOKUP('Verwarming Tabula'!D750,'Gebouwgegevens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1" t="s">
        <v>197</v>
      </c>
      <c r="B755" s="311"/>
      <c r="C755" s="311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1" t="s">
        <v>213</v>
      </c>
      <c r="B773" s="311"/>
      <c r="C773" s="311"/>
      <c r="D773" s="311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25"/>
  <sheetViews>
    <sheetView topLeftCell="CG40" zoomScale="55" zoomScaleNormal="55" workbookViewId="0">
      <selection activeCell="DG72" sqref="DG72"/>
    </sheetView>
  </sheetViews>
  <sheetFormatPr defaultRowHeight="16.5" thickTop="1" thickBottom="1" x14ac:dyDescent="0.3"/>
  <cols>
    <col min="1" max="1" width="20.5703125"/>
    <col min="2" max="2" width="12.28515625"/>
    <col min="4" max="4" width="26.5703125" customWidth="1"/>
    <col min="6" max="6" width="9.42578125" customWidth="1"/>
    <col min="7" max="7" width="6"/>
    <col min="8" max="8" width="7.7109375"/>
    <col min="9" max="9" width="9.140625" style="81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5.140625"/>
    <col min="20" max="20" width="11.7109375"/>
    <col min="21" max="21" width="12.140625"/>
    <col min="22" max="22" width="3.140625" style="1"/>
    <col min="23" max="23" width="3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61" max="65" width="9.140625" style="81"/>
    <col min="69" max="69" width="13.5703125" bestFit="1" customWidth="1"/>
    <col min="71" max="71" width="9.140625" style="171"/>
    <col min="73" max="73" width="11.7109375" customWidth="1"/>
    <col min="79" max="82" width="9.140625" style="172"/>
    <col min="83" max="83" width="16.5703125" style="172" customWidth="1"/>
    <col min="84" max="84" width="9.140625" style="172"/>
    <col min="86" max="87" width="9.140625" style="248"/>
    <col min="88" max="88" width="15" customWidth="1"/>
    <col min="89" max="89" width="12.140625" style="79" customWidth="1"/>
    <col min="90" max="91" width="11.28515625" style="79" customWidth="1"/>
    <col min="94" max="100" width="9.140625" style="253"/>
    <col min="102" max="102" width="15.5703125" style="255" bestFit="1" customWidth="1"/>
    <col min="103" max="106" width="9.140625" style="255"/>
    <col min="108" max="110" width="9.140625" style="170"/>
    <col min="111" max="111" width="19.85546875" style="170" bestFit="1" customWidth="1"/>
    <col min="112" max="112" width="9.140625" style="170"/>
    <col min="114" max="121" width="9.140625" style="297"/>
    <col min="122" max="122" width="15.5703125" style="298" bestFit="1" customWidth="1"/>
    <col min="123" max="124" width="9.140625" style="298"/>
    <col min="125" max="125" width="11" style="298" bestFit="1" customWidth="1"/>
    <col min="126" max="126" width="9.140625" style="298"/>
  </cols>
  <sheetData>
    <row r="1" spans="1:126" ht="20.25" customHeight="1" thickTop="1" thickBot="1" x14ac:dyDescent="0.35">
      <c r="A1" s="309" t="s">
        <v>310</v>
      </c>
      <c r="B1" s="309"/>
      <c r="C1" s="309"/>
      <c r="D1" s="309"/>
      <c r="E1" s="309"/>
      <c r="F1" s="309"/>
      <c r="G1" s="309"/>
      <c r="AO1" s="160" t="s">
        <v>312</v>
      </c>
      <c r="BC1" t="s">
        <v>377</v>
      </c>
      <c r="BT1" t="s">
        <v>378</v>
      </c>
    </row>
    <row r="2" spans="1:126" thickTop="1" thickBot="1" x14ac:dyDescent="0.3">
      <c r="AO2" s="81" t="s">
        <v>313</v>
      </c>
      <c r="CJ2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  <c r="DJ2" s="297" t="s">
        <v>440</v>
      </c>
    </row>
    <row r="3" spans="1:126" thickTop="1" thickBot="1" x14ac:dyDescent="0.3">
      <c r="A3" s="312" t="s">
        <v>1</v>
      </c>
      <c r="B3" s="313"/>
      <c r="C3" s="313"/>
      <c r="D3" s="313"/>
      <c r="E3" s="313"/>
      <c r="F3" s="313"/>
      <c r="G3" s="313"/>
      <c r="H3" s="314"/>
      <c r="I3" s="288"/>
      <c r="K3" s="306" t="s">
        <v>2</v>
      </c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4"/>
      <c r="W3" s="306" t="s">
        <v>3</v>
      </c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C3" s="81"/>
      <c r="BD3" s="81" t="s">
        <v>420</v>
      </c>
      <c r="BE3" s="81" t="s">
        <v>430</v>
      </c>
      <c r="BF3" s="81"/>
      <c r="BG3" s="81"/>
      <c r="BH3" s="81"/>
      <c r="BM3" s="166" t="s">
        <v>316</v>
      </c>
      <c r="BN3" s="161"/>
      <c r="BO3" s="161"/>
      <c r="BP3" s="161"/>
      <c r="BQ3" s="162"/>
      <c r="BR3" s="161"/>
      <c r="BT3" s="81" t="s">
        <v>379</v>
      </c>
      <c r="BU3" s="81"/>
      <c r="BV3" s="81"/>
      <c r="BW3" s="81"/>
      <c r="BX3" s="81"/>
      <c r="BY3" s="81"/>
      <c r="BZ3" s="81"/>
      <c r="CA3" s="172" t="s">
        <v>316</v>
      </c>
      <c r="CE3" s="173"/>
      <c r="CJ3" t="s">
        <v>319</v>
      </c>
      <c r="CK3" s="249">
        <f>AZ4</f>
        <v>0.15329867501846428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  <c r="DR3" s="298" t="s">
        <v>459</v>
      </c>
    </row>
    <row r="4" spans="1:126" ht="15.75" customHeight="1" thickTop="1" thickBot="1" x14ac:dyDescent="0.3">
      <c r="A4" s="176" t="s">
        <v>6</v>
      </c>
      <c r="B4" s="177">
        <f>'Tabula data'!B5</f>
        <v>531.70000000000005</v>
      </c>
      <c r="C4" s="177" t="s">
        <v>7</v>
      </c>
      <c r="D4" s="176" t="s">
        <v>8</v>
      </c>
      <c r="E4" s="177"/>
      <c r="F4" s="177"/>
      <c r="G4" s="178">
        <f>SUM(H6:H13)</f>
        <v>30.599999999999998</v>
      </c>
      <c r="H4" s="179" t="s">
        <v>9</v>
      </c>
      <c r="I4" s="187"/>
      <c r="L4" s="315" t="s">
        <v>2</v>
      </c>
      <c r="M4" s="316"/>
      <c r="N4" s="316"/>
      <c r="O4" s="316"/>
      <c r="P4" s="317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SUM(O6:O9)/SUM($O$6:$O$14,$O$26,2*$O$27,O30)</f>
        <v>0.15329867501846428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0.15329867501846428</v>
      </c>
      <c r="BA4" s="168" t="s">
        <v>320</v>
      </c>
      <c r="BC4" s="81"/>
      <c r="BD4" s="81" t="s">
        <v>379</v>
      </c>
      <c r="BE4" s="81"/>
      <c r="BF4" s="81"/>
      <c r="BG4" s="81"/>
      <c r="BH4" s="81"/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BZ4" s="81"/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t="s">
        <v>322</v>
      </c>
      <c r="CK4" s="249">
        <f t="shared" ref="CK4:CK49" si="0">AZ5</f>
        <v>0.38555379170255127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429</v>
      </c>
      <c r="CQ4" s="253" t="s">
        <v>420</v>
      </c>
      <c r="CR4" s="253" t="s">
        <v>441</v>
      </c>
      <c r="CW4" s="81"/>
      <c r="DJ4" s="297" t="s">
        <v>429</v>
      </c>
      <c r="DK4" s="297" t="s">
        <v>420</v>
      </c>
      <c r="DL4" s="297" t="s">
        <v>441</v>
      </c>
    </row>
    <row r="5" spans="1:126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1.6605883333024791</v>
      </c>
      <c r="AB5" s="226" t="s">
        <v>5</v>
      </c>
      <c r="AC5" s="226"/>
      <c r="AD5" s="226" t="s">
        <v>22</v>
      </c>
      <c r="AE5" s="229">
        <f>SUM(AE7:AE10)</f>
        <v>45612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SUM(2*O27,O30)/SUM($O$6:$O$14,$O$26,2*$O$27,O30)</f>
        <v>0.38555379170255127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0.38555379170255127</v>
      </c>
      <c r="BA5" s="168" t="s">
        <v>320</v>
      </c>
      <c r="BC5" s="81"/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t="s">
        <v>323</v>
      </c>
      <c r="CK5" s="249">
        <f t="shared" si="0"/>
        <v>3.3807174217386021E-2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W5" s="81"/>
      <c r="CX5" s="255" t="s">
        <v>460</v>
      </c>
      <c r="CY5" s="256" t="s">
        <v>461</v>
      </c>
      <c r="CZ5" s="256" t="s">
        <v>321</v>
      </c>
      <c r="DA5" s="257">
        <f>CR12</f>
        <v>0.28499999999999998</v>
      </c>
      <c r="DB5" s="255" t="s">
        <v>320</v>
      </c>
      <c r="DD5" s="170" t="s">
        <v>460</v>
      </c>
      <c r="DE5" s="289" t="s">
        <v>461</v>
      </c>
      <c r="DF5" s="289" t="s">
        <v>321</v>
      </c>
      <c r="DG5" s="170">
        <f>$O$11*$Z$37*$AP$4</f>
        <v>0.48679994252113334</v>
      </c>
      <c r="DH5" s="170" t="s">
        <v>320</v>
      </c>
      <c r="DJ5" s="297" t="s">
        <v>429</v>
      </c>
      <c r="DK5" s="297" t="s">
        <v>379</v>
      </c>
      <c r="DR5" s="298" t="s">
        <v>460</v>
      </c>
      <c r="DS5" s="299" t="s">
        <v>461</v>
      </c>
      <c r="DT5" s="299" t="s">
        <v>321</v>
      </c>
      <c r="DU5" s="300">
        <f>DL12</f>
        <v>0.36399999999999999</v>
      </c>
      <c r="DV5" s="298" t="s">
        <v>320</v>
      </c>
    </row>
    <row r="6" spans="1:126" ht="15" customHeight="1" thickTop="1" thickBot="1" x14ac:dyDescent="0.3">
      <c r="A6" s="185" t="s">
        <v>34</v>
      </c>
      <c r="B6" s="186">
        <f>'Tabula data'!B4</f>
        <v>193.4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0.12091503267973858</v>
      </c>
      <c r="G6" s="183"/>
      <c r="H6" s="190">
        <f>'Tabula data'!B22*'Gebouwgegevens Tabula 2zone'!C45</f>
        <v>3.7</v>
      </c>
      <c r="I6" s="202"/>
      <c r="K6" t="s">
        <v>24</v>
      </c>
      <c r="L6" s="211">
        <v>0</v>
      </c>
      <c r="M6" s="212">
        <v>1</v>
      </c>
      <c r="N6" s="212" t="s">
        <v>25</v>
      </c>
      <c r="O6" s="213">
        <f>'Tabula data'!B19*C43</f>
        <v>16.822408211117601</v>
      </c>
      <c r="P6" s="214" t="s">
        <v>26</v>
      </c>
      <c r="Q6" s="30">
        <f t="shared" ref="Q6:Q28" si="7">VLOOKUP(N6,$X$5:$AA$391,4,0)</f>
        <v>1.6946440466045722</v>
      </c>
      <c r="R6" s="30">
        <f t="shared" ref="R6:R28" si="8">Q6*O6</f>
        <v>28.507993924522314</v>
      </c>
      <c r="S6" s="30">
        <f t="shared" ref="S6:S14" si="9">VLOOKUP(N6,$X$5:$AE$391,8,0)*O6</f>
        <v>5136554.1231826479</v>
      </c>
      <c r="T6" s="30">
        <f t="shared" ref="T6:T14" si="10">S6/O6</f>
        <v>305340</v>
      </c>
      <c r="U6" s="30">
        <f t="shared" ref="U6:U14" si="11">VLOOKUP(N6,$X$5:$AG$391,10,0)*O6</f>
        <v>3045192.3343765088</v>
      </c>
      <c r="V6" s="31"/>
      <c r="W6" s="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SUM(O10:O13)/SUM($O$6:$O$14,$O$26,2*$O$27,O30)</f>
        <v>3.3807174217386021E-2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3.3807174217386021E-2</v>
      </c>
      <c r="BA6" s="168" t="s">
        <v>320</v>
      </c>
      <c r="BC6" s="81"/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t="s">
        <v>324</v>
      </c>
      <c r="CK6" s="249">
        <f t="shared" si="0"/>
        <v>0.19621418761463263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W6" s="81"/>
      <c r="CX6" s="255" t="s">
        <v>460</v>
      </c>
      <c r="CY6" s="256" t="s">
        <v>462</v>
      </c>
      <c r="CZ6" s="256" t="s">
        <v>321</v>
      </c>
      <c r="DA6" s="257">
        <f t="shared" ref="DA6:DA23" si="12">CR13</f>
        <v>0.82399999999999995</v>
      </c>
      <c r="DB6" s="255" t="s">
        <v>320</v>
      </c>
      <c r="DD6" s="170" t="s">
        <v>460</v>
      </c>
      <c r="DE6" s="289" t="s">
        <v>462</v>
      </c>
      <c r="DF6" s="289" t="s">
        <v>321</v>
      </c>
      <c r="DG6" s="170">
        <f>$O$10*$Z$37*$AP$4</f>
        <v>0.49346843488443659</v>
      </c>
      <c r="DH6" s="170" t="s">
        <v>320</v>
      </c>
      <c r="DJ6" s="297" t="s">
        <v>429</v>
      </c>
      <c r="DK6" s="297" t="s">
        <v>380</v>
      </c>
      <c r="DL6" s="297" t="s">
        <v>381</v>
      </c>
      <c r="DM6" s="297" t="s">
        <v>382</v>
      </c>
      <c r="DN6" s="297" t="s">
        <v>383</v>
      </c>
      <c r="DO6" s="297" t="s">
        <v>384</v>
      </c>
      <c r="DP6" s="297" t="s">
        <v>385</v>
      </c>
      <c r="DR6" s="298" t="s">
        <v>460</v>
      </c>
      <c r="DS6" s="299" t="s">
        <v>462</v>
      </c>
      <c r="DT6" s="299" t="s">
        <v>321</v>
      </c>
      <c r="DU6" s="300">
        <f t="shared" ref="DU6:DU23" si="13">DL13</f>
        <v>0.84499999999999997</v>
      </c>
      <c r="DV6" s="298" t="s">
        <v>320</v>
      </c>
    </row>
    <row r="7" spans="1:126" ht="15" customHeight="1" thickTop="1" thickBot="1" x14ac:dyDescent="0.3">
      <c r="A7" s="188" t="s">
        <v>42</v>
      </c>
      <c r="B7" s="191">
        <f>'Tabula data'!B14</f>
        <v>88.800000000000011</v>
      </c>
      <c r="C7" s="192" t="s">
        <v>9</v>
      </c>
      <c r="D7" s="188" t="s">
        <v>43</v>
      </c>
      <c r="E7" s="183" t="s">
        <v>36</v>
      </c>
      <c r="F7" s="189">
        <f t="shared" si="6"/>
        <v>0.11928104575163399</v>
      </c>
      <c r="G7" s="183"/>
      <c r="H7" s="190">
        <f>'Tabula data'!B23*'Gebouwgegevens Tabula 2zone'!C45</f>
        <v>3.65</v>
      </c>
      <c r="I7" s="202"/>
      <c r="K7" t="s">
        <v>38</v>
      </c>
      <c r="L7" s="215">
        <v>0</v>
      </c>
      <c r="M7" s="216">
        <v>1</v>
      </c>
      <c r="N7" s="216" t="s">
        <v>25</v>
      </c>
      <c r="O7" s="217">
        <f>'Tabula data'!B20*C43</f>
        <v>35.733053277868223</v>
      </c>
      <c r="P7" s="218" t="s">
        <v>39</v>
      </c>
      <c r="Q7" s="30">
        <f t="shared" si="7"/>
        <v>1.6946440466045722</v>
      </c>
      <c r="R7" s="30">
        <f t="shared" si="8"/>
        <v>60.554806004343376</v>
      </c>
      <c r="S7" s="30">
        <f t="shared" si="9"/>
        <v>10910730.487864284</v>
      </c>
      <c r="T7" s="30">
        <f t="shared" si="10"/>
        <v>305340</v>
      </c>
      <c r="U7" s="30">
        <f t="shared" si="11"/>
        <v>6468397.3043597071</v>
      </c>
      <c r="V7" s="31"/>
      <c r="W7" s="3"/>
      <c r="X7" s="182"/>
      <c r="Y7" s="183" t="s">
        <v>40</v>
      </c>
      <c r="Z7" s="183">
        <v>0.02</v>
      </c>
      <c r="AA7" s="183">
        <v>1.3</v>
      </c>
      <c r="AB7" s="183">
        <v>1700</v>
      </c>
      <c r="AC7" s="183">
        <v>840</v>
      </c>
      <c r="AD7" s="233">
        <f>Z7/AA7</f>
        <v>1.5384615384615384E-2</v>
      </c>
      <c r="AE7" s="184">
        <f>Z7*AB7*AC7</f>
        <v>28560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SUM(O14)/SUM($O$6:$O$14,$O$26,2*$O$27,O30)</f>
        <v>0.19621418761463263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0.19621418761463263</v>
      </c>
      <c r="BA7" s="168" t="s">
        <v>320</v>
      </c>
      <c r="BC7" s="81"/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291</v>
      </c>
      <c r="CS7" s="254">
        <v>7.5300000000000006E-2</v>
      </c>
      <c r="CT7" s="253">
        <v>3866.48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0.49099999999999999</v>
      </c>
      <c r="DB7" s="255" t="s">
        <v>320</v>
      </c>
      <c r="DD7" s="170" t="s">
        <v>460</v>
      </c>
      <c r="DE7" s="290" t="s">
        <v>463</v>
      </c>
      <c r="DF7" s="289" t="s">
        <v>321</v>
      </c>
      <c r="DG7" s="170">
        <f>$O$12*$Z$37*$AP$4</f>
        <v>0.5601533585174685</v>
      </c>
      <c r="DH7" s="170" t="s">
        <v>320</v>
      </c>
      <c r="DJ7" s="297" t="s">
        <v>429</v>
      </c>
      <c r="DK7" s="297" t="s">
        <v>386</v>
      </c>
      <c r="DL7" s="301">
        <v>296</v>
      </c>
      <c r="DM7" s="301">
        <v>0.55800000000000005</v>
      </c>
      <c r="DN7" s="297">
        <v>531.04999999999995</v>
      </c>
      <c r="DO7" s="297" t="s">
        <v>387</v>
      </c>
      <c r="DP7" s="301">
        <v>2E-16</v>
      </c>
      <c r="DQ7" s="297" t="s">
        <v>388</v>
      </c>
      <c r="DR7" s="298" t="s">
        <v>460</v>
      </c>
      <c r="DS7" s="302" t="s">
        <v>463</v>
      </c>
      <c r="DT7" s="299" t="s">
        <v>321</v>
      </c>
      <c r="DU7" s="300">
        <f t="shared" si="13"/>
        <v>0.51700000000000002</v>
      </c>
      <c r="DV7" s="298" t="s">
        <v>320</v>
      </c>
    </row>
    <row r="8" spans="1:126" ht="15" customHeight="1" thickTop="1" thickBot="1" x14ac:dyDescent="0.3">
      <c r="A8" s="188" t="s">
        <v>47</v>
      </c>
      <c r="B8" s="191">
        <f>B6-B7</f>
        <v>104.6</v>
      </c>
      <c r="C8" s="183" t="s">
        <v>9</v>
      </c>
      <c r="D8" s="188" t="s">
        <v>48</v>
      </c>
      <c r="E8" s="183" t="s">
        <v>36</v>
      </c>
      <c r="F8" s="189">
        <f t="shared" si="6"/>
        <v>0.13725490196078433</v>
      </c>
      <c r="G8" s="183"/>
      <c r="H8" s="190">
        <f>'Tabula data'!B24*C45</f>
        <v>4.2</v>
      </c>
      <c r="I8" s="202"/>
      <c r="K8" t="s">
        <v>44</v>
      </c>
      <c r="L8" s="215">
        <v>0</v>
      </c>
      <c r="M8" s="216">
        <v>1</v>
      </c>
      <c r="N8" s="216" t="s">
        <v>25</v>
      </c>
      <c r="O8" s="217">
        <f>O6</f>
        <v>16.822408211117601</v>
      </c>
      <c r="P8" s="218" t="s">
        <v>45</v>
      </c>
      <c r="Q8" s="30">
        <f t="shared" si="7"/>
        <v>1.6946440466045722</v>
      </c>
      <c r="R8" s="30">
        <f t="shared" si="8"/>
        <v>28.507993924522314</v>
      </c>
      <c r="S8" s="30">
        <f t="shared" si="9"/>
        <v>5136554.1231826479</v>
      </c>
      <c r="T8" s="30">
        <f t="shared" si="10"/>
        <v>305340</v>
      </c>
      <c r="U8" s="30">
        <f t="shared" si="11"/>
        <v>3045192.3343765088</v>
      </c>
      <c r="V8" s="31"/>
      <c r="W8" s="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C8" s="81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t="s">
        <v>325</v>
      </c>
      <c r="CK8" s="251">
        <f t="shared" si="0"/>
        <v>1635553.9200000004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289</v>
      </c>
      <c r="CS8" s="254">
        <v>4.7699999999999999E-2</v>
      </c>
      <c r="CT8" s="253">
        <v>6070.16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0.38600000000000001</v>
      </c>
      <c r="DB8" s="255" t="s">
        <v>320</v>
      </c>
      <c r="DD8" s="170" t="s">
        <v>460</v>
      </c>
      <c r="DE8" s="291" t="s">
        <v>464</v>
      </c>
      <c r="DF8" s="289" t="s">
        <v>321</v>
      </c>
      <c r="DG8" s="170">
        <f>$O$13*$Z$37*$AP$4</f>
        <v>0.50013692724773973</v>
      </c>
      <c r="DH8" s="170" t="s">
        <v>320</v>
      </c>
      <c r="DJ8" s="297" t="s">
        <v>429</v>
      </c>
      <c r="DK8" s="297" t="s">
        <v>389</v>
      </c>
      <c r="DL8" s="301">
        <v>290</v>
      </c>
      <c r="DM8" s="301">
        <v>0.152</v>
      </c>
      <c r="DN8" s="297">
        <v>1905.93</v>
      </c>
      <c r="DO8" s="297" t="s">
        <v>387</v>
      </c>
      <c r="DP8" s="301">
        <v>2E-16</v>
      </c>
      <c r="DQ8" s="297" t="s">
        <v>388</v>
      </c>
      <c r="DR8" s="298" t="s">
        <v>460</v>
      </c>
      <c r="DS8" s="303" t="s">
        <v>464</v>
      </c>
      <c r="DT8" s="299" t="s">
        <v>321</v>
      </c>
      <c r="DU8" s="300">
        <f t="shared" si="13"/>
        <v>0.312</v>
      </c>
      <c r="DV8" s="298" t="s">
        <v>320</v>
      </c>
    </row>
    <row r="9" spans="1:126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0.12254901960784315</v>
      </c>
      <c r="G9" s="183"/>
      <c r="H9" s="190">
        <f>'Tabula data'!B25*'Gebouwgegevens Tabula 2zone'!C45</f>
        <v>3.75</v>
      </c>
      <c r="I9" s="202"/>
      <c r="K9" t="s">
        <v>49</v>
      </c>
      <c r="L9" s="215">
        <v>0</v>
      </c>
      <c r="M9" s="216">
        <v>1</v>
      </c>
      <c r="N9" s="216" t="s">
        <v>25</v>
      </c>
      <c r="O9" s="217">
        <v>0</v>
      </c>
      <c r="P9" s="218" t="s">
        <v>50</v>
      </c>
      <c r="Q9" s="30">
        <f t="shared" si="7"/>
        <v>1.6946440466045722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3"/>
      <c r="X9" s="182"/>
      <c r="Y9" s="193" t="s">
        <v>51</v>
      </c>
      <c r="Z9" s="183">
        <v>0.01</v>
      </c>
      <c r="AA9" s="183">
        <v>0.04</v>
      </c>
      <c r="AB9" s="183">
        <v>80</v>
      </c>
      <c r="AC9" s="183">
        <v>840</v>
      </c>
      <c r="AD9" s="233">
        <f>Z9/AA9</f>
        <v>0.25</v>
      </c>
      <c r="AE9" s="184">
        <f>Z9*AB9*AC9</f>
        <v>672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1635553.9200000004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1635553.9200000004</v>
      </c>
      <c r="BA9" s="168" t="s">
        <v>320</v>
      </c>
      <c r="BC9" s="81"/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t="s">
        <v>326</v>
      </c>
      <c r="CK9" s="251">
        <f t="shared" si="0"/>
        <v>12558781.973112725</v>
      </c>
      <c r="CL9" s="251">
        <f t="shared" ref="CL9:CL49" si="14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296</v>
      </c>
      <c r="CS9" s="254">
        <v>5.6000000000000001E-2</v>
      </c>
      <c r="CT9" s="253">
        <v>5288.4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0.76400000000000001</v>
      </c>
      <c r="DB9" s="255" t="s">
        <v>320</v>
      </c>
      <c r="DD9" s="170" t="s">
        <v>460</v>
      </c>
      <c r="DE9" s="291" t="s">
        <v>465</v>
      </c>
      <c r="DF9" s="289" t="s">
        <v>321</v>
      </c>
      <c r="DG9" s="170">
        <f>$O$11*$Z$37*$AP$5</f>
        <v>1.2243260655514516</v>
      </c>
      <c r="DH9" s="170" t="s">
        <v>320</v>
      </c>
      <c r="DJ9" s="297" t="s">
        <v>429</v>
      </c>
      <c r="DK9" s="297" t="s">
        <v>390</v>
      </c>
      <c r="DL9" s="301">
        <v>295</v>
      </c>
      <c r="DM9" s="301">
        <v>0.13</v>
      </c>
      <c r="DN9" s="297">
        <v>2265.0100000000002</v>
      </c>
      <c r="DO9" s="297" t="s">
        <v>387</v>
      </c>
      <c r="DP9" s="301">
        <v>2E-16</v>
      </c>
      <c r="DQ9" s="297" t="s">
        <v>388</v>
      </c>
      <c r="DR9" s="298" t="s">
        <v>460</v>
      </c>
      <c r="DS9" s="303" t="s">
        <v>465</v>
      </c>
      <c r="DT9" s="299" t="s">
        <v>321</v>
      </c>
      <c r="DU9" s="300">
        <f t="shared" si="13"/>
        <v>0.745</v>
      </c>
      <c r="DV9" s="298" t="s">
        <v>320</v>
      </c>
    </row>
    <row r="10" spans="1:126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0.12091503267973858</v>
      </c>
      <c r="G10" s="183"/>
      <c r="H10" s="194">
        <f>'Tabula data'!B22*(1-C45)</f>
        <v>3.7</v>
      </c>
      <c r="I10" s="200"/>
      <c r="K10" t="s">
        <v>53</v>
      </c>
      <c r="L10" s="215">
        <v>0</v>
      </c>
      <c r="M10" s="216">
        <v>1</v>
      </c>
      <c r="N10" s="216" t="s">
        <v>54</v>
      </c>
      <c r="O10" s="217">
        <f>H6</f>
        <v>3.7</v>
      </c>
      <c r="P10" s="218" t="s">
        <v>26</v>
      </c>
      <c r="Q10" s="30">
        <f t="shared" si="7"/>
        <v>5</v>
      </c>
      <c r="R10" s="30">
        <f t="shared" si="8"/>
        <v>18.5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12558781.973112725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5">AP10</f>
        <v>12558781.973112725</v>
      </c>
      <c r="BA10" s="168" t="s">
        <v>320</v>
      </c>
      <c r="BC10" s="81"/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6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7">BU19</f>
        <v>44000000</v>
      </c>
      <c r="CF10" s="174" t="s">
        <v>320</v>
      </c>
      <c r="CJ10" t="s">
        <v>327</v>
      </c>
      <c r="CK10" s="251">
        <f t="shared" si="0"/>
        <v>19833415.370872624</v>
      </c>
      <c r="CL10" s="251">
        <f t="shared" si="14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290</v>
      </c>
      <c r="CS10" s="254">
        <v>6.9699999999999998E-2</v>
      </c>
      <c r="CT10" s="253">
        <v>4163.74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0.84899999999999998</v>
      </c>
      <c r="DB10" s="255" t="s">
        <v>320</v>
      </c>
      <c r="DD10" s="170" t="s">
        <v>460</v>
      </c>
      <c r="DE10" s="291" t="s">
        <v>466</v>
      </c>
      <c r="DF10" s="289" t="s">
        <v>321</v>
      </c>
      <c r="DG10" s="170">
        <f>$O$10*$Z$37*$AP$5</f>
        <v>1.2410976554905127</v>
      </c>
      <c r="DH10" s="170" t="s">
        <v>320</v>
      </c>
      <c r="DJ10" s="297" t="s">
        <v>429</v>
      </c>
      <c r="DK10" s="297" t="s">
        <v>391</v>
      </c>
      <c r="DL10" s="301">
        <v>290</v>
      </c>
      <c r="DM10" s="301">
        <v>0.19800000000000001</v>
      </c>
      <c r="DN10" s="297">
        <v>1463.41</v>
      </c>
      <c r="DO10" s="297" t="s">
        <v>387</v>
      </c>
      <c r="DP10" s="301">
        <v>2E-16</v>
      </c>
      <c r="DQ10" s="297" t="s">
        <v>388</v>
      </c>
      <c r="DR10" s="298" t="s">
        <v>460</v>
      </c>
      <c r="DS10" s="303" t="s">
        <v>466</v>
      </c>
      <c r="DT10" s="299" t="s">
        <v>321</v>
      </c>
      <c r="DU10" s="300">
        <f t="shared" si="13"/>
        <v>0.72599999999999998</v>
      </c>
      <c r="DV10" s="298" t="s">
        <v>320</v>
      </c>
    </row>
    <row r="11" spans="1:126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0.11928104575163399</v>
      </c>
      <c r="G11" s="183"/>
      <c r="H11" s="194">
        <f>'Tabula data'!B23*(1-'Gebouwgegevens Tabula 2zone'!C45)</f>
        <v>3.65</v>
      </c>
      <c r="I11" s="200"/>
      <c r="K11" t="s">
        <v>57</v>
      </c>
      <c r="L11" s="215">
        <v>0</v>
      </c>
      <c r="M11" s="216">
        <v>1</v>
      </c>
      <c r="N11" s="216" t="s">
        <v>54</v>
      </c>
      <c r="O11" s="217">
        <f>H7</f>
        <v>3.65</v>
      </c>
      <c r="P11" s="218" t="s">
        <v>39</v>
      </c>
      <c r="Q11" s="30">
        <f t="shared" si="7"/>
        <v>5</v>
      </c>
      <c r="R11" s="30">
        <f t="shared" si="8"/>
        <v>18.25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</f>
        <v>19833415.370872624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5"/>
        <v>19833415.370872624</v>
      </c>
      <c r="BA11" s="168" t="s">
        <v>320</v>
      </c>
      <c r="BC11" s="81"/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6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7"/>
        <v>26300000</v>
      </c>
      <c r="CF11" s="174" t="s">
        <v>320</v>
      </c>
      <c r="CJ11" t="s">
        <v>328</v>
      </c>
      <c r="CK11" s="251">
        <f t="shared" si="0"/>
        <v>9853248.0000000019</v>
      </c>
      <c r="CL11" s="251">
        <f t="shared" si="14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289</v>
      </c>
      <c r="CS11" s="254">
        <v>7.6300000000000007E-2</v>
      </c>
      <c r="CT11" s="253">
        <v>3794.37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0.86099999999999999</v>
      </c>
      <c r="DB11" s="255" t="s">
        <v>320</v>
      </c>
      <c r="DD11" s="170" t="s">
        <v>460</v>
      </c>
      <c r="DE11" s="291" t="s">
        <v>467</v>
      </c>
      <c r="DF11" s="289" t="s">
        <v>321</v>
      </c>
      <c r="DG11" s="170">
        <f>$O$12*$Z$37*$AP$5</f>
        <v>1.4088135548811223</v>
      </c>
      <c r="DH11" s="170" t="s">
        <v>320</v>
      </c>
      <c r="DJ11" s="297" t="s">
        <v>429</v>
      </c>
      <c r="DK11" s="297" t="s">
        <v>392</v>
      </c>
      <c r="DL11" s="301">
        <v>287</v>
      </c>
      <c r="DM11" s="301">
        <v>0.253</v>
      </c>
      <c r="DN11" s="297">
        <v>1134.3</v>
      </c>
      <c r="DO11" s="297" t="s">
        <v>387</v>
      </c>
      <c r="DP11" s="301">
        <v>2E-16</v>
      </c>
      <c r="DQ11" s="297" t="s">
        <v>388</v>
      </c>
      <c r="DR11" s="298" t="s">
        <v>460</v>
      </c>
      <c r="DS11" s="303" t="s">
        <v>467</v>
      </c>
      <c r="DT11" s="299" t="s">
        <v>321</v>
      </c>
      <c r="DU11" s="300">
        <f t="shared" si="13"/>
        <v>0.84799999999999998</v>
      </c>
      <c r="DV11" s="298" t="s">
        <v>320</v>
      </c>
    </row>
    <row r="12" spans="1:126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0.13725490196078433</v>
      </c>
      <c r="G12" s="183"/>
      <c r="H12" s="194">
        <f>'Tabula data'!B24*(1-'Gebouwgegevens Tabula 2zone'!C45)</f>
        <v>4.2</v>
      </c>
      <c r="I12" s="200"/>
      <c r="K12" t="s">
        <v>59</v>
      </c>
      <c r="L12" s="215">
        <v>0</v>
      </c>
      <c r="M12" s="216">
        <v>1</v>
      </c>
      <c r="N12" s="216" t="s">
        <v>54</v>
      </c>
      <c r="O12" s="217">
        <f>H8</f>
        <v>4.2</v>
      </c>
      <c r="P12" s="218" t="s">
        <v>45</v>
      </c>
      <c r="Q12" s="30">
        <f t="shared" si="7"/>
        <v>5</v>
      </c>
      <c r="R12" s="30">
        <f t="shared" si="8"/>
        <v>21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9853248.0000000019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5"/>
        <v>9853248.0000000019</v>
      </c>
      <c r="BA12" s="168" t="s">
        <v>320</v>
      </c>
      <c r="BC12" s="81"/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BZ12" s="81"/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0.28499999999999998</v>
      </c>
      <c r="CS12" s="254">
        <v>2.0400000000000001E-2</v>
      </c>
      <c r="CT12" s="253">
        <v>14</v>
      </c>
      <c r="CU12" s="253" t="s">
        <v>387</v>
      </c>
      <c r="CV12" s="254">
        <v>2E-16</v>
      </c>
      <c r="CW12" s="81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0.879</v>
      </c>
      <c r="DB12" s="255" t="s">
        <v>320</v>
      </c>
      <c r="DD12" s="170" t="s">
        <v>460</v>
      </c>
      <c r="DE12" s="290" t="s">
        <v>468</v>
      </c>
      <c r="DF12" s="289" t="s">
        <v>321</v>
      </c>
      <c r="DG12" s="170">
        <f>$O$13*$Z$37*$AP$5</f>
        <v>1.2578692454295737</v>
      </c>
      <c r="DH12" s="170" t="s">
        <v>320</v>
      </c>
      <c r="DJ12" s="297" t="s">
        <v>429</v>
      </c>
      <c r="DK12" s="297" t="s">
        <v>442</v>
      </c>
      <c r="DL12" s="301">
        <v>0.36399999999999999</v>
      </c>
      <c r="DM12" s="301">
        <v>4.3400000000000001E-2</v>
      </c>
      <c r="DN12" s="297">
        <v>8.4</v>
      </c>
      <c r="DO12" s="297" t="s">
        <v>387</v>
      </c>
      <c r="DP12" s="301">
        <v>2E-16</v>
      </c>
      <c r="DQ12" s="297" t="s">
        <v>388</v>
      </c>
      <c r="DR12" s="298" t="s">
        <v>460</v>
      </c>
      <c r="DS12" s="302" t="s">
        <v>468</v>
      </c>
      <c r="DT12" s="299" t="s">
        <v>321</v>
      </c>
      <c r="DU12" s="300">
        <f t="shared" si="13"/>
        <v>0.64</v>
      </c>
      <c r="DV12" s="298" t="s">
        <v>320</v>
      </c>
    </row>
    <row r="13" spans="1:126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0.12254901960784315</v>
      </c>
      <c r="G13" s="183"/>
      <c r="H13" s="194">
        <f>'Tabula data'!B25*(1-'Gebouwgegevens Tabula 2zone'!C45)</f>
        <v>3.75</v>
      </c>
      <c r="I13" s="200"/>
      <c r="K13" t="s">
        <v>60</v>
      </c>
      <c r="L13" s="215">
        <v>0</v>
      </c>
      <c r="M13" s="216">
        <v>1</v>
      </c>
      <c r="N13" s="216" t="s">
        <v>54</v>
      </c>
      <c r="O13" s="217">
        <f>H9</f>
        <v>3.75</v>
      </c>
      <c r="P13" s="218" t="s">
        <v>50</v>
      </c>
      <c r="Q13" s="30">
        <f t="shared" si="7"/>
        <v>5</v>
      </c>
      <c r="R13" s="30">
        <f t="shared" si="8"/>
        <v>18.75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3"/>
      <c r="X13" s="225" t="s">
        <v>64</v>
      </c>
      <c r="Y13" s="226"/>
      <c r="Z13" s="227" t="s">
        <v>21</v>
      </c>
      <c r="AA13" s="228">
        <f>1/(1/8+SUM(AD15:AD19)+1/23)</f>
        <v>1.6946440466045722</v>
      </c>
      <c r="AB13" s="226" t="s">
        <v>5</v>
      </c>
      <c r="AC13" s="226"/>
      <c r="AD13" s="226" t="s">
        <v>22</v>
      </c>
      <c r="AE13" s="229">
        <f>SUM(AE15:AE20)</f>
        <v>305340</v>
      </c>
      <c r="AF13" s="14" t="s">
        <v>23</v>
      </c>
      <c r="AG13" s="14">
        <f>SUM(AE18:AE19)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C13" s="81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t="s">
        <v>329</v>
      </c>
      <c r="CK13" s="249">
        <f t="shared" si="0"/>
        <v>4.5989602505539282E-2</v>
      </c>
      <c r="CL13" s="249">
        <f t="shared" si="14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0.82399999999999995</v>
      </c>
      <c r="CS13" s="254">
        <v>4.6800000000000001E-2</v>
      </c>
      <c r="CT13" s="253">
        <v>17.600000000000001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2"/>
        <v>0.51700000000000002</v>
      </c>
      <c r="DB13" s="255" t="s">
        <v>320</v>
      </c>
      <c r="DD13" s="170" t="s">
        <v>460</v>
      </c>
      <c r="DE13" s="292" t="s">
        <v>469</v>
      </c>
      <c r="DF13" s="289" t="s">
        <v>321</v>
      </c>
      <c r="DG13" s="170">
        <f>$O$11*$Z$37*$AP$6</f>
        <v>0.1073546817273093</v>
      </c>
      <c r="DH13" s="170" t="s">
        <v>320</v>
      </c>
      <c r="DJ13" s="297" t="s">
        <v>429</v>
      </c>
      <c r="DK13" s="297" t="s">
        <v>339</v>
      </c>
      <c r="DL13" s="301">
        <v>0.84499999999999997</v>
      </c>
      <c r="DM13" s="301">
        <v>9.5299999999999996E-2</v>
      </c>
      <c r="DN13" s="297">
        <v>8.8699999999999992</v>
      </c>
      <c r="DO13" s="297" t="s">
        <v>387</v>
      </c>
      <c r="DP13" s="301">
        <v>2E-16</v>
      </c>
      <c r="DQ13" s="297" t="s">
        <v>388</v>
      </c>
      <c r="DR13" s="298" t="s">
        <v>460</v>
      </c>
      <c r="DS13" s="304" t="s">
        <v>469</v>
      </c>
      <c r="DT13" s="299" t="s">
        <v>321</v>
      </c>
      <c r="DU13" s="300">
        <f t="shared" si="13"/>
        <v>0.65800000000000003</v>
      </c>
      <c r="DV13" s="298" t="s">
        <v>320</v>
      </c>
    </row>
    <row r="14" spans="1:126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t="s">
        <v>61</v>
      </c>
      <c r="L14" s="215" t="s">
        <v>62</v>
      </c>
      <c r="M14" s="216">
        <v>1</v>
      </c>
      <c r="N14" s="216" t="s">
        <v>63</v>
      </c>
      <c r="O14" s="217">
        <f>B7</f>
        <v>88.800000000000011</v>
      </c>
      <c r="P14" s="218"/>
      <c r="Q14" s="30">
        <f t="shared" si="7"/>
        <v>2.8187919463087252</v>
      </c>
      <c r="R14" s="30">
        <f t="shared" si="8"/>
        <v>250.30872483221484</v>
      </c>
      <c r="S14" s="30">
        <f t="shared" si="9"/>
        <v>33349728.000000004</v>
      </c>
      <c r="T14" s="30">
        <f t="shared" si="10"/>
        <v>375560</v>
      </c>
      <c r="U14" s="30">
        <f t="shared" si="11"/>
        <v>9853248.0000000019</v>
      </c>
      <c r="V14" s="31"/>
      <c r="W14" s="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AP4*0.2</f>
        <v>3.0659735003692859E-2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4.5989602505539282E-2</v>
      </c>
      <c r="BA14" s="168" t="s">
        <v>320</v>
      </c>
      <c r="BC14" s="81"/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t="s">
        <v>330</v>
      </c>
      <c r="CK14" s="249">
        <f t="shared" si="0"/>
        <v>0.11566613751076538</v>
      </c>
      <c r="CL14" s="249">
        <f t="shared" si="14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0.49099999999999999</v>
      </c>
      <c r="CS14" s="254">
        <v>1.09E-2</v>
      </c>
      <c r="CT14" s="253">
        <v>45.04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1.29</v>
      </c>
      <c r="DB14" s="255" t="s">
        <v>320</v>
      </c>
      <c r="DD14" s="170" t="s">
        <v>460</v>
      </c>
      <c r="DE14" s="292" t="s">
        <v>470</v>
      </c>
      <c r="DF14" s="289" t="s">
        <v>321</v>
      </c>
      <c r="DG14" s="170">
        <f>$O$10*$Z$37*$AP$6</f>
        <v>0.10882529380576561</v>
      </c>
      <c r="DH14" s="170" t="s">
        <v>320</v>
      </c>
      <c r="DJ14" s="297" t="s">
        <v>429</v>
      </c>
      <c r="DK14" s="297" t="s">
        <v>443</v>
      </c>
      <c r="DL14" s="301">
        <v>0.51700000000000002</v>
      </c>
      <c r="DM14" s="301">
        <v>2.23E-2</v>
      </c>
      <c r="DN14" s="297">
        <v>23.19</v>
      </c>
      <c r="DO14" s="297" t="s">
        <v>387</v>
      </c>
      <c r="DP14" s="301">
        <v>2E-16</v>
      </c>
      <c r="DQ14" s="297" t="s">
        <v>388</v>
      </c>
      <c r="DR14" s="298" t="s">
        <v>460</v>
      </c>
      <c r="DS14" s="304" t="s">
        <v>470</v>
      </c>
      <c r="DT14" s="299" t="s">
        <v>321</v>
      </c>
      <c r="DU14" s="300">
        <f t="shared" si="13"/>
        <v>0.70799999999999996</v>
      </c>
      <c r="DV14" s="298" t="s">
        <v>320</v>
      </c>
    </row>
    <row r="15" spans="1:126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1.6605883333024791</v>
      </c>
      <c r="R15" s="30">
        <f t="shared" si="8"/>
        <v>0</v>
      </c>
      <c r="S15" s="30">
        <f>VLOOKUP(N15,$X$5:$AE$391,8,0)*O25</f>
        <v>4625056.8</v>
      </c>
      <c r="T15" s="30">
        <f>S15/O25</f>
        <v>45611.999999999993</v>
      </c>
      <c r="U15" s="30">
        <f>VLOOKUP(N15,$X$5:$AG$391,10,0)*O25</f>
        <v>1660932</v>
      </c>
      <c r="V15" s="31"/>
      <c r="W15" s="3"/>
      <c r="X15" s="182"/>
      <c r="Y15" s="183" t="s">
        <v>76</v>
      </c>
      <c r="Z15" s="183">
        <v>0.08</v>
      </c>
      <c r="AA15" s="183">
        <v>1.1000000000000001</v>
      </c>
      <c r="AB15" s="183">
        <v>1850</v>
      </c>
      <c r="AC15" s="193">
        <v>840</v>
      </c>
      <c r="AD15" s="233">
        <f>Z15/AA15</f>
        <v>7.2727272727272724E-2</v>
      </c>
      <c r="AE15" s="184">
        <f>AB15*AC15*Z15</f>
        <v>124320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AP5*0.2</f>
        <v>7.711075834051026E-2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0.11566613751076538</v>
      </c>
      <c r="BA15" s="168" t="s">
        <v>320</v>
      </c>
      <c r="BC15" s="81"/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8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BY15" s="81"/>
      <c r="BZ15" s="81"/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19">BU27</f>
        <v>0.14699999999999999</v>
      </c>
      <c r="CF15" s="174" t="s">
        <v>320</v>
      </c>
      <c r="CJ15" t="s">
        <v>331</v>
      </c>
      <c r="CK15" s="249">
        <f t="shared" si="0"/>
        <v>0.71014215226521571</v>
      </c>
      <c r="CL15" s="249">
        <f t="shared" si="14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0.38600000000000001</v>
      </c>
      <c r="CS15" s="254">
        <v>1.0800000000000001E-2</v>
      </c>
      <c r="CT15" s="253">
        <v>35.78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0.27100000000000002</v>
      </c>
      <c r="DB15" s="255" t="s">
        <v>320</v>
      </c>
      <c r="DD15" s="170" t="s">
        <v>460</v>
      </c>
      <c r="DE15" s="292" t="s">
        <v>471</v>
      </c>
      <c r="DF15" s="289" t="s">
        <v>321</v>
      </c>
      <c r="DG15" s="170">
        <f>$O$12*$Z$37*$AP$6</f>
        <v>0.12353141459032851</v>
      </c>
      <c r="DH15" s="170" t="s">
        <v>320</v>
      </c>
      <c r="DJ15" s="297" t="s">
        <v>429</v>
      </c>
      <c r="DK15" s="297" t="s">
        <v>444</v>
      </c>
      <c r="DL15" s="301">
        <v>0.312</v>
      </c>
      <c r="DM15" s="301">
        <v>2.0899999999999998E-2</v>
      </c>
      <c r="DN15" s="297">
        <v>14.9</v>
      </c>
      <c r="DO15" s="297" t="s">
        <v>387</v>
      </c>
      <c r="DP15" s="301">
        <v>2E-16</v>
      </c>
      <c r="DQ15" s="297" t="s">
        <v>388</v>
      </c>
      <c r="DR15" s="298" t="s">
        <v>460</v>
      </c>
      <c r="DS15" s="304" t="s">
        <v>471</v>
      </c>
      <c r="DT15" s="299" t="s">
        <v>321</v>
      </c>
      <c r="DU15" s="300">
        <f t="shared" si="13"/>
        <v>1.6500000000000001E-2</v>
      </c>
      <c r="DV15" s="298" t="s">
        <v>320</v>
      </c>
    </row>
    <row r="16" spans="1:126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1.3940744625065551</v>
      </c>
      <c r="G16" s="193" t="s">
        <v>70</v>
      </c>
      <c r="H16" s="184"/>
      <c r="I16" s="183"/>
      <c r="K16" t="s">
        <v>67</v>
      </c>
      <c r="L16" s="215">
        <v>0</v>
      </c>
      <c r="M16" s="216">
        <v>1</v>
      </c>
      <c r="N16" s="216" t="s">
        <v>68</v>
      </c>
      <c r="O16" s="217">
        <f>'Tabula data'!B21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28" si="20">VLOOKUP(N16,$X$5:$AE$391,8,0)*O16</f>
        <v>346940</v>
      </c>
      <c r="T16" s="30">
        <f t="shared" ref="T16:T28" si="21">S16/O16</f>
        <v>36520</v>
      </c>
      <c r="U16" s="30">
        <f t="shared" ref="U16:U28" si="22">VLOOKUP(N16,$X$5:$AG$391,10,0)*O16</f>
        <v>1631910</v>
      </c>
      <c r="V16" s="31"/>
      <c r="W16" s="3"/>
      <c r="X16" s="182"/>
      <c r="Y16" s="183" t="s">
        <v>271</v>
      </c>
      <c r="Z16" s="183">
        <v>0</v>
      </c>
      <c r="AA16" s="183">
        <v>0</v>
      </c>
      <c r="AB16" s="183">
        <v>0</v>
      </c>
      <c r="AC16" s="183">
        <v>0</v>
      </c>
      <c r="AD16" s="233">
        <v>0.16</v>
      </c>
      <c r="AE16" s="184">
        <f>Z16*AB16*AC16</f>
        <v>0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AP6*0.2+0.8</f>
        <v>0.80676143484347729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0.71014215226521571</v>
      </c>
      <c r="BA16" s="168" t="s">
        <v>320</v>
      </c>
      <c r="BC16" s="81"/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8"/>
        <v>0.53700000000000003</v>
      </c>
      <c r="BR16" s="168" t="s">
        <v>320</v>
      </c>
      <c r="BT16" s="81"/>
      <c r="BU16" s="81"/>
      <c r="BV16" s="81"/>
      <c r="BW16" s="81"/>
      <c r="BX16" s="81"/>
      <c r="BY16" s="81"/>
      <c r="BZ16" s="81"/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19"/>
        <v>0.73599999999999999</v>
      </c>
      <c r="CF16" s="174" t="s">
        <v>320</v>
      </c>
      <c r="CJ16" t="s">
        <v>332</v>
      </c>
      <c r="CK16" s="249">
        <f t="shared" si="0"/>
        <v>5.8864256284389786E-2</v>
      </c>
      <c r="CL16" s="249">
        <f t="shared" si="14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0.76400000000000001</v>
      </c>
      <c r="CS16" s="254">
        <v>4.3700000000000003E-2</v>
      </c>
      <c r="CT16" s="253">
        <v>17.489999999999998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8.6099999999999996E-2</v>
      </c>
      <c r="DB16" s="255" t="s">
        <v>320</v>
      </c>
      <c r="DD16" s="170" t="s">
        <v>460</v>
      </c>
      <c r="DE16" s="292" t="s">
        <v>472</v>
      </c>
      <c r="DF16" s="289" t="s">
        <v>321</v>
      </c>
      <c r="DG16" s="170">
        <f>$O$13*$Z$37*$AP$6</f>
        <v>0.1102959058842219</v>
      </c>
      <c r="DH16" s="170" t="s">
        <v>320</v>
      </c>
      <c r="DJ16" s="297" t="s">
        <v>429</v>
      </c>
      <c r="DK16" s="297" t="s">
        <v>445</v>
      </c>
      <c r="DL16" s="301">
        <v>0.745</v>
      </c>
      <c r="DM16" s="301">
        <v>6.1899999999999997E-2</v>
      </c>
      <c r="DN16" s="297">
        <v>12.04</v>
      </c>
      <c r="DO16" s="297" t="s">
        <v>387</v>
      </c>
      <c r="DP16" s="301">
        <v>2E-16</v>
      </c>
      <c r="DQ16" s="297" t="s">
        <v>388</v>
      </c>
      <c r="DR16" s="298" t="s">
        <v>460</v>
      </c>
      <c r="DS16" s="304" t="s">
        <v>472</v>
      </c>
      <c r="DT16" s="299" t="s">
        <v>321</v>
      </c>
      <c r="DU16" s="300">
        <f t="shared" si="13"/>
        <v>0.32500000000000001</v>
      </c>
      <c r="DV16" s="298" t="s">
        <v>320</v>
      </c>
    </row>
    <row r="17" spans="1:126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1.9720785935884175</v>
      </c>
      <c r="G17" s="193"/>
      <c r="H17" s="184"/>
      <c r="I17" s="183"/>
      <c r="K17" t="s">
        <v>71</v>
      </c>
      <c r="L17" s="215">
        <v>0</v>
      </c>
      <c r="M17" s="216">
        <v>2</v>
      </c>
      <c r="N17" s="216" t="s">
        <v>25</v>
      </c>
      <c r="O17" s="217">
        <f>'Tabula data'!B19*(1-C43)</f>
        <v>19.815584446879509</v>
      </c>
      <c r="P17" s="218" t="s">
        <v>26</v>
      </c>
      <c r="Q17" s="30">
        <f t="shared" si="7"/>
        <v>1.6946440466045722</v>
      </c>
      <c r="R17" s="30">
        <f t="shared" si="8"/>
        <v>33.580362212894514</v>
      </c>
      <c r="S17" s="30">
        <f t="shared" si="20"/>
        <v>6050490.5550101893</v>
      </c>
      <c r="T17" s="30">
        <f t="shared" si="21"/>
        <v>305340</v>
      </c>
      <c r="U17" s="30">
        <f t="shared" si="22"/>
        <v>3587017.0965741291</v>
      </c>
      <c r="V17" s="31"/>
      <c r="W17" s="3"/>
      <c r="X17" s="182"/>
      <c r="Y17" s="183" t="s">
        <v>272</v>
      </c>
      <c r="Z17" s="183">
        <v>0</v>
      </c>
      <c r="AA17" s="183">
        <v>3.5999999999999997E-2</v>
      </c>
      <c r="AB17" s="183">
        <v>26</v>
      </c>
      <c r="AC17" s="183">
        <v>1470</v>
      </c>
      <c r="AD17" s="233">
        <f>Z17/AA17</f>
        <v>0</v>
      </c>
      <c r="AE17" s="184">
        <f>Z17*AB17*AC17</f>
        <v>0</v>
      </c>
      <c r="AF17" s="149" t="s">
        <v>273</v>
      </c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AP7*0.2</f>
        <v>3.9242837522926531E-2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5.8864256284389786E-2</v>
      </c>
      <c r="BA17" s="168" t="s">
        <v>320</v>
      </c>
      <c r="BC17" s="81"/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8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19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0.84899999999999998</v>
      </c>
      <c r="CS17" s="254">
        <v>0.106</v>
      </c>
      <c r="CT17" s="253">
        <v>7.99</v>
      </c>
      <c r="CU17" s="254">
        <v>1.6E-15</v>
      </c>
      <c r="CV17" s="254" t="s">
        <v>388</v>
      </c>
      <c r="CW17" s="81"/>
      <c r="CX17" s="255" t="s">
        <v>460</v>
      </c>
      <c r="CY17" s="260" t="s">
        <v>473</v>
      </c>
      <c r="CZ17" s="256" t="s">
        <v>321</v>
      </c>
      <c r="DA17" s="257">
        <f t="shared" si="12"/>
        <v>0.57999999999999996</v>
      </c>
      <c r="DB17" s="255" t="s">
        <v>320</v>
      </c>
      <c r="DD17" s="170" t="s">
        <v>460</v>
      </c>
      <c r="DE17" s="292" t="s">
        <v>473</v>
      </c>
      <c r="DF17" s="289" t="s">
        <v>321</v>
      </c>
      <c r="DG17" s="170">
        <f>$O$11*$Z$37*$AP$7</f>
        <v>0.6230781527702659</v>
      </c>
      <c r="DH17" s="170" t="s">
        <v>320</v>
      </c>
      <c r="DJ17" s="297" t="s">
        <v>429</v>
      </c>
      <c r="DK17" s="297" t="s">
        <v>340</v>
      </c>
      <c r="DL17" s="301">
        <v>0.72599999999999998</v>
      </c>
      <c r="DM17" s="301">
        <v>0.13200000000000001</v>
      </c>
      <c r="DN17" s="297">
        <v>5.49</v>
      </c>
      <c r="DO17" s="301">
        <v>4.1999999999999999E-8</v>
      </c>
      <c r="DP17" s="301" t="s">
        <v>388</v>
      </c>
      <c r="DR17" s="298" t="s">
        <v>460</v>
      </c>
      <c r="DS17" s="304" t="s">
        <v>473</v>
      </c>
      <c r="DT17" s="299" t="s">
        <v>321</v>
      </c>
      <c r="DU17" s="300">
        <f t="shared" si="13"/>
        <v>0.68400000000000005</v>
      </c>
      <c r="DV17" s="298" t="s">
        <v>320</v>
      </c>
    </row>
    <row r="18" spans="1:126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1.9720785935884175</v>
      </c>
      <c r="G18" s="193"/>
      <c r="H18" s="184"/>
      <c r="I18" s="183"/>
      <c r="K18" t="s">
        <v>75</v>
      </c>
      <c r="L18" s="215">
        <v>0</v>
      </c>
      <c r="M18" s="216">
        <v>2</v>
      </c>
      <c r="N18" s="216" t="s">
        <v>25</v>
      </c>
      <c r="O18" s="217">
        <f>'Tabula data'!B20*(1-C43)</f>
        <v>42.090961406137552</v>
      </c>
      <c r="P18" s="218" t="s">
        <v>39</v>
      </c>
      <c r="Q18" s="30">
        <f t="shared" si="7"/>
        <v>1.6946440466045722</v>
      </c>
      <c r="R18" s="30">
        <f t="shared" si="8"/>
        <v>71.329197162773823</v>
      </c>
      <c r="S18" s="30">
        <f t="shared" si="20"/>
        <v>12852054.15575004</v>
      </c>
      <c r="T18" s="30">
        <f t="shared" si="21"/>
        <v>305340</v>
      </c>
      <c r="U18" s="30">
        <f t="shared" si="22"/>
        <v>7619305.8337390209</v>
      </c>
      <c r="V18" s="31"/>
      <c r="W18" s="3"/>
      <c r="X18" s="182"/>
      <c r="Y18" s="193" t="s">
        <v>376</v>
      </c>
      <c r="Z18" s="183">
        <v>0.14000000000000001</v>
      </c>
      <c r="AA18" s="183">
        <v>0.9</v>
      </c>
      <c r="AB18" s="183">
        <v>1400</v>
      </c>
      <c r="AC18" s="193">
        <v>840</v>
      </c>
      <c r="AD18" s="233">
        <f>Z18/AA18</f>
        <v>0.15555555555555556</v>
      </c>
      <c r="AE18" s="184">
        <f>Z18*AB18*AC18</f>
        <v>164640.00000000003</v>
      </c>
      <c r="AF18" s="14" t="s">
        <v>274</v>
      </c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C18" s="81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t="s">
        <v>333</v>
      </c>
      <c r="CK18" s="252">
        <f t="shared" si="0"/>
        <v>221.02684152245342</v>
      </c>
      <c r="CL18" s="252">
        <f t="shared" si="14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0.86099999999999999</v>
      </c>
      <c r="CS18" s="254">
        <v>2.4899999999999999E-2</v>
      </c>
      <c r="CT18" s="253">
        <v>34.56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1.0800000000000001E-8</v>
      </c>
      <c r="DB18" s="255" t="s">
        <v>320</v>
      </c>
      <c r="DD18" s="170" t="s">
        <v>460</v>
      </c>
      <c r="DE18" s="292" t="s">
        <v>474</v>
      </c>
      <c r="DF18" s="289" t="s">
        <v>321</v>
      </c>
      <c r="DG18" s="170">
        <f>$O$10*$Z$37*$AP$7</f>
        <v>0.63161346993150247</v>
      </c>
      <c r="DH18" s="170" t="s">
        <v>320</v>
      </c>
      <c r="DJ18" s="297" t="s">
        <v>429</v>
      </c>
      <c r="DK18" s="297" t="s">
        <v>446</v>
      </c>
      <c r="DL18" s="301">
        <v>0.84799999999999998</v>
      </c>
      <c r="DM18" s="301">
        <v>2.93E-2</v>
      </c>
      <c r="DN18" s="297">
        <v>28.98</v>
      </c>
      <c r="DO18" s="297" t="s">
        <v>387</v>
      </c>
      <c r="DP18" s="301">
        <v>2E-16</v>
      </c>
      <c r="DQ18" s="297" t="s">
        <v>388</v>
      </c>
      <c r="DR18" s="298" t="s">
        <v>460</v>
      </c>
      <c r="DS18" s="304" t="s">
        <v>474</v>
      </c>
      <c r="DT18" s="299" t="s">
        <v>321</v>
      </c>
      <c r="DU18" s="300">
        <f t="shared" si="13"/>
        <v>0.25</v>
      </c>
      <c r="DV18" s="298" t="s">
        <v>320</v>
      </c>
    </row>
    <row r="19" spans="1:126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t="s">
        <v>79</v>
      </c>
      <c r="L19" s="215">
        <v>0</v>
      </c>
      <c r="M19" s="216">
        <v>2</v>
      </c>
      <c r="N19" s="216" t="s">
        <v>25</v>
      </c>
      <c r="O19" s="217">
        <f>O17</f>
        <v>19.815584446879509</v>
      </c>
      <c r="P19" s="218" t="s">
        <v>45</v>
      </c>
      <c r="Q19" s="30">
        <f t="shared" si="7"/>
        <v>1.6946440466045722</v>
      </c>
      <c r="R19" s="30">
        <f t="shared" si="8"/>
        <v>33.580362212894514</v>
      </c>
      <c r="S19" s="30">
        <f t="shared" si="20"/>
        <v>6050490.5550101893</v>
      </c>
      <c r="T19" s="30">
        <f t="shared" si="21"/>
        <v>305340</v>
      </c>
      <c r="U19" s="30">
        <f t="shared" si="22"/>
        <v>3587017.0965741291</v>
      </c>
      <c r="V19" s="31"/>
      <c r="W19" s="3"/>
      <c r="X19" s="199"/>
      <c r="Y19" s="181" t="s">
        <v>275</v>
      </c>
      <c r="Z19" s="181">
        <v>0.02</v>
      </c>
      <c r="AA19" s="181">
        <v>0.6</v>
      </c>
      <c r="AB19" s="181">
        <v>975</v>
      </c>
      <c r="AC19" s="181">
        <v>840</v>
      </c>
      <c r="AD19" s="234">
        <f>Z19/AA19</f>
        <v>3.3333333333333333E-2</v>
      </c>
      <c r="AE19" s="204">
        <f>Z19*AB19*AC19</f>
        <v>16380</v>
      </c>
      <c r="AF19" s="14"/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SUM(O6:O9)*(1/(SUM(AD18:AD19)+1/8))</f>
        <v>221.02684152245342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221.02684152245342</v>
      </c>
      <c r="BA19" s="168" t="s">
        <v>320</v>
      </c>
      <c r="BC19" s="81"/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t="s">
        <v>334</v>
      </c>
      <c r="CK19" s="252">
        <f t="shared" si="0"/>
        <v>282.54545454545456</v>
      </c>
      <c r="CL19" s="252">
        <f t="shared" si="14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0.879</v>
      </c>
      <c r="CS19" s="254">
        <v>2.5499999999999998E-2</v>
      </c>
      <c r="CT19" s="253">
        <v>34.450000000000003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0.496</v>
      </c>
      <c r="DB19" s="255" t="s">
        <v>320</v>
      </c>
      <c r="DD19" s="170" t="s">
        <v>460</v>
      </c>
      <c r="DE19" s="290" t="s">
        <v>475</v>
      </c>
      <c r="DF19" s="289" t="s">
        <v>321</v>
      </c>
      <c r="DG19" s="170">
        <f>$O$12*$Z$37*$AP$7</f>
        <v>0.71696664154386758</v>
      </c>
      <c r="DH19" s="170" t="s">
        <v>320</v>
      </c>
      <c r="DJ19" s="297" t="s">
        <v>429</v>
      </c>
      <c r="DK19" s="297" t="s">
        <v>447</v>
      </c>
      <c r="DL19" s="301">
        <v>0.64</v>
      </c>
      <c r="DM19" s="301">
        <v>2.7699999999999999E-2</v>
      </c>
      <c r="DN19" s="297">
        <v>23.08</v>
      </c>
      <c r="DO19" s="297" t="s">
        <v>387</v>
      </c>
      <c r="DP19" s="301">
        <v>2E-16</v>
      </c>
      <c r="DQ19" s="297" t="s">
        <v>388</v>
      </c>
      <c r="DR19" s="298" t="s">
        <v>460</v>
      </c>
      <c r="DS19" s="302" t="s">
        <v>475</v>
      </c>
      <c r="DT19" s="299" t="s">
        <v>321</v>
      </c>
      <c r="DU19" s="300">
        <f t="shared" si="13"/>
        <v>0.61499999999999999</v>
      </c>
      <c r="DV19" s="298" t="s">
        <v>320</v>
      </c>
    </row>
    <row r="20" spans="1:126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0.15822130299896586</v>
      </c>
      <c r="G20" s="193"/>
      <c r="H20" s="184"/>
      <c r="I20" s="183"/>
      <c r="K20" t="s">
        <v>82</v>
      </c>
      <c r="L20" s="215">
        <v>0</v>
      </c>
      <c r="M20" s="216">
        <v>2</v>
      </c>
      <c r="N20" s="216" t="s">
        <v>25</v>
      </c>
      <c r="O20" s="217">
        <v>0</v>
      </c>
      <c r="P20" s="218" t="s">
        <v>50</v>
      </c>
      <c r="Q20" s="30">
        <f t="shared" si="7"/>
        <v>1.6946440466045722</v>
      </c>
      <c r="R20" s="30">
        <f t="shared" si="8"/>
        <v>0</v>
      </c>
      <c r="S20" s="30">
        <f t="shared" si="20"/>
        <v>0</v>
      </c>
      <c r="T20" s="30" t="e">
        <f t="shared" si="21"/>
        <v>#DIV/0!</v>
      </c>
      <c r="U20" s="30">
        <f t="shared" si="22"/>
        <v>0</v>
      </c>
      <c r="V20" s="31"/>
      <c r="W20" s="3"/>
      <c r="X20" s="223"/>
      <c r="Y20" s="223"/>
      <c r="Z20" s="223"/>
      <c r="AA20" s="223"/>
      <c r="AB20" s="223"/>
      <c r="AC20" s="223"/>
      <c r="AD20" s="223"/>
      <c r="AE20" s="223"/>
      <c r="AF20" s="14"/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SUM(O14)*1/(SUM(AD42:AD43)+1/6)</f>
        <v>282.54545454545456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3">AP20</f>
        <v>282.54545454545456</v>
      </c>
      <c r="BA20" s="168" t="s">
        <v>320</v>
      </c>
      <c r="BC20" s="81"/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4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5">BU32</f>
        <v>172</v>
      </c>
      <c r="CF20" s="174" t="s">
        <v>320</v>
      </c>
      <c r="CJ20" t="s">
        <v>335</v>
      </c>
      <c r="CK20" s="252">
        <f t="shared" si="0"/>
        <v>331.51720352787436</v>
      </c>
      <c r="CL20" s="252">
        <f t="shared" si="14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0.51700000000000002</v>
      </c>
      <c r="CS20" s="254">
        <v>0.13100000000000001</v>
      </c>
      <c r="CT20" s="253">
        <v>3.95</v>
      </c>
      <c r="CU20" s="254">
        <v>7.7000000000000001E-5</v>
      </c>
      <c r="CV20" s="253" t="s">
        <v>388</v>
      </c>
      <c r="CW20" s="81"/>
      <c r="CX20" s="255" t="s">
        <v>460</v>
      </c>
      <c r="CY20" s="259" t="s">
        <v>476</v>
      </c>
      <c r="CZ20" s="256" t="s">
        <v>321</v>
      </c>
      <c r="DA20" s="257">
        <f t="shared" si="12"/>
        <v>0.54600000000000004</v>
      </c>
      <c r="DB20" s="255" t="s">
        <v>320</v>
      </c>
      <c r="DD20" s="170" t="s">
        <v>460</v>
      </c>
      <c r="DE20" s="291" t="s">
        <v>476</v>
      </c>
      <c r="DF20" s="289" t="s">
        <v>321</v>
      </c>
      <c r="DG20" s="170">
        <f>$O$13*$Z$37*$AP$7</f>
        <v>0.64014878709273904</v>
      </c>
      <c r="DH20" s="170" t="s">
        <v>320</v>
      </c>
      <c r="DJ20" s="297" t="s">
        <v>429</v>
      </c>
      <c r="DK20" s="297" t="s">
        <v>448</v>
      </c>
      <c r="DL20" s="301">
        <v>0.65800000000000003</v>
      </c>
      <c r="DM20" s="301">
        <v>0.52300000000000002</v>
      </c>
      <c r="DN20" s="297">
        <v>1.26</v>
      </c>
      <c r="DO20" s="301">
        <v>0.2089</v>
      </c>
      <c r="DR20" s="298" t="s">
        <v>460</v>
      </c>
      <c r="DS20" s="303" t="s">
        <v>476</v>
      </c>
      <c r="DT20" s="299" t="s">
        <v>321</v>
      </c>
      <c r="DU20" s="300">
        <f t="shared" si="13"/>
        <v>0.53200000000000003</v>
      </c>
      <c r="DV20" s="298" t="s">
        <v>320</v>
      </c>
    </row>
    <row r="21" spans="1:126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0.15822130299896586</v>
      </c>
      <c r="G21" s="193"/>
      <c r="H21" s="184"/>
      <c r="I21" s="183"/>
      <c r="K21" t="s">
        <v>84</v>
      </c>
      <c r="L21" s="215">
        <v>0</v>
      </c>
      <c r="M21" s="216">
        <v>2</v>
      </c>
      <c r="N21" s="216" t="s">
        <v>54</v>
      </c>
      <c r="O21" s="217">
        <f>H10</f>
        <v>3.7</v>
      </c>
      <c r="P21" s="218" t="s">
        <v>26</v>
      </c>
      <c r="Q21" s="30">
        <f t="shared" si="7"/>
        <v>5</v>
      </c>
      <c r="R21" s="30">
        <f t="shared" si="8"/>
        <v>18.5</v>
      </c>
      <c r="S21" s="30">
        <f t="shared" si="20"/>
        <v>0</v>
      </c>
      <c r="T21" s="30">
        <f t="shared" si="21"/>
        <v>0</v>
      </c>
      <c r="U21" s="30">
        <f t="shared" si="22"/>
        <v>0</v>
      </c>
      <c r="V21" s="31"/>
      <c r="W21" s="3"/>
      <c r="X21" s="225" t="s">
        <v>85</v>
      </c>
      <c r="Y21" s="226"/>
      <c r="Z21" s="227" t="s">
        <v>21</v>
      </c>
      <c r="AA21" s="228">
        <f>(1/(1/8+SUM(AD23:AD25)+1/8))</f>
        <v>1.7363344051446945</v>
      </c>
      <c r="AB21" s="226" t="s">
        <v>5</v>
      </c>
      <c r="AC21" s="226"/>
      <c r="AD21" s="226" t="s">
        <v>22</v>
      </c>
      <c r="AE21" s="229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317</v>
      </c>
      <c r="AN21" s="81" t="s">
        <v>318</v>
      </c>
      <c r="AO21" s="81" t="s">
        <v>335</v>
      </c>
      <c r="AP21" s="81">
        <f>2*AA21*O27+R30</f>
        <v>331.51720352787436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3"/>
        <v>331.51720352787436</v>
      </c>
      <c r="BA21" s="168" t="s">
        <v>320</v>
      </c>
      <c r="BC21" s="81"/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4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5"/>
        <v>517</v>
      </c>
      <c r="CF21" s="174" t="s">
        <v>320</v>
      </c>
      <c r="CJ21" t="s">
        <v>336</v>
      </c>
      <c r="CK21" s="252">
        <f t="shared" si="0"/>
        <v>182.72074613503855</v>
      </c>
      <c r="CL21" s="252">
        <f t="shared" si="14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1.29</v>
      </c>
      <c r="CS21" s="254">
        <v>0.224</v>
      </c>
      <c r="CT21" s="253">
        <v>5.75</v>
      </c>
      <c r="CU21" s="254">
        <v>9.1000000000000004E-9</v>
      </c>
      <c r="CV21" s="253" t="s">
        <v>388</v>
      </c>
      <c r="CW21" s="81"/>
      <c r="CX21" s="255" t="s">
        <v>460</v>
      </c>
      <c r="CY21" s="259" t="s">
        <v>477</v>
      </c>
      <c r="CZ21" s="256" t="s">
        <v>321</v>
      </c>
      <c r="DA21" s="257">
        <f t="shared" si="12"/>
        <v>0.14299999999999999</v>
      </c>
      <c r="DB21" s="255" t="s">
        <v>320</v>
      </c>
      <c r="DD21" s="170" t="s">
        <v>460</v>
      </c>
      <c r="DE21" s="291" t="s">
        <v>477</v>
      </c>
      <c r="DF21" s="289" t="s">
        <v>321</v>
      </c>
      <c r="DG21" s="170">
        <f>$O$11*$Z$37*$AP$42</f>
        <v>0.73394115742984012</v>
      </c>
      <c r="DH21" s="170" t="s">
        <v>320</v>
      </c>
      <c r="DJ21" s="297" t="s">
        <v>429</v>
      </c>
      <c r="DK21" s="297" t="s">
        <v>341</v>
      </c>
      <c r="DL21" s="301">
        <v>0.70799999999999996</v>
      </c>
      <c r="DM21" s="301">
        <v>0.877</v>
      </c>
      <c r="DN21" s="297">
        <v>0.81</v>
      </c>
      <c r="DO21" s="301">
        <v>0.41959999999999997</v>
      </c>
      <c r="DR21" s="298" t="s">
        <v>460</v>
      </c>
      <c r="DS21" s="303" t="s">
        <v>477</v>
      </c>
      <c r="DT21" s="299" t="s">
        <v>321</v>
      </c>
      <c r="DU21" s="300">
        <f t="shared" si="13"/>
        <v>0.32</v>
      </c>
      <c r="DV21" s="298" t="s">
        <v>320</v>
      </c>
    </row>
    <row r="22" spans="1:126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8.0230728893550082E-2</v>
      </c>
      <c r="G22" s="183"/>
      <c r="H22" s="184"/>
      <c r="I22" s="183"/>
      <c r="K22" t="s">
        <v>87</v>
      </c>
      <c r="L22" s="215">
        <v>0</v>
      </c>
      <c r="M22" s="216">
        <v>2</v>
      </c>
      <c r="N22" s="216" t="s">
        <v>54</v>
      </c>
      <c r="O22" s="217">
        <f>H11</f>
        <v>3.65</v>
      </c>
      <c r="P22" s="218" t="s">
        <v>39</v>
      </c>
      <c r="Q22" s="30">
        <f t="shared" si="7"/>
        <v>5</v>
      </c>
      <c r="R22" s="30">
        <f t="shared" si="8"/>
        <v>18.25</v>
      </c>
      <c r="S22" s="30">
        <f t="shared" si="20"/>
        <v>0</v>
      </c>
      <c r="T22" s="30">
        <f t="shared" si="21"/>
        <v>0</v>
      </c>
      <c r="U22" s="30">
        <f t="shared" si="22"/>
        <v>0</v>
      </c>
      <c r="V22" s="31"/>
      <c r="W22" s="3"/>
      <c r="X22" s="230"/>
      <c r="Y22" s="231" t="s">
        <v>27</v>
      </c>
      <c r="Z22" s="231" t="s">
        <v>28</v>
      </c>
      <c r="AA22" s="231" t="s">
        <v>29</v>
      </c>
      <c r="AB22" s="231" t="s">
        <v>30</v>
      </c>
      <c r="AC22" s="231" t="s">
        <v>31</v>
      </c>
      <c r="AD22" s="231" t="s">
        <v>32</v>
      </c>
      <c r="AE22" s="232" t="s">
        <v>33</v>
      </c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2zone'!B60+SUM(R10:R13)+R16</f>
        <v>182.72074613503855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3"/>
        <v>182.72074613503855</v>
      </c>
      <c r="BA22" s="168" t="s">
        <v>320</v>
      </c>
      <c r="BC22" s="81"/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4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BY22" s="81"/>
      <c r="BZ22" s="81"/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5"/>
        <v>256</v>
      </c>
      <c r="CF22" s="174" t="s">
        <v>320</v>
      </c>
      <c r="CJ22" t="s">
        <v>337</v>
      </c>
      <c r="CK22" s="252">
        <f t="shared" si="0"/>
        <v>251.18204112945287</v>
      </c>
      <c r="CL22" s="252">
        <f t="shared" si="14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0.27100000000000002</v>
      </c>
      <c r="CS22" s="254">
        <v>4.9399999999999999E-2</v>
      </c>
      <c r="CT22" s="253">
        <v>5.49</v>
      </c>
      <c r="CU22" s="254">
        <v>4.1999999999999999E-8</v>
      </c>
      <c r="CV22" s="253" t="s">
        <v>388</v>
      </c>
      <c r="CW22" s="81"/>
      <c r="CX22" s="255" t="s">
        <v>460</v>
      </c>
      <c r="CY22" s="259" t="s">
        <v>478</v>
      </c>
      <c r="CZ22" s="256" t="s">
        <v>321</v>
      </c>
      <c r="DA22" s="257">
        <f t="shared" si="12"/>
        <v>9.0300000000000005E-2</v>
      </c>
      <c r="DB22" s="255" t="s">
        <v>320</v>
      </c>
      <c r="DD22" s="170" t="s">
        <v>460</v>
      </c>
      <c r="DE22" s="291" t="s">
        <v>478</v>
      </c>
      <c r="DF22" s="289" t="s">
        <v>321</v>
      </c>
      <c r="DG22" s="170">
        <f>$O$10*$Z$37*$AP$42</f>
        <v>0.74399514588778326</v>
      </c>
      <c r="DH22" s="170" t="s">
        <v>320</v>
      </c>
      <c r="DJ22" s="297" t="s">
        <v>429</v>
      </c>
      <c r="DK22" s="297" t="s">
        <v>449</v>
      </c>
      <c r="DL22" s="301">
        <v>1.6500000000000001E-2</v>
      </c>
      <c r="DM22" s="301">
        <v>0.14599999999999999</v>
      </c>
      <c r="DN22" s="297">
        <v>0.11</v>
      </c>
      <c r="DO22" s="301">
        <v>0.9103</v>
      </c>
      <c r="DR22" s="298" t="s">
        <v>460</v>
      </c>
      <c r="DS22" s="303" t="s">
        <v>478</v>
      </c>
      <c r="DT22" s="299" t="s">
        <v>321</v>
      </c>
      <c r="DU22" s="300">
        <f t="shared" si="13"/>
        <v>0.376</v>
      </c>
      <c r="DV22" s="298" t="s">
        <v>320</v>
      </c>
    </row>
    <row r="23" spans="1:126" ht="15" customHeight="1" thickTop="1" thickBot="1" x14ac:dyDescent="0.3">
      <c r="A23" s="185" t="s">
        <v>91</v>
      </c>
      <c r="B23" s="186">
        <f>B17+B6</f>
        <v>193.4</v>
      </c>
      <c r="C23" s="196" t="s">
        <v>9</v>
      </c>
      <c r="D23" s="182"/>
      <c r="E23" s="183"/>
      <c r="F23" s="183"/>
      <c r="G23" s="183"/>
      <c r="H23" s="184"/>
      <c r="I23" s="183"/>
      <c r="K23" t="s">
        <v>89</v>
      </c>
      <c r="L23" s="215">
        <v>0</v>
      </c>
      <c r="M23" s="216">
        <v>2</v>
      </c>
      <c r="N23" s="216" t="s">
        <v>54</v>
      </c>
      <c r="O23" s="217">
        <f>H12</f>
        <v>4.2</v>
      </c>
      <c r="P23" s="218" t="s">
        <v>45</v>
      </c>
      <c r="Q23" s="30">
        <f t="shared" si="7"/>
        <v>5</v>
      </c>
      <c r="R23" s="30">
        <f t="shared" si="8"/>
        <v>21</v>
      </c>
      <c r="S23" s="30">
        <f t="shared" si="20"/>
        <v>0</v>
      </c>
      <c r="T23" s="30">
        <f t="shared" si="21"/>
        <v>0</v>
      </c>
      <c r="U23" s="30">
        <f t="shared" si="22"/>
        <v>0</v>
      </c>
      <c r="V23" s="31"/>
      <c r="W23" s="3"/>
      <c r="X23" s="182"/>
      <c r="Y23" s="183" t="s">
        <v>90</v>
      </c>
      <c r="Z23" s="183">
        <v>0.02</v>
      </c>
      <c r="AA23" s="183">
        <v>0.6</v>
      </c>
      <c r="AB23" s="183">
        <v>975</v>
      </c>
      <c r="AC23" s="183">
        <v>840</v>
      </c>
      <c r="AD23" s="233">
        <f>Z23/AA23</f>
        <v>3.3333333333333333E-2</v>
      </c>
      <c r="AE23" s="184">
        <f>Z23*AB23*AC23</f>
        <v>16380</v>
      </c>
      <c r="AF23" s="14"/>
      <c r="AG23" s="14"/>
      <c r="AH23" s="14"/>
      <c r="AM23" s="159" t="s">
        <v>317</v>
      </c>
      <c r="AN23" s="81" t="s">
        <v>318</v>
      </c>
      <c r="AO23" s="81" t="s">
        <v>337</v>
      </c>
      <c r="AP23" s="81">
        <f>SUM(O6:O9)*1/(SUM(AD15:AD17)+1/23)</f>
        <v>251.18204112945287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3"/>
        <v>251.18204112945287</v>
      </c>
      <c r="BA23" s="168" t="s">
        <v>320</v>
      </c>
      <c r="BC23" s="81"/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t="s">
        <v>338</v>
      </c>
      <c r="CK23" s="252">
        <f t="shared" si="0"/>
        <v>80.206451612903237</v>
      </c>
      <c r="CL23" s="252">
        <f t="shared" si="14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8.6099999999999996E-2</v>
      </c>
      <c r="CS23" s="254">
        <v>6.1199999999999997E-2</v>
      </c>
      <c r="CT23" s="253">
        <v>1.41</v>
      </c>
      <c r="CU23" s="253">
        <v>0.159</v>
      </c>
      <c r="CW23" s="81"/>
      <c r="CX23" s="255" t="s">
        <v>460</v>
      </c>
      <c r="CY23" s="258" t="s">
        <v>479</v>
      </c>
      <c r="CZ23" s="256" t="s">
        <v>321</v>
      </c>
      <c r="DA23" s="257">
        <f t="shared" si="12"/>
        <v>0.18</v>
      </c>
      <c r="DB23" s="255" t="s">
        <v>320</v>
      </c>
      <c r="DD23" s="170" t="s">
        <v>460</v>
      </c>
      <c r="DE23" s="290" t="s">
        <v>479</v>
      </c>
      <c r="DF23" s="289" t="s">
        <v>321</v>
      </c>
      <c r="DG23" s="170">
        <f>$O$12*$Z$37*$AP$42</f>
        <v>0.84453503046721323</v>
      </c>
      <c r="DH23" s="170" t="s">
        <v>320</v>
      </c>
      <c r="DJ23" s="297" t="s">
        <v>429</v>
      </c>
      <c r="DK23" s="297" t="s">
        <v>450</v>
      </c>
      <c r="DL23" s="301">
        <v>0.32500000000000001</v>
      </c>
      <c r="DM23" s="301">
        <v>0.19700000000000001</v>
      </c>
      <c r="DN23" s="297">
        <v>1.65</v>
      </c>
      <c r="DO23" s="297">
        <v>9.9000000000000005E-2</v>
      </c>
      <c r="DP23" s="297" t="s">
        <v>433</v>
      </c>
      <c r="DR23" s="298" t="s">
        <v>460</v>
      </c>
      <c r="DS23" s="302" t="s">
        <v>479</v>
      </c>
      <c r="DT23" s="299" t="s">
        <v>321</v>
      </c>
      <c r="DU23" s="300">
        <f t="shared" si="13"/>
        <v>0.30599999999999999</v>
      </c>
      <c r="DV23" s="298" t="s">
        <v>320</v>
      </c>
    </row>
    <row r="24" spans="1:126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0.54084798345398133</v>
      </c>
      <c r="G24" s="183"/>
      <c r="H24" s="184"/>
      <c r="I24" s="183"/>
      <c r="K24" t="s">
        <v>92</v>
      </c>
      <c r="L24" s="215">
        <v>0</v>
      </c>
      <c r="M24" s="216">
        <v>2</v>
      </c>
      <c r="N24" s="216" t="s">
        <v>54</v>
      </c>
      <c r="O24" s="217">
        <f>H13</f>
        <v>3.75</v>
      </c>
      <c r="P24" s="218" t="s">
        <v>50</v>
      </c>
      <c r="Q24" s="30">
        <f t="shared" si="7"/>
        <v>5</v>
      </c>
      <c r="R24" s="30">
        <f t="shared" si="8"/>
        <v>18.75</v>
      </c>
      <c r="S24" s="30">
        <f t="shared" si="20"/>
        <v>0</v>
      </c>
      <c r="T24" s="30">
        <f t="shared" si="21"/>
        <v>0</v>
      </c>
      <c r="U24" s="30">
        <f t="shared" si="22"/>
        <v>0</v>
      </c>
      <c r="V24" s="31"/>
      <c r="W24" s="3"/>
      <c r="X24" s="182"/>
      <c r="Y24" s="183" t="s">
        <v>93</v>
      </c>
      <c r="Z24" s="183">
        <v>0.14000000000000001</v>
      </c>
      <c r="AA24" s="183">
        <v>0.54</v>
      </c>
      <c r="AB24" s="183">
        <v>1400</v>
      </c>
      <c r="AC24" s="183">
        <v>840</v>
      </c>
      <c r="AD24" s="233">
        <f>Z24/AA24</f>
        <v>0.25925925925925924</v>
      </c>
      <c r="AE24" s="184">
        <f>Z24*AB24*AC24</f>
        <v>164640.00000000003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SUM(O14)*1/(SUM(AD44:AD46)+1)</f>
        <v>80.206451612903237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3"/>
        <v>80.206451612903237</v>
      </c>
      <c r="BA24" s="168" t="s">
        <v>320</v>
      </c>
      <c r="BC24" s="81"/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BY24" s="81"/>
      <c r="BZ24" s="81"/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0.57999999999999996</v>
      </c>
      <c r="CS24" s="254">
        <v>2.81E-2</v>
      </c>
      <c r="CT24" s="253">
        <v>20.68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0.13400000000000001</v>
      </c>
      <c r="DB24" s="255" t="s">
        <v>320</v>
      </c>
      <c r="DD24" s="170" t="s">
        <v>460</v>
      </c>
      <c r="DE24" s="289" t="s">
        <v>480</v>
      </c>
      <c r="DF24" s="289" t="s">
        <v>321</v>
      </c>
      <c r="DG24" s="170">
        <f>$O$13*$Z$37*$AP$42</f>
        <v>0.75404913434572618</v>
      </c>
      <c r="DH24" s="170" t="s">
        <v>320</v>
      </c>
      <c r="DJ24" s="297" t="s">
        <v>429</v>
      </c>
      <c r="DK24" s="297" t="s">
        <v>451</v>
      </c>
      <c r="DL24" s="301">
        <v>0.68400000000000005</v>
      </c>
      <c r="DM24" s="301">
        <v>7.0000000000000007E-2</v>
      </c>
      <c r="DN24" s="297">
        <v>9.77</v>
      </c>
      <c r="DO24" s="297" t="s">
        <v>387</v>
      </c>
      <c r="DP24" s="301">
        <v>2E-16</v>
      </c>
      <c r="DQ24" s="297" t="s">
        <v>388</v>
      </c>
      <c r="DR24" s="298" t="s">
        <v>460</v>
      </c>
      <c r="DS24" s="299" t="s">
        <v>480</v>
      </c>
      <c r="DT24" s="299" t="s">
        <v>321</v>
      </c>
      <c r="DU24" s="300">
        <f>DL31</f>
        <v>0.151</v>
      </c>
      <c r="DV24" s="298" t="s">
        <v>320</v>
      </c>
    </row>
    <row r="25" spans="1:126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t="s">
        <v>96</v>
      </c>
      <c r="L25" s="215">
        <v>0</v>
      </c>
      <c r="M25" s="216">
        <v>2</v>
      </c>
      <c r="N25" s="216" t="s">
        <v>20</v>
      </c>
      <c r="O25" s="217">
        <f>'Tabula data'!B7</f>
        <v>101.4</v>
      </c>
      <c r="P25" s="218" t="s">
        <v>97</v>
      </c>
      <c r="Q25" s="30">
        <f t="shared" si="7"/>
        <v>1.6605883333024791</v>
      </c>
      <c r="R25" s="30">
        <f t="shared" si="8"/>
        <v>168.38365699687139</v>
      </c>
      <c r="S25" s="30">
        <f t="shared" si="20"/>
        <v>4625056.8</v>
      </c>
      <c r="T25" s="30">
        <f t="shared" si="21"/>
        <v>45611.999999999993</v>
      </c>
      <c r="U25" s="30">
        <f t="shared" si="22"/>
        <v>1660932</v>
      </c>
      <c r="V25" s="31"/>
      <c r="W25" s="3"/>
      <c r="X25" s="199"/>
      <c r="Y25" s="181" t="s">
        <v>90</v>
      </c>
      <c r="Z25" s="181">
        <v>0.02</v>
      </c>
      <c r="AA25" s="181">
        <v>0.6</v>
      </c>
      <c r="AB25" s="181">
        <v>975</v>
      </c>
      <c r="AC25" s="181">
        <v>840</v>
      </c>
      <c r="AD25" s="234">
        <f>Z25/AA25</f>
        <v>3.3333333333333333E-2</v>
      </c>
      <c r="AE25" s="20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C25" s="81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BY25" s="81"/>
      <c r="BZ25" s="81"/>
      <c r="CA25" s="174"/>
      <c r="CB25" s="174"/>
      <c r="CC25" s="174"/>
      <c r="CD25" s="174"/>
      <c r="CE25" s="173"/>
      <c r="CF25" s="174"/>
      <c r="CJ25" t="s">
        <v>339</v>
      </c>
      <c r="CK25" s="249">
        <f t="shared" si="0"/>
        <v>0.36008157087811371</v>
      </c>
      <c r="CL25" s="249">
        <f t="shared" si="14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1.0800000000000001E-8</v>
      </c>
      <c r="CS25" s="254">
        <v>3.72E-7</v>
      </c>
      <c r="CT25" s="253">
        <v>0.03</v>
      </c>
      <c r="CU25" s="253">
        <v>0.97699999999999998</v>
      </c>
      <c r="CW25" s="81"/>
      <c r="CZ25" s="256"/>
      <c r="DF25" s="289"/>
      <c r="DJ25" s="297" t="s">
        <v>429</v>
      </c>
      <c r="DK25" s="297" t="s">
        <v>452</v>
      </c>
      <c r="DL25" s="301">
        <v>0.25</v>
      </c>
      <c r="DM25" s="301">
        <v>0.14699999999999999</v>
      </c>
      <c r="DN25" s="297">
        <v>1.7</v>
      </c>
      <c r="DO25" s="297">
        <v>8.9300000000000004E-2</v>
      </c>
      <c r="DP25" s="297" t="s">
        <v>433</v>
      </c>
      <c r="DT25" s="299"/>
    </row>
    <row r="26" spans="1:126" ht="15" customHeight="1" thickTop="1" thickBot="1" x14ac:dyDescent="0.3">
      <c r="A26" s="185" t="s">
        <v>100</v>
      </c>
      <c r="B26" s="203">
        <f>'Tabula data'!B6</f>
        <v>381.4</v>
      </c>
      <c r="C26" s="197" t="s">
        <v>9</v>
      </c>
      <c r="D26" s="182"/>
      <c r="E26" s="183"/>
      <c r="F26" s="183"/>
      <c r="G26" s="183"/>
      <c r="H26" s="184"/>
      <c r="I26" s="183"/>
      <c r="K26" t="s">
        <v>98</v>
      </c>
      <c r="L26" s="215">
        <v>1</v>
      </c>
      <c r="M26" s="216">
        <v>2</v>
      </c>
      <c r="N26" s="216" t="s">
        <v>99</v>
      </c>
      <c r="O26" s="217">
        <f>'Tabula data'!B4-'Tabula data'!B14</f>
        <v>104.6</v>
      </c>
      <c r="P26" s="218"/>
      <c r="Q26" s="30">
        <f t="shared" si="7"/>
        <v>1.4549653579676673</v>
      </c>
      <c r="R26" s="30">
        <f t="shared" si="8"/>
        <v>152.18937644341798</v>
      </c>
      <c r="S26" s="30">
        <f t="shared" si="20"/>
        <v>48695484</v>
      </c>
      <c r="T26" s="30">
        <f t="shared" si="21"/>
        <v>465540</v>
      </c>
      <c r="U26" s="30">
        <f t="shared" si="22"/>
        <v>48695484</v>
      </c>
      <c r="V26" s="31"/>
      <c r="W26" s="3"/>
      <c r="X26" s="223"/>
      <c r="Y26" s="223"/>
      <c r="Z26" s="223"/>
      <c r="AA26" s="223"/>
      <c r="AB26" s="223"/>
      <c r="AC26" s="223"/>
      <c r="AD26" s="223"/>
      <c r="AE26" s="223"/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SUM(O17:O20,O25)/SUM(O$17:O$25,2*O$28,O$26,$O$31)</f>
        <v>0.36008157087811371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0.36008157087811371</v>
      </c>
      <c r="BA26" s="168" t="s">
        <v>320</v>
      </c>
      <c r="BC26" s="81"/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t="s">
        <v>340</v>
      </c>
      <c r="CK26" s="249">
        <f t="shared" si="0"/>
        <v>0.40415347664137108</v>
      </c>
      <c r="CL26" s="249">
        <f t="shared" si="14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0.496</v>
      </c>
      <c r="CS26" s="254">
        <v>1.55E-2</v>
      </c>
      <c r="CT26" s="253">
        <v>31.96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9"/>
      <c r="DF26" s="289"/>
      <c r="DJ26" s="297" t="s">
        <v>429</v>
      </c>
      <c r="DK26" s="297" t="s">
        <v>453</v>
      </c>
      <c r="DL26" s="301">
        <v>0.61499999999999999</v>
      </c>
      <c r="DM26" s="301">
        <v>3.6400000000000002E-2</v>
      </c>
      <c r="DN26" s="297">
        <v>16.89</v>
      </c>
      <c r="DO26" s="297" t="s">
        <v>387</v>
      </c>
      <c r="DP26" s="301">
        <v>2E-16</v>
      </c>
      <c r="DQ26" s="297" t="s">
        <v>388</v>
      </c>
      <c r="DS26" s="299"/>
      <c r="DT26" s="299"/>
      <c r="DU26" s="300"/>
    </row>
    <row r="27" spans="1:126" ht="15" customHeight="1" thickTop="1" thickBot="1" x14ac:dyDescent="0.3">
      <c r="A27" s="182"/>
      <c r="B27" s="202">
        <f>SUM(O6:O25)</f>
        <v>381.4</v>
      </c>
      <c r="C27" s="184" t="s">
        <v>9</v>
      </c>
      <c r="D27" s="182"/>
      <c r="E27" s="183"/>
      <c r="F27" s="183"/>
      <c r="G27" s="183"/>
      <c r="H27" s="184"/>
      <c r="I27" s="183"/>
      <c r="K27" t="s">
        <v>101</v>
      </c>
      <c r="L27" s="215">
        <v>1</v>
      </c>
      <c r="M27" s="216">
        <v>1</v>
      </c>
      <c r="N27" s="216" t="s">
        <v>85</v>
      </c>
      <c r="O27" s="217">
        <f>SUM(O6:O9)</f>
        <v>69.377869700103432</v>
      </c>
      <c r="P27" s="218"/>
      <c r="Q27" s="30">
        <f t="shared" si="7"/>
        <v>1.7363344051446945</v>
      </c>
      <c r="R27" s="30">
        <f t="shared" si="8"/>
        <v>120.46318211593521</v>
      </c>
      <c r="S27" s="30">
        <f t="shared" si="20"/>
        <v>13695191.47880042</v>
      </c>
      <c r="T27" s="30">
        <f t="shared" si="21"/>
        <v>197400.00000000003</v>
      </c>
      <c r="U27" s="30">
        <f t="shared" si="22"/>
        <v>13695191.47880042</v>
      </c>
      <c r="V27" s="31"/>
      <c r="W27" s="3"/>
      <c r="X27" s="225" t="s">
        <v>99</v>
      </c>
      <c r="Y27" s="226"/>
      <c r="Z27" s="227" t="s">
        <v>21</v>
      </c>
      <c r="AA27" s="228">
        <f>1/(1/10+SUM(AD29:AD32)+1/6)</f>
        <v>1.4549653579676673</v>
      </c>
      <c r="AB27" s="226" t="s">
        <v>5</v>
      </c>
      <c r="AC27" s="226"/>
      <c r="AD27" s="226" t="s">
        <v>22</v>
      </c>
      <c r="AE27" s="229">
        <f>SUM(AE29:AE33)</f>
        <v>465540</v>
      </c>
      <c r="AF27" s="14" t="s">
        <v>23</v>
      </c>
      <c r="AG27" s="14">
        <f>SUM(AE29:AE32)</f>
        <v>465540</v>
      </c>
      <c r="AH27" s="14"/>
      <c r="AM27" s="159" t="s">
        <v>317</v>
      </c>
      <c r="AN27" s="81" t="s">
        <v>318</v>
      </c>
      <c r="AO27" s="81" t="s">
        <v>340</v>
      </c>
      <c r="AP27" s="81">
        <f>SUM(2*O28,O31)/SUM(O$17:O$25,2*O$28,O$26,O$31)</f>
        <v>0.40415347664137108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6">AP27</f>
        <v>0.40415347664137108</v>
      </c>
      <c r="BA27" s="168" t="s">
        <v>320</v>
      </c>
      <c r="BC27" s="81"/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7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8">BU54</f>
        <v>0.22700000000000001</v>
      </c>
      <c r="CF27" s="174" t="s">
        <v>320</v>
      </c>
      <c r="CJ27" t="s">
        <v>341</v>
      </c>
      <c r="CK27" s="249">
        <f t="shared" si="0"/>
        <v>3.0085102359898939E-2</v>
      </c>
      <c r="CL27" s="249">
        <f t="shared" si="14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0.54600000000000004</v>
      </c>
      <c r="CS27" s="254">
        <v>1.43E-2</v>
      </c>
      <c r="CT27" s="253">
        <v>38.25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17400000</v>
      </c>
      <c r="DB27" s="255" t="s">
        <v>320</v>
      </c>
      <c r="DD27" s="170" t="s">
        <v>460</v>
      </c>
      <c r="DE27" s="289" t="s">
        <v>328</v>
      </c>
      <c r="DF27" s="289" t="s">
        <v>321</v>
      </c>
      <c r="DG27" s="293">
        <f>$AP12</f>
        <v>9853248.0000000019</v>
      </c>
      <c r="DH27" s="170" t="s">
        <v>320</v>
      </c>
      <c r="DJ27" s="297" t="s">
        <v>429</v>
      </c>
      <c r="DK27" s="297" t="s">
        <v>454</v>
      </c>
      <c r="DL27" s="301">
        <v>0.53200000000000003</v>
      </c>
      <c r="DM27" s="301">
        <v>3.1099999999999999E-2</v>
      </c>
      <c r="DN27" s="297">
        <v>17.079999999999998</v>
      </c>
      <c r="DO27" s="297" t="s">
        <v>387</v>
      </c>
      <c r="DP27" s="301">
        <v>2E-16</v>
      </c>
      <c r="DQ27" s="297" t="s">
        <v>388</v>
      </c>
      <c r="DR27" s="298" t="s">
        <v>460</v>
      </c>
      <c r="DS27" s="299" t="s">
        <v>328</v>
      </c>
      <c r="DT27" s="299" t="s">
        <v>321</v>
      </c>
      <c r="DU27" s="300">
        <f>DL33</f>
        <v>15600000</v>
      </c>
      <c r="DV27" s="298" t="s">
        <v>320</v>
      </c>
    </row>
    <row r="28" spans="1:126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t="s">
        <v>102</v>
      </c>
      <c r="L28" s="215">
        <v>2</v>
      </c>
      <c r="M28" s="216">
        <v>2</v>
      </c>
      <c r="N28" s="216" t="s">
        <v>85</v>
      </c>
      <c r="O28" s="217">
        <f>SUM(O17:O20)</f>
        <v>81.722130299896577</v>
      </c>
      <c r="P28" s="218"/>
      <c r="Q28" s="30">
        <f t="shared" si="7"/>
        <v>1.7363344051446945</v>
      </c>
      <c r="R28" s="30">
        <f t="shared" si="8"/>
        <v>141.89694650142815</v>
      </c>
      <c r="S28" s="30">
        <f t="shared" si="20"/>
        <v>16131948.521199586</v>
      </c>
      <c r="T28" s="30">
        <f t="shared" si="21"/>
        <v>197400.00000000003</v>
      </c>
      <c r="U28" s="30">
        <f t="shared" si="22"/>
        <v>16131948.521199586</v>
      </c>
      <c r="V28" s="31"/>
      <c r="X28" s="230"/>
      <c r="Y28" s="231" t="s">
        <v>27</v>
      </c>
      <c r="Z28" s="231" t="s">
        <v>28</v>
      </c>
      <c r="AA28" s="231" t="s">
        <v>29</v>
      </c>
      <c r="AB28" s="231" t="s">
        <v>30</v>
      </c>
      <c r="AC28" s="231" t="s">
        <v>31</v>
      </c>
      <c r="AD28" s="231" t="s">
        <v>32</v>
      </c>
      <c r="AE28" s="232" t="s">
        <v>33</v>
      </c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SUM(O21:O24)/SUM(O$17:O$25,2*O$28,O$26,O$31)</f>
        <v>3.0085102359898939E-2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6"/>
        <v>3.0085102359898939E-2</v>
      </c>
      <c r="BA28" s="168" t="s">
        <v>320</v>
      </c>
      <c r="BC28" s="81"/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7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8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0.14299999999999999</v>
      </c>
      <c r="CS28" s="254">
        <v>1.41E-2</v>
      </c>
      <c r="CT28" s="253">
        <v>10.199999999999999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29">CR34</f>
        <v>1580000</v>
      </c>
      <c r="DB28" s="255" t="s">
        <v>320</v>
      </c>
      <c r="DD28" s="170" t="s">
        <v>460</v>
      </c>
      <c r="DE28" s="291" t="s">
        <v>325</v>
      </c>
      <c r="DF28" s="289" t="s">
        <v>321</v>
      </c>
      <c r="DG28" s="293">
        <f>$AP9</f>
        <v>1635553.9200000004</v>
      </c>
      <c r="DH28" s="170" t="s">
        <v>320</v>
      </c>
      <c r="DJ28" s="297" t="s">
        <v>429</v>
      </c>
      <c r="DK28" s="297" t="s">
        <v>455</v>
      </c>
      <c r="DL28" s="301">
        <v>0.32</v>
      </c>
      <c r="DM28" s="301">
        <v>5.5E-2</v>
      </c>
      <c r="DN28" s="297">
        <v>5.82</v>
      </c>
      <c r="DO28" s="301">
        <v>6.3000000000000002E-9</v>
      </c>
      <c r="DP28" s="301" t="s">
        <v>388</v>
      </c>
      <c r="DR28" s="298" t="s">
        <v>460</v>
      </c>
      <c r="DS28" s="303" t="s">
        <v>325</v>
      </c>
      <c r="DT28" s="299" t="s">
        <v>321</v>
      </c>
      <c r="DU28" s="300">
        <f t="shared" ref="DU28:DU30" si="30">DL34</f>
        <v>650000</v>
      </c>
      <c r="DV28" s="298" t="s">
        <v>320</v>
      </c>
    </row>
    <row r="29" spans="1:126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L29" s="215">
        <v>2</v>
      </c>
      <c r="M29" s="216">
        <v>2</v>
      </c>
      <c r="N29" s="216" t="s">
        <v>99</v>
      </c>
      <c r="O29" s="217">
        <f>B8-B7</f>
        <v>15.799999999999983</v>
      </c>
      <c r="P29" s="222"/>
      <c r="Q29" s="30">
        <f t="shared" ref="Q29:Q31" si="31">VLOOKUP(N29,$X$5:$AA$391,4,0)</f>
        <v>1.4549653579676673</v>
      </c>
      <c r="R29" s="30">
        <f t="shared" ref="R29:R31" si="32">Q29*O29</f>
        <v>22.98845265588912</v>
      </c>
      <c r="S29" s="30">
        <f t="shared" ref="S29:S31" si="33">VLOOKUP(N29,$X$5:$AE$391,8,0)*O29</f>
        <v>7355531.9999999916</v>
      </c>
      <c r="T29" s="30">
        <f t="shared" ref="T29:T31" si="34">S29/O29</f>
        <v>465540</v>
      </c>
      <c r="U29" s="30">
        <f t="shared" ref="U29:U31" si="35">VLOOKUP(N29,$X$5:$AG$391,10,0)*O29</f>
        <v>7355531.9999999916</v>
      </c>
      <c r="X29" s="205"/>
      <c r="Y29" s="206" t="s">
        <v>103</v>
      </c>
      <c r="Z29" s="206">
        <v>0.02</v>
      </c>
      <c r="AA29" s="206">
        <v>0.18</v>
      </c>
      <c r="AB29" s="206">
        <v>550</v>
      </c>
      <c r="AC29" s="206">
        <v>1880</v>
      </c>
      <c r="AD29" s="236">
        <f>Z29/AA29</f>
        <v>0.11111111111111112</v>
      </c>
      <c r="AE29" s="237">
        <f>Z29*AB29*AC29</f>
        <v>20680</v>
      </c>
      <c r="AF29" s="14" t="s">
        <v>104</v>
      </c>
      <c r="AG29" s="14"/>
      <c r="AH29" s="14"/>
      <c r="AQ29" s="81" t="s">
        <v>320</v>
      </c>
      <c r="AV29" s="168"/>
      <c r="AW29" s="168"/>
      <c r="AX29" s="168"/>
      <c r="AY29" s="169"/>
      <c r="BA29" s="168"/>
      <c r="BC29" s="81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t="s">
        <v>342</v>
      </c>
      <c r="CK29" s="251">
        <f t="shared" si="0"/>
        <v>1162464.1599999999</v>
      </c>
      <c r="CL29" s="251">
        <f t="shared" si="14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9.0300000000000005E-2</v>
      </c>
      <c r="CS29" s="254">
        <v>3.1399999999999997E-2</v>
      </c>
      <c r="CT29" s="253">
        <v>2.88</v>
      </c>
      <c r="CU29" s="253">
        <v>4.0000000000000001E-3</v>
      </c>
      <c r="CV29" s="253" t="s">
        <v>426</v>
      </c>
      <c r="CW29" s="81"/>
      <c r="CX29" s="255" t="s">
        <v>460</v>
      </c>
      <c r="CY29" s="259" t="s">
        <v>326</v>
      </c>
      <c r="CZ29" s="256" t="s">
        <v>321</v>
      </c>
      <c r="DA29" s="257">
        <f t="shared" si="29"/>
        <v>13000000</v>
      </c>
      <c r="DB29" s="255" t="s">
        <v>320</v>
      </c>
      <c r="DD29" s="170" t="s">
        <v>460</v>
      </c>
      <c r="DE29" s="291" t="s">
        <v>326</v>
      </c>
      <c r="DF29" s="289" t="s">
        <v>321</v>
      </c>
      <c r="DG29" s="293">
        <f>$AP10</f>
        <v>12558781.973112725</v>
      </c>
      <c r="DH29" s="170" t="s">
        <v>320</v>
      </c>
      <c r="DJ29" s="297" t="s">
        <v>429</v>
      </c>
      <c r="DK29" s="297" t="s">
        <v>358</v>
      </c>
      <c r="DL29" s="301">
        <v>0.376</v>
      </c>
      <c r="DM29" s="301">
        <v>0.14499999999999999</v>
      </c>
      <c r="DN29" s="297">
        <v>2.59</v>
      </c>
      <c r="DO29" s="297">
        <v>9.5999999999999992E-3</v>
      </c>
      <c r="DP29" s="297" t="s">
        <v>426</v>
      </c>
      <c r="DR29" s="298" t="s">
        <v>460</v>
      </c>
      <c r="DS29" s="303" t="s">
        <v>326</v>
      </c>
      <c r="DT29" s="299" t="s">
        <v>321</v>
      </c>
      <c r="DU29" s="300">
        <f t="shared" si="30"/>
        <v>10700000</v>
      </c>
      <c r="DV29" s="298" t="s">
        <v>320</v>
      </c>
    </row>
    <row r="30" spans="1:126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L30" s="215" t="s">
        <v>509</v>
      </c>
      <c r="M30" s="216">
        <v>1</v>
      </c>
      <c r="N30" s="216" t="s">
        <v>510</v>
      </c>
      <c r="O30" s="217">
        <f>O7</f>
        <v>35.733053277868223</v>
      </c>
      <c r="P30" s="218"/>
      <c r="Q30" s="30">
        <f t="shared" si="31"/>
        <v>2.5352112676056335</v>
      </c>
      <c r="R30" s="30">
        <f t="shared" si="32"/>
        <v>90.590839296003935</v>
      </c>
      <c r="S30" s="30">
        <f t="shared" si="33"/>
        <v>6138223.8920722036</v>
      </c>
      <c r="T30" s="30">
        <f t="shared" si="34"/>
        <v>171780</v>
      </c>
      <c r="U30" s="30">
        <f t="shared" si="35"/>
        <v>6138223.8920722036</v>
      </c>
      <c r="X30" s="182"/>
      <c r="Y30" s="183" t="s">
        <v>129</v>
      </c>
      <c r="Z30" s="183">
        <v>0.08</v>
      </c>
      <c r="AA30" s="183">
        <v>0.6</v>
      </c>
      <c r="AB30" s="183">
        <v>1100</v>
      </c>
      <c r="AC30" s="183">
        <v>860</v>
      </c>
      <c r="AD30" s="233">
        <f>Z30/AA30</f>
        <v>0.13333333333333333</v>
      </c>
      <c r="AE30" s="184">
        <f>Z30*AB30*AC30</f>
        <v>75680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1162464.1599999999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1162464.1599999999</v>
      </c>
      <c r="BA30" s="168" t="s">
        <v>320</v>
      </c>
      <c r="BC30" s="81"/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t="s">
        <v>343</v>
      </c>
      <c r="CK30" s="251">
        <f t="shared" si="0"/>
        <v>16454272.026887279</v>
      </c>
      <c r="CL30" s="251">
        <f t="shared" si="14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0.18</v>
      </c>
      <c r="CS30" s="254">
        <v>7.26E-3</v>
      </c>
      <c r="CT30" s="253">
        <v>24.73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29"/>
        <v>11200000</v>
      </c>
      <c r="DB30" s="255" t="s">
        <v>320</v>
      </c>
      <c r="DD30" s="170" t="s">
        <v>460</v>
      </c>
      <c r="DE30" s="291" t="s">
        <v>327</v>
      </c>
      <c r="DF30" s="289" t="s">
        <v>321</v>
      </c>
      <c r="DG30" s="293">
        <f>$AP11</f>
        <v>19833415.370872624</v>
      </c>
      <c r="DH30" s="170" t="s">
        <v>320</v>
      </c>
      <c r="DJ30" s="297" t="s">
        <v>429</v>
      </c>
      <c r="DK30" s="297" t="s">
        <v>456</v>
      </c>
      <c r="DL30" s="301">
        <v>0.30599999999999999</v>
      </c>
      <c r="DM30" s="301">
        <v>2.9899999999999999E-2</v>
      </c>
      <c r="DN30" s="297">
        <v>10.23</v>
      </c>
      <c r="DO30" s="297" t="s">
        <v>387</v>
      </c>
      <c r="DP30" s="301">
        <v>2E-16</v>
      </c>
      <c r="DQ30" s="297" t="s">
        <v>388</v>
      </c>
      <c r="DR30" s="298" t="s">
        <v>460</v>
      </c>
      <c r="DS30" s="303" t="s">
        <v>327</v>
      </c>
      <c r="DT30" s="299" t="s">
        <v>321</v>
      </c>
      <c r="DU30" s="300">
        <f t="shared" si="30"/>
        <v>11100000</v>
      </c>
      <c r="DV30" s="298" t="s">
        <v>320</v>
      </c>
    </row>
    <row r="31" spans="1:126" ht="15" customHeight="1" thickTop="1" thickBot="1" x14ac:dyDescent="0.3">
      <c r="L31" s="220" t="s">
        <v>509</v>
      </c>
      <c r="M31" s="221">
        <v>2</v>
      </c>
      <c r="N31" s="221" t="s">
        <v>510</v>
      </c>
      <c r="O31" s="217">
        <f>O18</f>
        <v>42.090961406137552</v>
      </c>
      <c r="P31" s="222"/>
      <c r="Q31" s="30">
        <f t="shared" si="31"/>
        <v>2.5352112676056335</v>
      </c>
      <c r="R31" s="30">
        <f t="shared" si="32"/>
        <v>106.70947962119378</v>
      </c>
      <c r="S31" s="30">
        <f t="shared" si="33"/>
        <v>7230385.3503463091</v>
      </c>
      <c r="T31" s="30">
        <f t="shared" si="34"/>
        <v>171780</v>
      </c>
      <c r="U31" s="30">
        <f t="shared" si="35"/>
        <v>7230385.3503463091</v>
      </c>
      <c r="X31" s="182"/>
      <c r="Y31" s="183" t="s">
        <v>276</v>
      </c>
      <c r="Z31" s="183">
        <v>0.2</v>
      </c>
      <c r="AA31" s="183">
        <v>1.4</v>
      </c>
      <c r="AB31" s="183">
        <v>2100</v>
      </c>
      <c r="AC31" s="183">
        <v>840</v>
      </c>
      <c r="AD31" s="233">
        <f>Z31/AA31</f>
        <v>0.14285714285714288</v>
      </c>
      <c r="AE31" s="184">
        <f>Z31*AB31*AC31</f>
        <v>352800</v>
      </c>
      <c r="AF31" s="14"/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16454272.026887279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6">AP31</f>
        <v>16454272.026887279</v>
      </c>
      <c r="BA31" s="168" t="s">
        <v>320</v>
      </c>
      <c r="BC31" s="81"/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7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8">BU59</f>
        <v>37600000</v>
      </c>
      <c r="CF31" s="174" t="s">
        <v>320</v>
      </c>
      <c r="CJ31" t="s">
        <v>344</v>
      </c>
      <c r="CK31" s="251">
        <f t="shared" si="0"/>
        <v>23362333.871545896</v>
      </c>
      <c r="CL31" s="251">
        <f t="shared" si="14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0.13400000000000001</v>
      </c>
      <c r="CS31" s="254">
        <v>7.0200000000000002E-3</v>
      </c>
      <c r="CT31" s="253">
        <v>19.07</v>
      </c>
      <c r="CU31" s="253" t="s">
        <v>387</v>
      </c>
      <c r="CV31" s="254">
        <v>2E-16</v>
      </c>
      <c r="CW31" s="81" t="s">
        <v>388</v>
      </c>
      <c r="CZ31" s="256"/>
      <c r="DF31" s="289"/>
      <c r="DJ31" s="297" t="s">
        <v>429</v>
      </c>
      <c r="DK31" s="297" t="s">
        <v>457</v>
      </c>
      <c r="DL31" s="301">
        <v>0.151</v>
      </c>
      <c r="DM31" s="301">
        <v>2.52E-2</v>
      </c>
      <c r="DN31" s="297">
        <v>6.02</v>
      </c>
      <c r="DO31" s="301">
        <v>1.9000000000000001E-9</v>
      </c>
      <c r="DP31" s="301" t="s">
        <v>388</v>
      </c>
      <c r="DT31" s="299"/>
    </row>
    <row r="32" spans="1:126" ht="15" customHeight="1" thickTop="1" thickBot="1" x14ac:dyDescent="0.3">
      <c r="L32"/>
      <c r="M32"/>
      <c r="N32"/>
      <c r="Q32"/>
      <c r="R32"/>
      <c r="X32" s="199"/>
      <c r="Y32" s="181" t="s">
        <v>80</v>
      </c>
      <c r="Z32" s="181">
        <v>0.02</v>
      </c>
      <c r="AA32" s="181">
        <v>0.6</v>
      </c>
      <c r="AB32" s="181">
        <v>975</v>
      </c>
      <c r="AC32" s="181">
        <v>840</v>
      </c>
      <c r="AD32" s="234">
        <f>Z32/AA32</f>
        <v>3.3333333333333333E-2</v>
      </c>
      <c r="AE32" s="204">
        <f>Z32*AB32*AC32</f>
        <v>16380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SUM(U28,U31)</f>
        <v>23362333.871545896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6"/>
        <v>23362333.871545896</v>
      </c>
      <c r="BA32" s="168" t="s">
        <v>320</v>
      </c>
      <c r="BC32" s="81"/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7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8"/>
        <v>6950000</v>
      </c>
      <c r="CF32" s="174" t="s">
        <v>320</v>
      </c>
      <c r="CJ32" t="s">
        <v>345</v>
      </c>
      <c r="CK32" s="249">
        <f t="shared" si="0"/>
        <v>7.201631417562275E-2</v>
      </c>
      <c r="CL32" s="249">
        <f t="shared" si="14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304000000</v>
      </c>
      <c r="CS32" s="254">
        <v>10700000</v>
      </c>
      <c r="CT32" s="253">
        <v>28.33</v>
      </c>
      <c r="CU32" s="253" t="s">
        <v>387</v>
      </c>
      <c r="CV32" s="254">
        <v>2E-16</v>
      </c>
      <c r="CW32" s="81" t="s">
        <v>388</v>
      </c>
      <c r="CX32" s="255" t="s">
        <v>460</v>
      </c>
      <c r="CY32" s="259" t="s">
        <v>333</v>
      </c>
      <c r="CZ32" s="256" t="s">
        <v>321</v>
      </c>
      <c r="DA32" s="257">
        <f>CR47</f>
        <v>159</v>
      </c>
      <c r="DB32" s="255" t="s">
        <v>320</v>
      </c>
      <c r="DD32" s="170" t="s">
        <v>460</v>
      </c>
      <c r="DE32" s="291" t="s">
        <v>333</v>
      </c>
      <c r="DF32" s="289" t="s">
        <v>321</v>
      </c>
      <c r="DG32" s="170">
        <f>$AP19</f>
        <v>221.02684152245342</v>
      </c>
      <c r="DH32" s="170" t="s">
        <v>320</v>
      </c>
      <c r="DJ32" s="297" t="s">
        <v>429</v>
      </c>
      <c r="DK32" s="297" t="s">
        <v>306</v>
      </c>
      <c r="DL32" s="301">
        <v>3570000000</v>
      </c>
      <c r="DM32" s="301">
        <v>624000000</v>
      </c>
      <c r="DN32" s="297">
        <v>5.72</v>
      </c>
      <c r="DO32" s="301">
        <v>1.0999999999999999E-8</v>
      </c>
      <c r="DP32" s="301" t="s">
        <v>388</v>
      </c>
      <c r="DR32" s="298" t="s">
        <v>460</v>
      </c>
      <c r="DS32" s="303" t="s">
        <v>333</v>
      </c>
      <c r="DT32" s="299" t="s">
        <v>321</v>
      </c>
      <c r="DU32" s="300">
        <f>DL47</f>
        <v>158</v>
      </c>
      <c r="DV32" s="298" t="s">
        <v>320</v>
      </c>
    </row>
    <row r="33" spans="1:126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06" t="s">
        <v>112</v>
      </c>
      <c r="F33" s="306"/>
      <c r="G33" s="72" t="s">
        <v>113</v>
      </c>
      <c r="L33"/>
      <c r="M33"/>
      <c r="N33"/>
      <c r="Q33" s="69" t="s">
        <v>106</v>
      </c>
      <c r="R33" s="70">
        <f>SUM(R4:R13)+R14*0.5+SUM(R17:R25)+R16</f>
        <v>740.59873485492972</v>
      </c>
      <c r="S33" s="69" t="s">
        <v>107</v>
      </c>
      <c r="X33" s="183"/>
      <c r="Y33" s="183"/>
      <c r="Z33" s="183"/>
      <c r="AA33" s="183"/>
      <c r="AB33" s="183"/>
      <c r="AC33" s="183"/>
      <c r="AD33" s="233"/>
      <c r="AE33" s="183"/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AP26*0.2</f>
        <v>7.201631417562275E-2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6"/>
        <v>7.201631417562275E-2</v>
      </c>
      <c r="BA33" s="168" t="s">
        <v>320</v>
      </c>
      <c r="BC33" s="81"/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t="s">
        <v>346</v>
      </c>
      <c r="CK33" s="249">
        <f t="shared" si="0"/>
        <v>8.0830695328274221E-2</v>
      </c>
      <c r="CL33" s="249">
        <f t="shared" si="14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17400000</v>
      </c>
      <c r="CS33" s="254">
        <v>827000</v>
      </c>
      <c r="CT33" s="253">
        <v>21.03</v>
      </c>
      <c r="CU33" s="253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9">CR48</f>
        <v>145</v>
      </c>
      <c r="DB33" s="255" t="s">
        <v>320</v>
      </c>
      <c r="DD33" s="170" t="s">
        <v>460</v>
      </c>
      <c r="DE33" s="291" t="s">
        <v>334</v>
      </c>
      <c r="DF33" s="289" t="s">
        <v>321</v>
      </c>
      <c r="DG33" s="170">
        <f>$AP20</f>
        <v>282.54545454545456</v>
      </c>
      <c r="DH33" s="170" t="s">
        <v>320</v>
      </c>
      <c r="DJ33" s="297" t="s">
        <v>429</v>
      </c>
      <c r="DK33" s="297" t="s">
        <v>302</v>
      </c>
      <c r="DL33" s="301">
        <v>15600000</v>
      </c>
      <c r="DM33" s="301">
        <v>997000</v>
      </c>
      <c r="DN33" s="297">
        <v>15.62</v>
      </c>
      <c r="DO33" s="297" t="s">
        <v>387</v>
      </c>
      <c r="DP33" s="301">
        <v>2E-16</v>
      </c>
      <c r="DQ33" s="297" t="s">
        <v>388</v>
      </c>
      <c r="DR33" s="298" t="s">
        <v>460</v>
      </c>
      <c r="DS33" s="303" t="s">
        <v>334</v>
      </c>
      <c r="DT33" s="299" t="s">
        <v>321</v>
      </c>
      <c r="DU33" s="300">
        <f t="shared" ref="DU33:DU35" si="40">DL48</f>
        <v>154</v>
      </c>
      <c r="DV33" s="298" t="s">
        <v>320</v>
      </c>
    </row>
    <row r="34" spans="1:126" ht="15" customHeight="1" thickTop="1" thickBot="1" x14ac:dyDescent="0.3">
      <c r="A34" s="73">
        <v>1</v>
      </c>
      <c r="B34" s="74">
        <f>B7*3.5</f>
        <v>310.80000000000007</v>
      </c>
      <c r="C34" s="73"/>
      <c r="D34" s="73" t="s">
        <v>42</v>
      </c>
      <c r="E34" s="307">
        <v>21</v>
      </c>
      <c r="F34" s="307"/>
      <c r="G34" s="76">
        <f>VLOOKUP(D34,A6:B22,2,0)</f>
        <v>88.800000000000011</v>
      </c>
      <c r="L34"/>
      <c r="M34"/>
      <c r="N34"/>
      <c r="Q34"/>
      <c r="R34">
        <f>G4*Z37</f>
        <v>26.621999999999996</v>
      </c>
      <c r="X34" s="223"/>
      <c r="Y34" s="223"/>
      <c r="Z34" s="224" t="s">
        <v>4</v>
      </c>
      <c r="AA34" s="224">
        <v>5</v>
      </c>
      <c r="AB34" s="224" t="s">
        <v>5</v>
      </c>
      <c r="AC34" s="223"/>
      <c r="AD34" s="223"/>
      <c r="AE34" s="223"/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AP27*0.2</f>
        <v>8.0830695328274221E-2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6"/>
        <v>8.0830695328274221E-2</v>
      </c>
      <c r="BA34" s="168" t="s">
        <v>320</v>
      </c>
      <c r="BC34" s="81"/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41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42">BU66</f>
        <v>7.8100000000000001E-3</v>
      </c>
      <c r="CF34" s="174" t="s">
        <v>320</v>
      </c>
      <c r="CJ34" t="s">
        <v>348</v>
      </c>
      <c r="CK34" s="249">
        <f t="shared" si="0"/>
        <v>0.80601702047197987</v>
      </c>
      <c r="CL34" s="249">
        <f t="shared" si="14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1580000</v>
      </c>
      <c r="CS34" s="254">
        <v>9620</v>
      </c>
      <c r="CT34" s="253">
        <v>164.04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9"/>
        <v>319</v>
      </c>
      <c r="DB34" s="255" t="s">
        <v>320</v>
      </c>
      <c r="DD34" s="170" t="s">
        <v>460</v>
      </c>
      <c r="DE34" s="292" t="s">
        <v>335</v>
      </c>
      <c r="DF34" s="289" t="s">
        <v>321</v>
      </c>
      <c r="DG34" s="170">
        <f>$AP21</f>
        <v>331.51720352787436</v>
      </c>
      <c r="DH34" s="170" t="s">
        <v>320</v>
      </c>
      <c r="DJ34" s="297" t="s">
        <v>429</v>
      </c>
      <c r="DK34" s="297" t="s">
        <v>398</v>
      </c>
      <c r="DL34" s="301">
        <v>650000</v>
      </c>
      <c r="DM34" s="301">
        <v>32700</v>
      </c>
      <c r="DN34" s="297">
        <v>19.91</v>
      </c>
      <c r="DO34" s="297" t="s">
        <v>387</v>
      </c>
      <c r="DP34" s="301">
        <v>2E-16</v>
      </c>
      <c r="DQ34" s="297" t="s">
        <v>388</v>
      </c>
      <c r="DR34" s="298" t="s">
        <v>460</v>
      </c>
      <c r="DS34" s="304" t="s">
        <v>335</v>
      </c>
      <c r="DT34" s="299" t="s">
        <v>321</v>
      </c>
      <c r="DU34" s="300">
        <f t="shared" si="40"/>
        <v>268</v>
      </c>
      <c r="DV34" s="298" t="s">
        <v>320</v>
      </c>
    </row>
    <row r="35" spans="1:126" ht="15" customHeight="1" thickTop="1" thickBot="1" x14ac:dyDescent="0.3">
      <c r="A35" s="73">
        <v>2</v>
      </c>
      <c r="B35" s="74">
        <f>B4-B34</f>
        <v>220.89999999999998</v>
      </c>
      <c r="C35" s="73"/>
      <c r="D35" s="73" t="s">
        <v>116</v>
      </c>
      <c r="E35" s="77">
        <v>18</v>
      </c>
      <c r="F35" s="77"/>
      <c r="G35" s="76">
        <f>VLOOKUP(D35,A7:B23,2,0)</f>
        <v>104.6</v>
      </c>
      <c r="L35"/>
      <c r="M35"/>
      <c r="N35" t="s">
        <v>114</v>
      </c>
      <c r="O35" s="3">
        <f>SUM(R6:R9,R15,R17:R20,R25)</f>
        <v>424.44437243882226</v>
      </c>
      <c r="P35" s="3"/>
      <c r="Q35"/>
      <c r="R35"/>
      <c r="X35" s="225" t="s">
        <v>115</v>
      </c>
      <c r="Y35" s="226"/>
      <c r="Z35" s="227" t="s">
        <v>21</v>
      </c>
      <c r="AA35" s="207">
        <v>5</v>
      </c>
      <c r="AB35" s="226" t="s">
        <v>5</v>
      </c>
      <c r="AC35" s="226"/>
      <c r="AD35" s="226" t="s">
        <v>22</v>
      </c>
      <c r="AE35" s="229">
        <f>SUM(AE36:AE37)</f>
        <v>0</v>
      </c>
      <c r="AF35" s="14" t="s">
        <v>23</v>
      </c>
      <c r="AG35" s="14">
        <f>SUM(AE37:AE38)</f>
        <v>0</v>
      </c>
      <c r="AH35" s="14"/>
      <c r="AM35" s="159" t="s">
        <v>317</v>
      </c>
      <c r="AN35" s="81" t="s">
        <v>318</v>
      </c>
      <c r="AO35" s="81" t="s">
        <v>348</v>
      </c>
      <c r="AP35" s="81">
        <f>AP28*0.2+0.8</f>
        <v>0.80601702047197987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6"/>
        <v>0.80601702047197987</v>
      </c>
      <c r="BA35" s="168" t="s">
        <v>320</v>
      </c>
      <c r="BC35" s="81"/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41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42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13000000</v>
      </c>
      <c r="CS35" s="254">
        <v>195000</v>
      </c>
      <c r="CT35" s="253">
        <v>66.58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9"/>
        <v>161</v>
      </c>
      <c r="DB35" s="255" t="s">
        <v>320</v>
      </c>
      <c r="DD35" s="170" t="s">
        <v>460</v>
      </c>
      <c r="DE35" s="292" t="s">
        <v>336</v>
      </c>
      <c r="DF35" s="289" t="s">
        <v>321</v>
      </c>
      <c r="DG35" s="296">
        <f>$AP22</f>
        <v>182.72074613503855</v>
      </c>
      <c r="DH35" s="170" t="s">
        <v>320</v>
      </c>
      <c r="DJ35" s="297" t="s">
        <v>429</v>
      </c>
      <c r="DK35" s="297" t="s">
        <v>299</v>
      </c>
      <c r="DL35" s="301">
        <v>10700000</v>
      </c>
      <c r="DM35" s="301">
        <v>285000</v>
      </c>
      <c r="DN35" s="297">
        <v>37.57</v>
      </c>
      <c r="DO35" s="297" t="s">
        <v>387</v>
      </c>
      <c r="DP35" s="301">
        <v>2E-16</v>
      </c>
      <c r="DQ35" s="297" t="s">
        <v>388</v>
      </c>
      <c r="DR35" s="298" t="s">
        <v>460</v>
      </c>
      <c r="DS35" s="304" t="s">
        <v>336</v>
      </c>
      <c r="DT35" s="299" t="s">
        <v>321</v>
      </c>
      <c r="DU35" s="300">
        <f t="shared" si="40"/>
        <v>137</v>
      </c>
      <c r="DV35" s="298" t="s">
        <v>320</v>
      </c>
    </row>
    <row r="36" spans="1:126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08" t="s">
        <v>119</v>
      </c>
      <c r="F36" s="308"/>
      <c r="G36" s="76">
        <f>B17</f>
        <v>0</v>
      </c>
      <c r="L36"/>
      <c r="M36"/>
      <c r="N36" t="s">
        <v>117</v>
      </c>
      <c r="O36" s="3">
        <f>SUM(R10:R13,R21:R24)</f>
        <v>153</v>
      </c>
      <c r="Q36"/>
      <c r="R36"/>
      <c r="X36" s="205"/>
      <c r="Y36" s="206" t="s">
        <v>16</v>
      </c>
      <c r="Z36" s="206">
        <v>5.8</v>
      </c>
      <c r="AA36" s="206" t="s">
        <v>5</v>
      </c>
      <c r="AB36" s="206"/>
      <c r="AC36" s="206"/>
      <c r="AD36" s="206">
        <v>2.6</v>
      </c>
      <c r="AE36" s="238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C36" s="81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t="s">
        <v>350</v>
      </c>
      <c r="CK36" s="252">
        <f t="shared" si="0"/>
        <v>508.68022006324281</v>
      </c>
      <c r="CL36" s="252">
        <f t="shared" si="14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11200000</v>
      </c>
      <c r="CS36" s="254">
        <v>111000</v>
      </c>
      <c r="CT36" s="253">
        <v>100.85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215</v>
      </c>
      <c r="DB36" s="255" t="s">
        <v>320</v>
      </c>
      <c r="DD36" s="170" t="s">
        <v>460</v>
      </c>
      <c r="DE36" s="294" t="s">
        <v>338</v>
      </c>
      <c r="DF36" s="289" t="s">
        <v>321</v>
      </c>
      <c r="DG36" s="170">
        <f>$AP24</f>
        <v>80.206451612903237</v>
      </c>
      <c r="DH36" s="170" t="s">
        <v>320</v>
      </c>
      <c r="DJ36" s="297" t="s">
        <v>429</v>
      </c>
      <c r="DK36" s="297" t="s">
        <v>301</v>
      </c>
      <c r="DL36" s="301">
        <v>11100000</v>
      </c>
      <c r="DM36" s="301">
        <v>178000</v>
      </c>
      <c r="DN36" s="297">
        <v>62.49</v>
      </c>
      <c r="DO36" s="297" t="s">
        <v>387</v>
      </c>
      <c r="DP36" s="301">
        <v>2E-16</v>
      </c>
      <c r="DQ36" s="297" t="s">
        <v>388</v>
      </c>
      <c r="DR36" s="298" t="s">
        <v>460</v>
      </c>
      <c r="DS36" s="305" t="s">
        <v>338</v>
      </c>
      <c r="DT36" s="299" t="s">
        <v>321</v>
      </c>
      <c r="DU36" s="300">
        <f>DL59</f>
        <v>620</v>
      </c>
      <c r="DV36" s="298" t="s">
        <v>320</v>
      </c>
    </row>
    <row r="37" spans="1:126" ht="15" customHeight="1" thickTop="1" thickBot="1" x14ac:dyDescent="0.3">
      <c r="L37"/>
      <c r="M37"/>
      <c r="N37" t="s">
        <v>120</v>
      </c>
      <c r="O37" s="3">
        <f>'Verwarming Tabula'!B60</f>
        <v>138.03320000000002</v>
      </c>
      <c r="Q37"/>
      <c r="R37"/>
      <c r="X37" s="199"/>
      <c r="Y37" s="181" t="s">
        <v>121</v>
      </c>
      <c r="Z37" s="181">
        <v>0.87</v>
      </c>
      <c r="AA37" s="181"/>
      <c r="AB37" s="181"/>
      <c r="AC37" s="181"/>
      <c r="AD37" s="181">
        <v>0.25</v>
      </c>
      <c r="AE37" s="204"/>
      <c r="AF37" s="149" t="s">
        <v>277</v>
      </c>
      <c r="AG37" s="14"/>
      <c r="AH37" s="14"/>
      <c r="AM37" s="159" t="s">
        <v>317</v>
      </c>
      <c r="AN37" s="81" t="s">
        <v>318</v>
      </c>
      <c r="AO37" s="81" t="s">
        <v>350</v>
      </c>
      <c r="AP37" s="81">
        <f>SUM(O17:O20)*(1/(SUM(AD18:AD19)+1/8))+O25*(1/(SUM(AD9:AD10)+1/8))</f>
        <v>508.68022006324281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508.68022006324281</v>
      </c>
      <c r="BA37" s="168" t="s">
        <v>320</v>
      </c>
      <c r="BC37" s="81"/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t="s">
        <v>352</v>
      </c>
      <c r="CK37" s="252">
        <f t="shared" si="0"/>
        <v>390.50337262405009</v>
      </c>
      <c r="CL37" s="252">
        <f t="shared" si="14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-23.9</v>
      </c>
      <c r="CS37" s="254">
        <v>33.5</v>
      </c>
      <c r="CT37" s="253">
        <v>-0.71</v>
      </c>
      <c r="CU37" s="253">
        <v>0.47699999999999998</v>
      </c>
      <c r="CV37" s="254"/>
      <c r="CW37" s="81"/>
      <c r="CX37" s="255" t="s">
        <v>460</v>
      </c>
      <c r="CY37" s="261" t="s">
        <v>337</v>
      </c>
      <c r="CZ37" s="256" t="s">
        <v>321</v>
      </c>
      <c r="DA37" s="257">
        <f>1/CR56</f>
        <v>212.31422505307856</v>
      </c>
      <c r="DB37" s="255" t="s">
        <v>320</v>
      </c>
      <c r="DD37" s="170" t="s">
        <v>460</v>
      </c>
      <c r="DE37" s="294" t="s">
        <v>337</v>
      </c>
      <c r="DF37" s="289" t="s">
        <v>321</v>
      </c>
      <c r="DG37" s="170">
        <f>$AP23</f>
        <v>251.18204112945287</v>
      </c>
      <c r="DH37" s="170" t="s">
        <v>320</v>
      </c>
      <c r="DJ37" s="297" t="s">
        <v>429</v>
      </c>
      <c r="DK37" s="297" t="s">
        <v>399</v>
      </c>
      <c r="DL37" s="301">
        <v>-4.07</v>
      </c>
      <c r="DM37" s="301">
        <v>5.9900000000000002E-2</v>
      </c>
      <c r="DN37" s="297">
        <v>-67.83</v>
      </c>
      <c r="DO37" s="297" t="s">
        <v>387</v>
      </c>
      <c r="DP37" s="301">
        <v>2E-16</v>
      </c>
      <c r="DQ37" s="297" t="s">
        <v>388</v>
      </c>
      <c r="DR37" s="298" t="s">
        <v>460</v>
      </c>
      <c r="DS37" s="305" t="s">
        <v>337</v>
      </c>
      <c r="DT37" s="299" t="s">
        <v>321</v>
      </c>
      <c r="DU37" s="300">
        <f>1/DL56</f>
        <v>209.20502092050208</v>
      </c>
      <c r="DV37" s="298" t="s">
        <v>320</v>
      </c>
    </row>
    <row r="38" spans="1:126" ht="15" customHeight="1" thickTop="1" thickBot="1" x14ac:dyDescent="0.3">
      <c r="B38" s="3"/>
      <c r="L38"/>
      <c r="M38"/>
      <c r="N38"/>
      <c r="O38" s="3"/>
      <c r="Q38"/>
      <c r="R38"/>
      <c r="X38" s="223"/>
      <c r="Y38" s="223"/>
      <c r="Z38" s="223"/>
      <c r="AA38" s="223"/>
      <c r="AB38" s="223"/>
      <c r="AC38" s="223"/>
      <c r="AD38" s="223"/>
      <c r="AE38" s="223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2*AA21*O28+R31</f>
        <v>390.50337262405009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43">AP38</f>
        <v>390.50337262405009</v>
      </c>
      <c r="BA38" s="168" t="s">
        <v>320</v>
      </c>
      <c r="BC38" s="81"/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44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45">BU70</f>
        <v>191</v>
      </c>
      <c r="CF38" s="174" t="s">
        <v>320</v>
      </c>
      <c r="CJ38" t="s">
        <v>353</v>
      </c>
      <c r="CK38" s="252">
        <f t="shared" si="0"/>
        <v>134.68518463795371</v>
      </c>
      <c r="CL38" s="252">
        <f t="shared" si="14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-22.8</v>
      </c>
      <c r="CS38" s="254">
        <v>39.700000000000003</v>
      </c>
      <c r="CT38" s="253">
        <v>-0.56999999999999995</v>
      </c>
      <c r="CU38" s="253">
        <v>0.56599999999999995</v>
      </c>
      <c r="CW38" s="81"/>
      <c r="CX38" s="255" t="s">
        <v>460</v>
      </c>
      <c r="CY38" s="258" t="s">
        <v>329</v>
      </c>
      <c r="CZ38" s="256" t="s">
        <v>321</v>
      </c>
      <c r="DA38" s="257">
        <f>CR42</f>
        <v>5.5100000000000003E-2</v>
      </c>
      <c r="DB38" s="255" t="s">
        <v>320</v>
      </c>
      <c r="DD38" s="170" t="s">
        <v>460</v>
      </c>
      <c r="DE38" s="290" t="s">
        <v>329</v>
      </c>
      <c r="DF38" s="289" t="s">
        <v>321</v>
      </c>
      <c r="DG38" s="170">
        <f>$AP14</f>
        <v>3.0659735003692859E-2</v>
      </c>
      <c r="DH38" s="170" t="s">
        <v>320</v>
      </c>
      <c r="DJ38" s="297" t="s">
        <v>429</v>
      </c>
      <c r="DK38" s="297" t="s">
        <v>400</v>
      </c>
      <c r="DL38" s="301">
        <v>-12.6</v>
      </c>
      <c r="DM38" s="301">
        <v>12</v>
      </c>
      <c r="DN38" s="297">
        <v>-1.05</v>
      </c>
      <c r="DO38" s="297">
        <v>0.29380000000000001</v>
      </c>
      <c r="DR38" s="298" t="s">
        <v>460</v>
      </c>
      <c r="DS38" s="302" t="s">
        <v>329</v>
      </c>
      <c r="DT38" s="299" t="s">
        <v>321</v>
      </c>
      <c r="DU38" s="300">
        <f>DL42</f>
        <v>5.5899999999999998E-2</v>
      </c>
      <c r="DV38" s="298" t="s">
        <v>320</v>
      </c>
    </row>
    <row r="39" spans="1:126" ht="15" customHeight="1" thickTop="1" thickBot="1" x14ac:dyDescent="0.3">
      <c r="L39"/>
      <c r="M39"/>
      <c r="N39" t="s">
        <v>122</v>
      </c>
      <c r="O39" s="3">
        <f>B4*1.204*1012*5/1000000</f>
        <v>3.2392440080000005</v>
      </c>
      <c r="P39" t="s">
        <v>123</v>
      </c>
      <c r="R39"/>
      <c r="X39" s="223"/>
      <c r="Y39" s="223"/>
      <c r="Z39" s="224" t="s">
        <v>4</v>
      </c>
      <c r="AA39" s="224">
        <v>0.85</v>
      </c>
      <c r="AB39" s="224" t="s">
        <v>5</v>
      </c>
      <c r="AC39" s="223"/>
      <c r="AD39" s="223"/>
      <c r="AE39" s="223"/>
      <c r="AF39" s="14"/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2zone'!B139+SUM(R21:R24)</f>
        <v>134.68518463795371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43"/>
        <v>134.68518463795371</v>
      </c>
      <c r="BA39" s="168" t="s">
        <v>320</v>
      </c>
      <c r="BC39" s="81"/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44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45"/>
        <v>2.0199999999999999E-19</v>
      </c>
      <c r="CF39" s="174" t="s">
        <v>320</v>
      </c>
      <c r="CJ39" t="s">
        <v>355</v>
      </c>
      <c r="CK39" s="252">
        <f t="shared" si="0"/>
        <v>759.17813097137525</v>
      </c>
      <c r="CL39" s="252">
        <f t="shared" si="14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-13.6</v>
      </c>
      <c r="CS39" s="254">
        <v>46.6</v>
      </c>
      <c r="CT39" s="253">
        <v>-0.28999999999999998</v>
      </c>
      <c r="CU39" s="253">
        <v>0.77100000000000002</v>
      </c>
      <c r="CV39" s="254"/>
      <c r="CW39" s="81"/>
      <c r="CX39" s="255" t="s">
        <v>460</v>
      </c>
      <c r="CY39" s="259" t="s">
        <v>330</v>
      </c>
      <c r="CZ39" s="256" t="s">
        <v>321</v>
      </c>
      <c r="DA39" s="257">
        <f t="shared" ref="DA39:DA42" si="46">CR43</f>
        <v>0.121</v>
      </c>
      <c r="DB39" s="255" t="s">
        <v>320</v>
      </c>
      <c r="DD39" s="170" t="s">
        <v>460</v>
      </c>
      <c r="DE39" s="291" t="s">
        <v>330</v>
      </c>
      <c r="DF39" s="289" t="s">
        <v>321</v>
      </c>
      <c r="DG39" s="170">
        <f>$AP15</f>
        <v>7.711075834051026E-2</v>
      </c>
      <c r="DH39" s="170" t="s">
        <v>320</v>
      </c>
      <c r="DJ39" s="297" t="s">
        <v>429</v>
      </c>
      <c r="DK39" s="297" t="s">
        <v>401</v>
      </c>
      <c r="DL39" s="301">
        <v>-11.7</v>
      </c>
      <c r="DM39" s="301">
        <v>10.4</v>
      </c>
      <c r="DN39" s="297">
        <v>-1.1299999999999999</v>
      </c>
      <c r="DO39" s="297">
        <v>0.25979999999999998</v>
      </c>
      <c r="DP39" s="301"/>
      <c r="DR39" s="298" t="s">
        <v>460</v>
      </c>
      <c r="DS39" s="303" t="s">
        <v>330</v>
      </c>
      <c r="DT39" s="299" t="s">
        <v>321</v>
      </c>
      <c r="DU39" s="300">
        <f t="shared" ref="DU39:DU42" si="47">DL43</f>
        <v>0.11700000000000001</v>
      </c>
      <c r="DV39" s="298" t="s">
        <v>320</v>
      </c>
    </row>
    <row r="40" spans="1:126" ht="15" customHeight="1" thickTop="1" thickBot="1" x14ac:dyDescent="0.3">
      <c r="A40" t="s">
        <v>278</v>
      </c>
      <c r="L40"/>
      <c r="M40"/>
      <c r="N40" t="s">
        <v>124</v>
      </c>
      <c r="O40" s="3">
        <f>SUM(S6:S9,S15)/1000000</f>
        <v>25.808895534229581</v>
      </c>
      <c r="P40" t="s">
        <v>125</v>
      </c>
      <c r="Q40" s="3">
        <f>SUM(U6:U9,U15)/1000000</f>
        <v>14.219713973112725</v>
      </c>
      <c r="R40"/>
      <c r="X40" s="225" t="s">
        <v>63</v>
      </c>
      <c r="Y40" s="226"/>
      <c r="Z40" s="227" t="s">
        <v>21</v>
      </c>
      <c r="AA40" s="228">
        <f>1/(1/10+SUM(AD42:AD46))</f>
        <v>2.8187919463087252</v>
      </c>
      <c r="AB40" s="226" t="s">
        <v>5</v>
      </c>
      <c r="AC40" s="226"/>
      <c r="AD40" s="226" t="s">
        <v>22</v>
      </c>
      <c r="AE40" s="229">
        <f>SUM(AE42:AE46)</f>
        <v>375560</v>
      </c>
      <c r="AF40" s="14" t="s">
        <v>23</v>
      </c>
      <c r="AG40" s="14">
        <f>SUM(AE42:AE43)</f>
        <v>110960</v>
      </c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SUM(O17:O20)*1/(SUM(AD15:AD17)+1/23)+O25*1/(SUM(AD7:AD8)+1/23)</f>
        <v>759.17813097137525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43"/>
        <v>759.17813097137525</v>
      </c>
      <c r="BA40" s="168" t="s">
        <v>320</v>
      </c>
      <c r="BC40" s="81"/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-16.5</v>
      </c>
      <c r="CS40" s="254">
        <v>33.299999999999997</v>
      </c>
      <c r="CT40" s="253">
        <v>-0.49</v>
      </c>
      <c r="CU40" s="253">
        <v>0.621</v>
      </c>
      <c r="CW40" s="81"/>
      <c r="CX40" s="255" t="s">
        <v>460</v>
      </c>
      <c r="CY40" s="259" t="s">
        <v>331</v>
      </c>
      <c r="CZ40" s="256" t="s">
        <v>321</v>
      </c>
      <c r="DA40" s="257">
        <f t="shared" si="46"/>
        <v>0.73399999999999999</v>
      </c>
      <c r="DB40" s="255" t="s">
        <v>320</v>
      </c>
      <c r="DD40" s="170" t="s">
        <v>460</v>
      </c>
      <c r="DE40" s="291" t="s">
        <v>331</v>
      </c>
      <c r="DF40" s="289" t="s">
        <v>321</v>
      </c>
      <c r="DG40" s="170">
        <f>$AP16</f>
        <v>0.80676143484347729</v>
      </c>
      <c r="DH40" s="170" t="s">
        <v>320</v>
      </c>
      <c r="DJ40" s="297" t="s">
        <v>429</v>
      </c>
      <c r="DK40" s="297" t="s">
        <v>402</v>
      </c>
      <c r="DL40" s="301">
        <v>-12.3</v>
      </c>
      <c r="DM40" s="301">
        <v>11.5</v>
      </c>
      <c r="DN40" s="297">
        <v>-1.07</v>
      </c>
      <c r="DO40" s="297">
        <v>0.28549999999999998</v>
      </c>
      <c r="DR40" s="298" t="s">
        <v>460</v>
      </c>
      <c r="DS40" s="303" t="s">
        <v>331</v>
      </c>
      <c r="DT40" s="299" t="s">
        <v>321</v>
      </c>
      <c r="DU40" s="300">
        <f t="shared" si="47"/>
        <v>0.64600000000000002</v>
      </c>
      <c r="DV40" s="298" t="s">
        <v>320</v>
      </c>
    </row>
    <row r="41" spans="1:126" ht="15" customHeight="1" thickTop="1" thickBot="1" x14ac:dyDescent="0.3">
      <c r="A41" s="150" t="s">
        <v>279</v>
      </c>
      <c r="L41"/>
      <c r="M41"/>
      <c r="N41" t="s">
        <v>126</v>
      </c>
      <c r="O41" s="3">
        <f>SUM(S26:S27)/1000000</f>
        <v>62.390675478800418</v>
      </c>
      <c r="P41" t="s">
        <v>125</v>
      </c>
      <c r="Q41" s="3">
        <f>SUM(U26:U27)/1000000</f>
        <v>62.390675478800418</v>
      </c>
      <c r="R41"/>
      <c r="X41" s="230"/>
      <c r="Y41" s="231" t="s">
        <v>27</v>
      </c>
      <c r="Z41" s="231" t="s">
        <v>28</v>
      </c>
      <c r="AA41" s="231" t="s">
        <v>29</v>
      </c>
      <c r="AB41" s="231" t="s">
        <v>30</v>
      </c>
      <c r="AC41" s="231" t="s">
        <v>31</v>
      </c>
      <c r="AD41" s="231" t="s">
        <v>32</v>
      </c>
      <c r="AE41" s="232" t="s">
        <v>33</v>
      </c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C41" s="81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t="s">
        <v>356</v>
      </c>
      <c r="CK41" s="249">
        <f t="shared" si="0"/>
        <v>0.23112617144696587</v>
      </c>
      <c r="CL41" s="249">
        <f t="shared" si="14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-24.8</v>
      </c>
      <c r="CS41" s="254">
        <v>48.3</v>
      </c>
      <c r="CT41" s="253">
        <v>-0.51</v>
      </c>
      <c r="CU41" s="253">
        <v>0.60699999999999998</v>
      </c>
      <c r="CW41" s="81"/>
      <c r="CX41" s="255" t="s">
        <v>460</v>
      </c>
      <c r="CY41" s="256" t="s">
        <v>332</v>
      </c>
      <c r="CZ41" s="256" t="s">
        <v>321</v>
      </c>
      <c r="DA41" s="257">
        <f t="shared" si="46"/>
        <v>7.9799999999999996E-2</v>
      </c>
      <c r="DB41" s="255" t="s">
        <v>320</v>
      </c>
      <c r="DD41" s="170" t="s">
        <v>460</v>
      </c>
      <c r="DE41" s="289" t="s">
        <v>332</v>
      </c>
      <c r="DF41" s="289" t="s">
        <v>321</v>
      </c>
      <c r="DG41" s="170">
        <f>$AP17</f>
        <v>3.9242837522926531E-2</v>
      </c>
      <c r="DH41" s="170" t="s">
        <v>320</v>
      </c>
      <c r="DJ41" s="297" t="s">
        <v>429</v>
      </c>
      <c r="DK41" s="297" t="s">
        <v>403</v>
      </c>
      <c r="DL41" s="301">
        <v>-12.3</v>
      </c>
      <c r="DM41" s="301">
        <v>8.65</v>
      </c>
      <c r="DN41" s="297">
        <v>-1.42</v>
      </c>
      <c r="DO41" s="297">
        <v>0.1547</v>
      </c>
      <c r="DR41" s="298" t="s">
        <v>460</v>
      </c>
      <c r="DS41" s="299" t="s">
        <v>332</v>
      </c>
      <c r="DT41" s="299" t="s">
        <v>321</v>
      </c>
      <c r="DU41" s="300">
        <f t="shared" si="47"/>
        <v>8.2699999999999996E-2</v>
      </c>
      <c r="DV41" s="298" t="s">
        <v>320</v>
      </c>
    </row>
    <row r="42" spans="1:126" ht="15" customHeight="1" thickTop="1" thickBot="1" x14ac:dyDescent="0.3">
      <c r="A42" t="s">
        <v>280</v>
      </c>
      <c r="C42">
        <f>0.55</f>
        <v>0.55000000000000004</v>
      </c>
      <c r="L42"/>
      <c r="M42"/>
      <c r="N42" t="s">
        <v>127</v>
      </c>
      <c r="O42" s="3">
        <f>S14/1000000</f>
        <v>33.349728000000006</v>
      </c>
      <c r="Q42" s="3">
        <f>U14/1000000</f>
        <v>9.8532480000000024</v>
      </c>
      <c r="R42"/>
      <c r="X42" s="205"/>
      <c r="Y42" s="206" t="s">
        <v>128</v>
      </c>
      <c r="Z42" s="206">
        <v>0.02</v>
      </c>
      <c r="AA42" s="206">
        <v>1.4</v>
      </c>
      <c r="AB42" s="206">
        <v>2100</v>
      </c>
      <c r="AC42" s="206">
        <v>840</v>
      </c>
      <c r="AD42" s="236">
        <f>Z42/AA42</f>
        <v>1.4285714285714287E-2</v>
      </c>
      <c r="AE42" s="237">
        <f>Z42*AB42*AC42</f>
        <v>35280</v>
      </c>
      <c r="AF42" s="14" t="s">
        <v>104</v>
      </c>
      <c r="AG42" s="14"/>
      <c r="AH42" s="14"/>
      <c r="AM42" s="159" t="s">
        <v>317</v>
      </c>
      <c r="AN42" s="81" t="s">
        <v>318</v>
      </c>
      <c r="AO42" s="81" t="s">
        <v>356</v>
      </c>
      <c r="AP42" s="81">
        <f>SUM(O26)/SUM($O$6:$O$14,$O$26,2*$O$27,O30)</f>
        <v>0.23112617144696587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0.23112617144696587</v>
      </c>
      <c r="BA42" s="168" t="s">
        <v>320</v>
      </c>
      <c r="BC42" s="81"/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BY42" s="81"/>
      <c r="BZ42" s="81"/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t="s">
        <v>358</v>
      </c>
      <c r="CK42" s="249">
        <f t="shared" si="0"/>
        <v>0.20567985012061626</v>
      </c>
      <c r="CL42" s="249">
        <f t="shared" si="14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5.5100000000000003E-2</v>
      </c>
      <c r="CS42" s="254">
        <v>2.1000000000000001E-4</v>
      </c>
      <c r="CT42" s="253">
        <v>262.08999999999997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6"/>
        <v>2.1299999999999999E-2</v>
      </c>
      <c r="DB42" s="255" t="s">
        <v>320</v>
      </c>
      <c r="DD42" s="170" t="s">
        <v>460</v>
      </c>
      <c r="DE42" s="289" t="s">
        <v>434</v>
      </c>
      <c r="DF42" s="289" t="s">
        <v>321</v>
      </c>
      <c r="DG42" s="170">
        <f>$AP46</f>
        <v>4.622523428939318E-2</v>
      </c>
      <c r="DH42" s="170" t="s">
        <v>320</v>
      </c>
      <c r="DJ42" s="297" t="s">
        <v>429</v>
      </c>
      <c r="DK42" s="297" t="s">
        <v>404</v>
      </c>
      <c r="DL42" s="301">
        <v>5.5899999999999998E-2</v>
      </c>
      <c r="DM42" s="301">
        <v>6.4999999999999997E-4</v>
      </c>
      <c r="DN42" s="297">
        <v>86.08</v>
      </c>
      <c r="DO42" s="297" t="s">
        <v>387</v>
      </c>
      <c r="DP42" s="301">
        <v>2E-16</v>
      </c>
      <c r="DQ42" s="297" t="s">
        <v>388</v>
      </c>
      <c r="DR42" s="298" t="s">
        <v>460</v>
      </c>
      <c r="DS42" s="299" t="s">
        <v>434</v>
      </c>
      <c r="DT42" s="299" t="s">
        <v>321</v>
      </c>
      <c r="DU42" s="300">
        <f t="shared" si="47"/>
        <v>3.2599999999999997E-2</v>
      </c>
      <c r="DV42" s="298" t="s">
        <v>320</v>
      </c>
    </row>
    <row r="43" spans="1:126" ht="15" customHeight="1" thickTop="1" thickBot="1" x14ac:dyDescent="0.3">
      <c r="A43" t="s">
        <v>281</v>
      </c>
      <c r="C43">
        <f>B7/B6</f>
        <v>0.45915201654601867</v>
      </c>
      <c r="D43" t="s">
        <v>282</v>
      </c>
      <c r="L43"/>
      <c r="M43"/>
      <c r="N43"/>
      <c r="Q43"/>
      <c r="R43"/>
      <c r="X43" s="182"/>
      <c r="Y43" s="183" t="s">
        <v>129</v>
      </c>
      <c r="Z43" s="183">
        <v>0.08</v>
      </c>
      <c r="AA43" s="183">
        <v>0.6</v>
      </c>
      <c r="AB43" s="183">
        <v>1100</v>
      </c>
      <c r="AC43" s="183">
        <v>860</v>
      </c>
      <c r="AD43" s="233">
        <f>Z43/AA43</f>
        <v>0.13333333333333333</v>
      </c>
      <c r="AE43" s="184">
        <f>Z43*AB43*AC43</f>
        <v>75680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SUM(O26)/SUM(O$17:O$25,2*O$28,O$26,O$31)</f>
        <v>0.20567985012061626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8">AP43</f>
        <v>0.20567985012061626</v>
      </c>
      <c r="BA43" s="168" t="s">
        <v>320</v>
      </c>
      <c r="BC43" s="81"/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BY43" s="81"/>
      <c r="BZ43" s="81"/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t="s">
        <v>360</v>
      </c>
      <c r="CK43" s="251">
        <f t="shared" si="0"/>
        <v>24347742</v>
      </c>
      <c r="CL43" s="251">
        <f t="shared" si="14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0.121</v>
      </c>
      <c r="CS43" s="254">
        <v>5.1599999999999997E-4</v>
      </c>
      <c r="CT43" s="253">
        <v>234.73</v>
      </c>
      <c r="CU43" s="253" t="s">
        <v>387</v>
      </c>
      <c r="CV43" s="254">
        <v>2E-16</v>
      </c>
      <c r="CW43" s="81" t="s">
        <v>388</v>
      </c>
      <c r="CZ43" s="256"/>
      <c r="DF43" s="289"/>
      <c r="DJ43" s="297" t="s">
        <v>429</v>
      </c>
      <c r="DK43" s="297" t="s">
        <v>405</v>
      </c>
      <c r="DL43" s="301">
        <v>0.11700000000000001</v>
      </c>
      <c r="DM43" s="301">
        <v>1.1299999999999999E-3</v>
      </c>
      <c r="DN43" s="297">
        <v>103.32</v>
      </c>
      <c r="DO43" s="297" t="s">
        <v>387</v>
      </c>
      <c r="DP43" s="301">
        <v>2E-16</v>
      </c>
      <c r="DQ43" s="297" t="s">
        <v>388</v>
      </c>
      <c r="DT43" s="299"/>
    </row>
    <row r="44" spans="1:126" ht="15" customHeight="1" thickTop="1" thickBot="1" x14ac:dyDescent="0.3">
      <c r="A44" t="s">
        <v>285</v>
      </c>
      <c r="C44">
        <v>0.7</v>
      </c>
      <c r="E44" s="79"/>
      <c r="L44"/>
      <c r="M44"/>
      <c r="N44"/>
      <c r="Q44"/>
      <c r="R44"/>
      <c r="X44" s="182"/>
      <c r="Y44" s="183" t="s">
        <v>283</v>
      </c>
      <c r="Z44" s="183">
        <v>0</v>
      </c>
      <c r="AA44" s="183">
        <v>3.5999999999999997E-2</v>
      </c>
      <c r="AB44" s="183">
        <v>30</v>
      </c>
      <c r="AC44" s="183">
        <v>1470</v>
      </c>
      <c r="AD44" s="233">
        <f>Z44/AA44</f>
        <v>0</v>
      </c>
      <c r="AE44" s="184">
        <f>Z44*AB44*AC44</f>
        <v>0</v>
      </c>
      <c r="AF44" s="149" t="s">
        <v>284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24347742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8"/>
        <v>24347742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t="s">
        <v>362</v>
      </c>
      <c r="CK44" s="251">
        <f t="shared" si="0"/>
        <v>24347742</v>
      </c>
      <c r="CL44" s="251">
        <f t="shared" si="14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0.73399999999999999</v>
      </c>
      <c r="CS44" s="254">
        <v>1.72E-3</v>
      </c>
      <c r="CT44" s="253">
        <v>426.6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3.4499999999999998E-8</v>
      </c>
      <c r="DB44" s="255" t="s">
        <v>320</v>
      </c>
      <c r="DD44" s="170" t="s">
        <v>460</v>
      </c>
      <c r="DE44" s="294" t="s">
        <v>482</v>
      </c>
      <c r="DF44" s="289" t="s">
        <v>321</v>
      </c>
      <c r="DG44" s="170">
        <f>$O$11*$Z$37*$AP$26</f>
        <v>1.1434390283234501</v>
      </c>
      <c r="DH44" s="170" t="s">
        <v>320</v>
      </c>
      <c r="DJ44" s="297" t="s">
        <v>429</v>
      </c>
      <c r="DK44" s="297" t="s">
        <v>406</v>
      </c>
      <c r="DL44" s="301">
        <v>0.64600000000000002</v>
      </c>
      <c r="DM44" s="301">
        <v>5.4000000000000003E-3</v>
      </c>
      <c r="DN44" s="297">
        <v>119.57</v>
      </c>
      <c r="DO44" s="297" t="s">
        <v>387</v>
      </c>
      <c r="DP44" s="301">
        <v>2E-16</v>
      </c>
      <c r="DQ44" s="297" t="s">
        <v>388</v>
      </c>
      <c r="DR44" s="298" t="s">
        <v>460</v>
      </c>
      <c r="DS44" s="305" t="s">
        <v>482</v>
      </c>
      <c r="DT44" s="299" t="s">
        <v>321</v>
      </c>
      <c r="DU44" s="300">
        <f>DL69</f>
        <v>4.6499999999999999E-7</v>
      </c>
      <c r="DV44" s="298" t="s">
        <v>320</v>
      </c>
    </row>
    <row r="45" spans="1:126" ht="15" customHeight="1" thickTop="1" thickBot="1" x14ac:dyDescent="0.3">
      <c r="A45" t="s">
        <v>286</v>
      </c>
      <c r="C45">
        <v>0.5</v>
      </c>
      <c r="E45" s="79"/>
      <c r="L45"/>
      <c r="M45"/>
      <c r="N45"/>
      <c r="Q45"/>
      <c r="R45"/>
      <c r="X45" s="182"/>
      <c r="Y45" s="183" t="s">
        <v>131</v>
      </c>
      <c r="Z45" s="183">
        <v>0.15</v>
      </c>
      <c r="AA45" s="183">
        <v>1.4</v>
      </c>
      <c r="AB45" s="183">
        <v>2100</v>
      </c>
      <c r="AC45" s="183">
        <v>840</v>
      </c>
      <c r="AD45" s="233">
        <f>Z45/AA45</f>
        <v>0.10714285714285715</v>
      </c>
      <c r="AE45" s="184">
        <f>Z45*AB45*AC45</f>
        <v>264600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24347742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8"/>
        <v>24347742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t="s">
        <v>364</v>
      </c>
      <c r="CK45" s="249">
        <f t="shared" si="0"/>
        <v>4.622523428939318E-2</v>
      </c>
      <c r="CL45" s="249">
        <f t="shared" si="14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7.9799999999999996E-2</v>
      </c>
      <c r="CS45" s="254">
        <v>2.7999999999999998E-4</v>
      </c>
      <c r="CT45" s="253">
        <v>285.11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9">CR70</f>
        <v>7.0300000000000001E-8</v>
      </c>
      <c r="DB45" s="255" t="s">
        <v>320</v>
      </c>
      <c r="DD45" s="170" t="s">
        <v>460</v>
      </c>
      <c r="DE45" s="294" t="s">
        <v>483</v>
      </c>
      <c r="DF45" s="289" t="s">
        <v>321</v>
      </c>
      <c r="DG45" s="170">
        <f>$O$10*$Z$37*$AP$26</f>
        <v>1.1591025766566481</v>
      </c>
      <c r="DH45" s="170" t="s">
        <v>320</v>
      </c>
      <c r="DJ45" s="297" t="s">
        <v>429</v>
      </c>
      <c r="DK45" s="297" t="s">
        <v>407</v>
      </c>
      <c r="DL45" s="301">
        <v>8.2699999999999996E-2</v>
      </c>
      <c r="DM45" s="301">
        <v>8.4800000000000001E-4</v>
      </c>
      <c r="DN45" s="297">
        <v>97.48</v>
      </c>
      <c r="DO45" s="297" t="s">
        <v>387</v>
      </c>
      <c r="DP45" s="301">
        <v>2E-16</v>
      </c>
      <c r="DQ45" s="297" t="s">
        <v>388</v>
      </c>
      <c r="DR45" s="298" t="s">
        <v>460</v>
      </c>
      <c r="DS45" s="305" t="s">
        <v>483</v>
      </c>
      <c r="DT45" s="299" t="s">
        <v>321</v>
      </c>
      <c r="DU45" s="300">
        <f t="shared" ref="DU45:DU59" si="50">DL70</f>
        <v>7.5099999999999999E-7</v>
      </c>
      <c r="DV45" s="298" t="s">
        <v>320</v>
      </c>
    </row>
    <row r="46" spans="1:126" ht="15" customHeight="1" thickTop="1" thickBot="1" x14ac:dyDescent="0.3">
      <c r="L46"/>
      <c r="M46"/>
      <c r="N46"/>
      <c r="Q46"/>
      <c r="R46"/>
      <c r="X46" s="199"/>
      <c r="Y46" s="181" t="s">
        <v>132</v>
      </c>
      <c r="Z46" s="181">
        <v>0</v>
      </c>
      <c r="AA46" s="181">
        <v>0.02</v>
      </c>
      <c r="AB46" s="181">
        <v>30</v>
      </c>
      <c r="AC46" s="181">
        <v>1470</v>
      </c>
      <c r="AD46" s="234">
        <f>Z46/AA46</f>
        <v>0</v>
      </c>
      <c r="AE46" s="204">
        <f>Z46*AB46*AC46</f>
        <v>0</v>
      </c>
      <c r="AF46" s="14"/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AP42*0.2</f>
        <v>4.622523428939318E-2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8"/>
        <v>4.622523428939318E-2</v>
      </c>
      <c r="BA46" s="168" t="s">
        <v>320</v>
      </c>
      <c r="BC46" s="81"/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BV46" s="81"/>
      <c r="BW46" s="81"/>
      <c r="BX46" s="81"/>
      <c r="BY46" s="81"/>
      <c r="BZ46" s="81"/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t="s">
        <v>366</v>
      </c>
      <c r="CK46" s="249">
        <f t="shared" si="0"/>
        <v>4.1135970024123253E-2</v>
      </c>
      <c r="CL46" s="249">
        <f t="shared" si="14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2.1299999999999999E-2</v>
      </c>
      <c r="CS46" s="254">
        <v>1.44E-4</v>
      </c>
      <c r="CT46" s="253">
        <v>147.94999999999999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9"/>
        <v>1.5200000000000001E-3</v>
      </c>
      <c r="DB46" s="255" t="s">
        <v>320</v>
      </c>
      <c r="DD46" s="170" t="s">
        <v>460</v>
      </c>
      <c r="DE46" s="294" t="s">
        <v>484</v>
      </c>
      <c r="DF46" s="289" t="s">
        <v>321</v>
      </c>
      <c r="DG46" s="170">
        <f>$O$12*$Z$37*$AP$26</f>
        <v>1.3157380599886275</v>
      </c>
      <c r="DH46" s="170" t="s">
        <v>320</v>
      </c>
      <c r="DJ46" s="297" t="s">
        <v>429</v>
      </c>
      <c r="DK46" s="297" t="s">
        <v>408</v>
      </c>
      <c r="DL46" s="301">
        <v>3.2599999999999997E-2</v>
      </c>
      <c r="DM46" s="301">
        <v>6.78E-4</v>
      </c>
      <c r="DN46" s="297">
        <v>48.17</v>
      </c>
      <c r="DO46" s="297" t="s">
        <v>387</v>
      </c>
      <c r="DP46" s="301">
        <v>2E-16</v>
      </c>
      <c r="DQ46" s="297" t="s">
        <v>388</v>
      </c>
      <c r="DR46" s="298" t="s">
        <v>460</v>
      </c>
      <c r="DS46" s="305" t="s">
        <v>484</v>
      </c>
      <c r="DT46" s="299" t="s">
        <v>321</v>
      </c>
      <c r="DU46" s="300">
        <f t="shared" si="50"/>
        <v>9.2099999999999998E-8</v>
      </c>
      <c r="DV46" s="298" t="s">
        <v>320</v>
      </c>
    </row>
    <row r="47" spans="1:126" ht="15" customHeight="1" thickTop="1" thickBot="1" x14ac:dyDescent="0.3">
      <c r="B47" s="3"/>
      <c r="L47"/>
      <c r="M47"/>
      <c r="N47"/>
      <c r="Q47"/>
      <c r="R47"/>
      <c r="X47" s="183"/>
      <c r="Y47" s="183"/>
      <c r="Z47" s="183"/>
      <c r="AA47" s="183"/>
      <c r="AB47" s="183"/>
      <c r="AC47" s="183"/>
      <c r="AD47" s="233"/>
      <c r="AE47" s="183"/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AP43*0.2</f>
        <v>4.1135970024123253E-2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8"/>
        <v>4.1135970024123253E-2</v>
      </c>
      <c r="BA47" s="168" t="s">
        <v>320</v>
      </c>
      <c r="BC47" s="81"/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BU47" s="81"/>
      <c r="BV47" s="81"/>
      <c r="BW47" s="81"/>
      <c r="BX47" s="81"/>
      <c r="BY47" s="81"/>
      <c r="BZ47" s="81"/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t="s">
        <v>368</v>
      </c>
      <c r="CK47" s="252">
        <f t="shared" si="0"/>
        <v>608.75750577367194</v>
      </c>
      <c r="CL47" s="252">
        <f t="shared" si="14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159</v>
      </c>
      <c r="CS47" s="254">
        <v>0.54700000000000004</v>
      </c>
      <c r="CT47" s="253">
        <v>289.97000000000003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9"/>
        <v>1.0900000000000001</v>
      </c>
      <c r="DB47" s="255" t="s">
        <v>320</v>
      </c>
      <c r="DD47" s="170" t="s">
        <v>460</v>
      </c>
      <c r="DE47" s="294" t="s">
        <v>485</v>
      </c>
      <c r="DF47" s="289" t="s">
        <v>321</v>
      </c>
      <c r="DG47" s="170">
        <f>$O$13*$Z$37*$AP$26</f>
        <v>1.174766124989846</v>
      </c>
      <c r="DH47" s="170" t="s">
        <v>320</v>
      </c>
      <c r="DJ47" s="297" t="s">
        <v>429</v>
      </c>
      <c r="DK47" s="297" t="s">
        <v>409</v>
      </c>
      <c r="DL47" s="301">
        <v>158</v>
      </c>
      <c r="DM47" s="301">
        <v>0.96499999999999997</v>
      </c>
      <c r="DN47" s="297">
        <v>164.08</v>
      </c>
      <c r="DO47" s="297" t="s">
        <v>387</v>
      </c>
      <c r="DP47" s="301">
        <v>2E-16</v>
      </c>
      <c r="DQ47" s="297" t="s">
        <v>388</v>
      </c>
      <c r="DR47" s="298" t="s">
        <v>460</v>
      </c>
      <c r="DS47" s="305" t="s">
        <v>485</v>
      </c>
      <c r="DT47" s="299" t="s">
        <v>321</v>
      </c>
      <c r="DU47" s="300">
        <f t="shared" si="50"/>
        <v>1.22</v>
      </c>
      <c r="DV47" s="298" t="s">
        <v>320</v>
      </c>
    </row>
    <row r="48" spans="1:126" ht="15" customHeight="1" thickTop="1" thickBot="1" x14ac:dyDescent="0.3">
      <c r="B48" s="3"/>
      <c r="L48"/>
      <c r="M48"/>
      <c r="N48"/>
      <c r="Q48"/>
      <c r="R48"/>
      <c r="X48" s="223"/>
      <c r="Y48" s="223"/>
      <c r="Z48" s="239" t="s">
        <v>436</v>
      </c>
      <c r="AA48" s="239">
        <v>4</v>
      </c>
      <c r="AB48" s="239" t="s">
        <v>5</v>
      </c>
      <c r="AC48" s="223"/>
      <c r="AD48" s="223"/>
      <c r="AE48" s="223"/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AA27*4*O26</f>
        <v>608.75750577367194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8"/>
        <v>608.75750577367194</v>
      </c>
      <c r="BA48" s="168" t="s">
        <v>320</v>
      </c>
      <c r="BC48" s="81"/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BZ48" s="81"/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t="s">
        <v>370</v>
      </c>
      <c r="CK48" s="252">
        <f t="shared" si="0"/>
        <v>304.37875288683597</v>
      </c>
      <c r="CL48" s="252">
        <f t="shared" si="14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145</v>
      </c>
      <c r="CS48" s="254">
        <v>0.68500000000000005</v>
      </c>
      <c r="CT48" s="253">
        <v>211.82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9"/>
        <v>1.29</v>
      </c>
      <c r="DB48" s="255" t="s">
        <v>320</v>
      </c>
      <c r="DD48" s="170" t="s">
        <v>460</v>
      </c>
      <c r="DE48" s="294" t="s">
        <v>486</v>
      </c>
      <c r="DF48" s="289" t="s">
        <v>321</v>
      </c>
      <c r="DG48" s="170">
        <f>$O$11*$Z$37*$AP$27</f>
        <v>1.2833893650746739</v>
      </c>
      <c r="DH48" s="170" t="s">
        <v>320</v>
      </c>
      <c r="DJ48" s="297" t="s">
        <v>429</v>
      </c>
      <c r="DK48" s="297" t="s">
        <v>410</v>
      </c>
      <c r="DL48" s="301">
        <v>154</v>
      </c>
      <c r="DM48" s="301">
        <v>1.4</v>
      </c>
      <c r="DN48" s="297">
        <v>110.18</v>
      </c>
      <c r="DO48" s="297" t="s">
        <v>387</v>
      </c>
      <c r="DP48" s="301">
        <v>2E-16</v>
      </c>
      <c r="DQ48" s="297" t="s">
        <v>388</v>
      </c>
      <c r="DR48" s="298" t="s">
        <v>460</v>
      </c>
      <c r="DS48" s="305" t="s">
        <v>486</v>
      </c>
      <c r="DT48" s="299" t="s">
        <v>321</v>
      </c>
      <c r="DU48" s="300">
        <f t="shared" si="50"/>
        <v>1.58</v>
      </c>
      <c r="DV48" s="298" t="s">
        <v>320</v>
      </c>
    </row>
    <row r="49" spans="2:126" ht="15" customHeight="1" thickTop="1" thickBot="1" x14ac:dyDescent="0.3">
      <c r="B49" s="3"/>
      <c r="L49"/>
      <c r="M49"/>
      <c r="N49"/>
      <c r="Q49"/>
      <c r="R49"/>
      <c r="X49" s="240" t="s">
        <v>68</v>
      </c>
      <c r="Y49" s="241"/>
      <c r="Z49" s="242" t="s">
        <v>21</v>
      </c>
      <c r="AA49" s="243">
        <v>4</v>
      </c>
      <c r="AB49" s="241" t="s">
        <v>5</v>
      </c>
      <c r="AC49" s="241"/>
      <c r="AD49" s="241" t="s">
        <v>22</v>
      </c>
      <c r="AE49" s="244">
        <f>0.04*550*1660</f>
        <v>36520</v>
      </c>
      <c r="AF49" s="14" t="s">
        <v>23</v>
      </c>
      <c r="AG49" s="14">
        <f>SUM(AE51:AE52)</f>
        <v>171780</v>
      </c>
      <c r="AH49" s="14"/>
      <c r="AM49" s="159" t="s">
        <v>317</v>
      </c>
      <c r="AN49" s="81" t="s">
        <v>318</v>
      </c>
      <c r="AO49" s="81" t="s">
        <v>370</v>
      </c>
      <c r="AP49" s="81">
        <f>AP50/2</f>
        <v>304.37875288683597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8"/>
        <v>304.37875288683597</v>
      </c>
      <c r="BA49" s="168" t="s">
        <v>320</v>
      </c>
      <c r="BC49" s="81"/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51">BU95</f>
        <v>3.7399999999999998E-4</v>
      </c>
      <c r="CF49" s="174" t="s">
        <v>320</v>
      </c>
      <c r="CJ49" t="s">
        <v>372</v>
      </c>
      <c r="CK49" s="252">
        <f t="shared" si="0"/>
        <v>608.75750577367194</v>
      </c>
      <c r="CL49" s="252">
        <f t="shared" si="14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319</v>
      </c>
      <c r="CS49" s="254">
        <v>1.18</v>
      </c>
      <c r="CT49" s="253">
        <v>270.45999999999998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9"/>
        <v>1.21</v>
      </c>
      <c r="DB49" s="255" t="s">
        <v>320</v>
      </c>
      <c r="DD49" s="170" t="s">
        <v>460</v>
      </c>
      <c r="DE49" s="294" t="s">
        <v>487</v>
      </c>
      <c r="DF49" s="289" t="s">
        <v>321</v>
      </c>
      <c r="DG49" s="170">
        <f>$O$10*$Z$37*$AP$27</f>
        <v>1.3009700413085736</v>
      </c>
      <c r="DH49" s="170" t="s">
        <v>320</v>
      </c>
      <c r="DJ49" s="297" t="s">
        <v>429</v>
      </c>
      <c r="DK49" s="297" t="s">
        <v>293</v>
      </c>
      <c r="DL49" s="301">
        <v>268</v>
      </c>
      <c r="DM49" s="301">
        <v>1.65</v>
      </c>
      <c r="DN49" s="297">
        <v>162.52000000000001</v>
      </c>
      <c r="DO49" s="297" t="s">
        <v>387</v>
      </c>
      <c r="DP49" s="301">
        <v>2E-16</v>
      </c>
      <c r="DQ49" s="297" t="s">
        <v>388</v>
      </c>
      <c r="DR49" s="298" t="s">
        <v>460</v>
      </c>
      <c r="DS49" s="305" t="s">
        <v>487</v>
      </c>
      <c r="DT49" s="299" t="s">
        <v>321</v>
      </c>
      <c r="DU49" s="300">
        <f t="shared" si="50"/>
        <v>2.19</v>
      </c>
      <c r="DV49" s="298" t="s">
        <v>320</v>
      </c>
    </row>
    <row r="50" spans="2:126" ht="15" customHeight="1" thickTop="1" thickBot="1" x14ac:dyDescent="0.3">
      <c r="L50"/>
      <c r="M50"/>
      <c r="N50"/>
      <c r="Q50"/>
      <c r="R50"/>
      <c r="X50" s="245"/>
      <c r="Y50" s="246" t="s">
        <v>16</v>
      </c>
      <c r="Z50" s="246">
        <v>4</v>
      </c>
      <c r="AA50" s="246" t="s">
        <v>5</v>
      </c>
      <c r="AB50" s="246"/>
      <c r="AC50" s="246" t="s">
        <v>311</v>
      </c>
      <c r="AD50" s="246">
        <f>0.11*(1/AA49-1/23-1/8)</f>
        <v>8.9673913043478264E-3</v>
      </c>
      <c r="AE50" s="247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608.75750577367194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8"/>
        <v>608.75750577367194</v>
      </c>
      <c r="BA50" s="168" t="s">
        <v>320</v>
      </c>
      <c r="BC50" s="81"/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51"/>
        <v>308</v>
      </c>
      <c r="CF50" s="174" t="s">
        <v>320</v>
      </c>
      <c r="CP50" s="253" t="s">
        <v>429</v>
      </c>
      <c r="CQ50" s="253" t="s">
        <v>120</v>
      </c>
      <c r="CR50" s="254">
        <v>161</v>
      </c>
      <c r="CS50" s="254">
        <v>0.496</v>
      </c>
      <c r="CT50" s="253">
        <v>324.82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9"/>
        <v>1.46</v>
      </c>
      <c r="DB50" s="255" t="s">
        <v>320</v>
      </c>
      <c r="DD50" s="170" t="s">
        <v>460</v>
      </c>
      <c r="DE50" s="294" t="s">
        <v>488</v>
      </c>
      <c r="DF50" s="289" t="s">
        <v>321</v>
      </c>
      <c r="DG50" s="170">
        <f>$O$12*$Z$37*$AP$27</f>
        <v>1.4767768036475699</v>
      </c>
      <c r="DH50" s="170" t="s">
        <v>320</v>
      </c>
      <c r="DJ50" s="297" t="s">
        <v>429</v>
      </c>
      <c r="DK50" s="297" t="s">
        <v>120</v>
      </c>
      <c r="DL50" s="301">
        <v>137</v>
      </c>
      <c r="DM50" s="301">
        <v>2.06</v>
      </c>
      <c r="DN50" s="297">
        <v>66.58</v>
      </c>
      <c r="DO50" s="297" t="s">
        <v>387</v>
      </c>
      <c r="DP50" s="301">
        <v>2E-16</v>
      </c>
      <c r="DQ50" s="297" t="s">
        <v>388</v>
      </c>
      <c r="DR50" s="298" t="s">
        <v>460</v>
      </c>
      <c r="DS50" s="305" t="s">
        <v>488</v>
      </c>
      <c r="DT50" s="299" t="s">
        <v>321</v>
      </c>
      <c r="DU50" s="300">
        <f t="shared" si="50"/>
        <v>1.64</v>
      </c>
      <c r="DV50" s="298" t="s">
        <v>320</v>
      </c>
    </row>
    <row r="51" spans="2:126" ht="15" customHeight="1" thickTop="1" thickBot="1" x14ac:dyDescent="0.3">
      <c r="L51"/>
      <c r="M51"/>
      <c r="N51"/>
      <c r="Q51"/>
      <c r="R51"/>
      <c r="X51" s="193"/>
      <c r="Y51" s="193"/>
      <c r="Z51" s="193"/>
      <c r="AA51" s="193"/>
      <c r="AB51" s="193"/>
      <c r="AC51" s="193"/>
      <c r="AD51" s="193"/>
      <c r="AE51" s="193"/>
      <c r="AF51" s="14"/>
      <c r="AG51" s="14"/>
      <c r="AH51" s="14"/>
      <c r="BC51" s="81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-5.76</v>
      </c>
      <c r="CS51" s="254">
        <v>1.4800000000000001E-2</v>
      </c>
      <c r="CT51" s="253">
        <v>-388.37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9"/>
        <v>0.497</v>
      </c>
      <c r="DB51" s="255" t="s">
        <v>320</v>
      </c>
      <c r="DD51" s="170" t="s">
        <v>460</v>
      </c>
      <c r="DE51" s="294" t="s">
        <v>489</v>
      </c>
      <c r="DF51" s="289" t="s">
        <v>321</v>
      </c>
      <c r="DG51" s="170">
        <f>$O$13*$Z$37*$AP$27</f>
        <v>1.3185507175424733</v>
      </c>
      <c r="DH51" s="170" t="s">
        <v>320</v>
      </c>
      <c r="DJ51" s="297" t="s">
        <v>429</v>
      </c>
      <c r="DK51" s="297" t="s">
        <v>411</v>
      </c>
      <c r="DL51" s="301">
        <v>-3.61</v>
      </c>
      <c r="DM51" s="301">
        <v>3.4000000000000002E-2</v>
      </c>
      <c r="DN51" s="297">
        <v>-106.11</v>
      </c>
      <c r="DO51" s="297" t="s">
        <v>387</v>
      </c>
      <c r="DP51" s="301">
        <v>2E-16</v>
      </c>
      <c r="DQ51" s="297" t="s">
        <v>388</v>
      </c>
      <c r="DR51" s="298" t="s">
        <v>460</v>
      </c>
      <c r="DS51" s="305" t="s">
        <v>489</v>
      </c>
      <c r="DT51" s="299" t="s">
        <v>321</v>
      </c>
      <c r="DU51" s="300">
        <f t="shared" si="50"/>
        <v>0.41799999999999998</v>
      </c>
      <c r="DV51" s="298" t="s">
        <v>320</v>
      </c>
    </row>
    <row r="52" spans="2:126" thickTop="1" thickBot="1" x14ac:dyDescent="0.3">
      <c r="X52" s="271" t="s">
        <v>510</v>
      </c>
      <c r="Y52" s="272"/>
      <c r="Z52" s="273" t="s">
        <v>21</v>
      </c>
      <c r="AA52" s="274">
        <f>(1/(1/8+SUM(AD54:AD56)+1/8))</f>
        <v>2.5352112676056335</v>
      </c>
      <c r="AB52" s="272" t="s">
        <v>5</v>
      </c>
      <c r="AC52" s="272"/>
      <c r="AD52" s="272" t="s">
        <v>22</v>
      </c>
      <c r="AE52" s="275">
        <f>SUM(AE54:AE58)</f>
        <v>171780</v>
      </c>
      <c r="AF52" s="14" t="s">
        <v>23</v>
      </c>
      <c r="AG52" s="14">
        <f>SUM(AE54:AE55)</f>
        <v>171780</v>
      </c>
      <c r="BC52" s="81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-6.42</v>
      </c>
      <c r="CS52" s="254">
        <v>1.44E-2</v>
      </c>
      <c r="CT52" s="253">
        <v>-446.93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9"/>
        <v>1.12E-20</v>
      </c>
      <c r="DB52" s="255" t="s">
        <v>320</v>
      </c>
      <c r="DD52" s="170" t="s">
        <v>460</v>
      </c>
      <c r="DE52" s="294" t="s">
        <v>490</v>
      </c>
      <c r="DF52" s="289" t="s">
        <v>321</v>
      </c>
      <c r="DG52" s="170">
        <f>$O$11*$Z$37*$AP$28</f>
        <v>9.5535242543859075E-2</v>
      </c>
      <c r="DH52" s="170" t="s">
        <v>320</v>
      </c>
      <c r="DJ52" s="297" t="s">
        <v>429</v>
      </c>
      <c r="DK52" s="297" t="s">
        <v>412</v>
      </c>
      <c r="DL52" s="301">
        <v>-5.83</v>
      </c>
      <c r="DM52" s="301">
        <v>2.47E-2</v>
      </c>
      <c r="DN52" s="297">
        <v>-236.59</v>
      </c>
      <c r="DO52" s="297" t="s">
        <v>387</v>
      </c>
      <c r="DP52" s="301">
        <v>2E-16</v>
      </c>
      <c r="DQ52" s="297" t="s">
        <v>388</v>
      </c>
      <c r="DR52" s="298" t="s">
        <v>460</v>
      </c>
      <c r="DS52" s="305" t="s">
        <v>490</v>
      </c>
      <c r="DT52" s="299" t="s">
        <v>321</v>
      </c>
      <c r="DU52" s="300">
        <f t="shared" si="50"/>
        <v>1.7600000000000001E-6</v>
      </c>
      <c r="DV52" s="298" t="s">
        <v>320</v>
      </c>
    </row>
    <row r="53" spans="2:126" thickTop="1" thickBot="1" x14ac:dyDescent="0.3">
      <c r="X53" s="276"/>
      <c r="Y53" s="231" t="s">
        <v>27</v>
      </c>
      <c r="Z53" s="231" t="s">
        <v>28</v>
      </c>
      <c r="AA53" s="231" t="s">
        <v>29</v>
      </c>
      <c r="AB53" s="231" t="s">
        <v>30</v>
      </c>
      <c r="AC53" s="231" t="s">
        <v>31</v>
      </c>
      <c r="AD53" s="231" t="s">
        <v>32</v>
      </c>
      <c r="AE53" s="277" t="s">
        <v>33</v>
      </c>
      <c r="AF53" s="24"/>
      <c r="BC53" s="81"/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-6.31</v>
      </c>
      <c r="CS53" s="254">
        <v>1.6500000000000001E-2</v>
      </c>
      <c r="CT53" s="253">
        <v>-381.75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9"/>
        <v>4.8699999999999997E-14</v>
      </c>
      <c r="DB53" s="255" t="s">
        <v>320</v>
      </c>
      <c r="DD53" s="170" t="s">
        <v>460</v>
      </c>
      <c r="DE53" s="294" t="s">
        <v>491</v>
      </c>
      <c r="DF53" s="289" t="s">
        <v>321</v>
      </c>
      <c r="DG53" s="170">
        <f>$O$10*$Z$37*$AP$28</f>
        <v>9.6843944496514692E-2</v>
      </c>
      <c r="DH53" s="170" t="s">
        <v>320</v>
      </c>
      <c r="DJ53" s="297" t="s">
        <v>429</v>
      </c>
      <c r="DK53" s="297" t="s">
        <v>413</v>
      </c>
      <c r="DL53" s="301">
        <v>-6.18</v>
      </c>
      <c r="DM53" s="301">
        <v>3.5200000000000002E-2</v>
      </c>
      <c r="DN53" s="297">
        <v>-175.41</v>
      </c>
      <c r="DO53" s="297" t="s">
        <v>387</v>
      </c>
      <c r="DP53" s="301">
        <v>2E-16</v>
      </c>
      <c r="DQ53" s="297" t="s">
        <v>388</v>
      </c>
      <c r="DR53" s="298" t="s">
        <v>460</v>
      </c>
      <c r="DS53" s="305" t="s">
        <v>491</v>
      </c>
      <c r="DT53" s="299" t="s">
        <v>321</v>
      </c>
      <c r="DU53" s="300">
        <f t="shared" si="50"/>
        <v>6.5600000000000005E-8</v>
      </c>
      <c r="DV53" s="298" t="s">
        <v>320</v>
      </c>
    </row>
    <row r="54" spans="2:126" thickTop="1" thickBot="1" x14ac:dyDescent="0.3">
      <c r="X54" s="278"/>
      <c r="Y54" s="183" t="s">
        <v>90</v>
      </c>
      <c r="Z54" s="183">
        <v>0.02</v>
      </c>
      <c r="AA54" s="183">
        <v>0.6</v>
      </c>
      <c r="AB54" s="183">
        <v>975</v>
      </c>
      <c r="AC54" s="183">
        <v>840</v>
      </c>
      <c r="AD54" s="233">
        <f>Z54/AA54</f>
        <v>3.3333333333333333E-2</v>
      </c>
      <c r="AE54" s="279">
        <f>Z54*AB54*AC54</f>
        <v>16380</v>
      </c>
      <c r="AO54" s="170" t="s">
        <v>374</v>
      </c>
      <c r="AP54" s="170">
        <f>SUM(AP42,AP4:AP7)</f>
        <v>1</v>
      </c>
      <c r="AQ54" s="170"/>
      <c r="BC54" s="81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-6.13</v>
      </c>
      <c r="CS54" s="254">
        <v>1.4999999999999999E-2</v>
      </c>
      <c r="CT54" s="253">
        <v>-408.54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9"/>
        <v>0.223</v>
      </c>
      <c r="DB54" s="255" t="s">
        <v>320</v>
      </c>
      <c r="DD54" s="170" t="s">
        <v>460</v>
      </c>
      <c r="DE54" s="294" t="s">
        <v>492</v>
      </c>
      <c r="DF54" s="289" t="s">
        <v>321</v>
      </c>
      <c r="DG54" s="170">
        <f>$O$12*$Z$37*$AP$28</f>
        <v>0.10993096402307072</v>
      </c>
      <c r="DH54" s="170" t="s">
        <v>320</v>
      </c>
      <c r="DJ54" s="297" t="s">
        <v>429</v>
      </c>
      <c r="DK54" s="297" t="s">
        <v>414</v>
      </c>
      <c r="DL54" s="301">
        <v>-5.5</v>
      </c>
      <c r="DM54" s="301">
        <v>2.6499999999999999E-2</v>
      </c>
      <c r="DN54" s="297">
        <v>-207.92</v>
      </c>
      <c r="DO54" s="297" t="s">
        <v>387</v>
      </c>
      <c r="DP54" s="301">
        <v>2E-16</v>
      </c>
      <c r="DQ54" s="297" t="s">
        <v>388</v>
      </c>
      <c r="DR54" s="298" t="s">
        <v>460</v>
      </c>
      <c r="DS54" s="305" t="s">
        <v>492</v>
      </c>
      <c r="DT54" s="299" t="s">
        <v>321</v>
      </c>
      <c r="DU54" s="300">
        <f t="shared" si="50"/>
        <v>0.20799999999999999</v>
      </c>
      <c r="DV54" s="298" t="s">
        <v>320</v>
      </c>
    </row>
    <row r="55" spans="2:126" thickTop="1" thickBot="1" x14ac:dyDescent="0.3">
      <c r="X55" s="278"/>
      <c r="Y55" s="183" t="s">
        <v>376</v>
      </c>
      <c r="Z55" s="183">
        <v>0.1</v>
      </c>
      <c r="AA55" s="183">
        <v>0.9</v>
      </c>
      <c r="AB55" s="183">
        <v>1850</v>
      </c>
      <c r="AC55" s="183">
        <v>840</v>
      </c>
      <c r="AD55" s="233">
        <f>Z55/AA55</f>
        <v>0.11111111111111112</v>
      </c>
      <c r="AE55" s="279">
        <f>Z55*AB55*AC55</f>
        <v>155400</v>
      </c>
      <c r="AO55" s="170" t="s">
        <v>374</v>
      </c>
      <c r="AP55" s="170">
        <f>SUM(AP43,AP26:AP28)</f>
        <v>1</v>
      </c>
      <c r="AQ55" s="170"/>
      <c r="BC55" s="81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BY55" s="81"/>
      <c r="BZ55" s="81"/>
      <c r="CP55" s="253" t="s">
        <v>429</v>
      </c>
      <c r="CQ55" s="253" t="s">
        <v>415</v>
      </c>
      <c r="CR55" s="254">
        <v>-6.02</v>
      </c>
      <c r="CS55" s="254">
        <v>1.52E-2</v>
      </c>
      <c r="CT55" s="253">
        <v>-396.06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9"/>
        <v>0.152</v>
      </c>
      <c r="DB55" s="255" t="s">
        <v>320</v>
      </c>
      <c r="DD55" s="170" t="s">
        <v>460</v>
      </c>
      <c r="DE55" s="294" t="s">
        <v>493</v>
      </c>
      <c r="DF55" s="289" t="s">
        <v>321</v>
      </c>
      <c r="DG55" s="170">
        <f>$O$13*$Z$37*$AP$28</f>
        <v>9.8152646449170294E-2</v>
      </c>
      <c r="DH55" s="170" t="s">
        <v>320</v>
      </c>
      <c r="DJ55" s="297" t="s">
        <v>429</v>
      </c>
      <c r="DK55" s="297" t="s">
        <v>415</v>
      </c>
      <c r="DL55" s="301">
        <v>-5.26</v>
      </c>
      <c r="DM55" s="301">
        <v>2.2700000000000001E-2</v>
      </c>
      <c r="DN55" s="297">
        <v>-232.11</v>
      </c>
      <c r="DO55" s="297" t="s">
        <v>387</v>
      </c>
      <c r="DP55" s="301">
        <v>2E-16</v>
      </c>
      <c r="DQ55" s="297" t="s">
        <v>388</v>
      </c>
      <c r="DR55" s="298" t="s">
        <v>460</v>
      </c>
      <c r="DS55" s="305" t="s">
        <v>493</v>
      </c>
      <c r="DT55" s="299" t="s">
        <v>321</v>
      </c>
      <c r="DU55" s="300">
        <f t="shared" si="50"/>
        <v>0.33100000000000002</v>
      </c>
      <c r="DV55" s="298" t="s">
        <v>320</v>
      </c>
    </row>
    <row r="56" spans="2:126" thickTop="1" thickBot="1" x14ac:dyDescent="0.3">
      <c r="X56" s="280"/>
      <c r="Y56" s="281" t="s">
        <v>272</v>
      </c>
      <c r="Z56" s="282">
        <v>0</v>
      </c>
      <c r="AA56" s="282">
        <v>3.5999999999999997E-2</v>
      </c>
      <c r="AB56" s="282">
        <v>26</v>
      </c>
      <c r="AC56" s="282">
        <v>1470</v>
      </c>
      <c r="AD56" s="283">
        <f>Z56/AA56</f>
        <v>0</v>
      </c>
      <c r="AE56" s="284">
        <f>Z56*AB56*AC56</f>
        <v>0</v>
      </c>
      <c r="AO56" s="170" t="s">
        <v>375</v>
      </c>
      <c r="AP56" s="170">
        <f>SUM(AP46,AP14:AP17)</f>
        <v>1.0000000000000002</v>
      </c>
      <c r="AQ56" s="170"/>
      <c r="BC56" s="81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4.7099999999999998E-3</v>
      </c>
      <c r="CS56" s="254">
        <v>4.2299999999999998E-5</v>
      </c>
      <c r="CT56" s="253">
        <v>111.46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9"/>
        <v>0.503</v>
      </c>
      <c r="DB56" s="255" t="s">
        <v>320</v>
      </c>
      <c r="DD56" s="170" t="s">
        <v>460</v>
      </c>
      <c r="DE56" s="294" t="s">
        <v>494</v>
      </c>
      <c r="DF56" s="289" t="s">
        <v>321</v>
      </c>
      <c r="DG56" s="170">
        <f>$O$11*$Z$37*$AP$43</f>
        <v>0.65313636405801689</v>
      </c>
      <c r="DH56" s="170" t="s">
        <v>320</v>
      </c>
      <c r="DJ56" s="297" t="s">
        <v>429</v>
      </c>
      <c r="DK56" s="297" t="s">
        <v>416</v>
      </c>
      <c r="DL56" s="301">
        <v>4.7800000000000004E-3</v>
      </c>
      <c r="DM56" s="301">
        <v>7.7200000000000006E-5</v>
      </c>
      <c r="DN56" s="297">
        <v>61.9</v>
      </c>
      <c r="DO56" s="297" t="s">
        <v>387</v>
      </c>
      <c r="DP56" s="301">
        <v>2E-16</v>
      </c>
      <c r="DQ56" s="297" t="s">
        <v>388</v>
      </c>
      <c r="DR56" s="298" t="s">
        <v>460</v>
      </c>
      <c r="DS56" s="305" t="s">
        <v>494</v>
      </c>
      <c r="DT56" s="299" t="s">
        <v>321</v>
      </c>
      <c r="DU56" s="300">
        <f t="shared" si="50"/>
        <v>0.36899999999999999</v>
      </c>
      <c r="DV56" s="298" t="s">
        <v>320</v>
      </c>
    </row>
    <row r="57" spans="2:126" thickTop="1" thickBot="1" x14ac:dyDescent="0.3">
      <c r="AO57" s="170" t="s">
        <v>375</v>
      </c>
      <c r="AP57" s="170">
        <f>SUM(AP47,AP33:AP35)</f>
        <v>1</v>
      </c>
      <c r="AQ57" s="170"/>
      <c r="BC57" s="81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80.2</v>
      </c>
      <c r="CS57" s="254">
        <v>0.315</v>
      </c>
      <c r="CT57" s="253">
        <v>254.37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9"/>
        <v>0.81200000000000006</v>
      </c>
      <c r="DB57" s="255" t="s">
        <v>320</v>
      </c>
      <c r="DD57" s="170" t="s">
        <v>460</v>
      </c>
      <c r="DE57" s="294" t="s">
        <v>495</v>
      </c>
      <c r="DF57" s="289" t="s">
        <v>321</v>
      </c>
      <c r="DG57" s="170">
        <f>$O$10*$Z$37*$AP$43</f>
        <v>0.66208343753826382</v>
      </c>
      <c r="DH57" s="170" t="s">
        <v>320</v>
      </c>
      <c r="DJ57" s="297" t="s">
        <v>429</v>
      </c>
      <c r="DK57" s="297" t="s">
        <v>417</v>
      </c>
      <c r="DL57" s="301">
        <v>158</v>
      </c>
      <c r="DM57" s="301">
        <v>0.97</v>
      </c>
      <c r="DN57" s="297">
        <v>162.44999999999999</v>
      </c>
      <c r="DO57" s="297" t="s">
        <v>387</v>
      </c>
      <c r="DP57" s="301">
        <v>2E-16</v>
      </c>
      <c r="DQ57" s="297" t="s">
        <v>388</v>
      </c>
      <c r="DR57" s="298" t="s">
        <v>460</v>
      </c>
      <c r="DS57" s="305" t="s">
        <v>495</v>
      </c>
      <c r="DT57" s="299" t="s">
        <v>321</v>
      </c>
      <c r="DU57" s="300">
        <f t="shared" si="50"/>
        <v>0.31</v>
      </c>
      <c r="DV57" s="298" t="s">
        <v>320</v>
      </c>
    </row>
    <row r="58" spans="2:126" thickTop="1" thickBot="1" x14ac:dyDescent="0.3">
      <c r="BC58" s="81"/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9950</v>
      </c>
      <c r="CS58" s="254">
        <v>212</v>
      </c>
      <c r="CT58" s="253">
        <v>46.88</v>
      </c>
      <c r="CU58" s="253" t="s">
        <v>387</v>
      </c>
      <c r="CV58" s="254">
        <v>2E-16</v>
      </c>
      <c r="CW58" s="81" t="s">
        <v>388</v>
      </c>
      <c r="CX58" s="255" t="s">
        <v>460</v>
      </c>
      <c r="CY58" s="261" t="s">
        <v>496</v>
      </c>
      <c r="CZ58" s="256" t="s">
        <v>321</v>
      </c>
      <c r="DA58" s="257">
        <f t="shared" si="49"/>
        <v>0.59099999999999997</v>
      </c>
      <c r="DB58" s="255" t="s">
        <v>320</v>
      </c>
      <c r="DD58" s="170" t="s">
        <v>460</v>
      </c>
      <c r="DE58" s="294" t="s">
        <v>496</v>
      </c>
      <c r="DF58" s="289" t="s">
        <v>321</v>
      </c>
      <c r="DG58" s="170">
        <f>$O$12*$Z$37*$AP$43</f>
        <v>0.75155417234073185</v>
      </c>
      <c r="DH58" s="170" t="s">
        <v>320</v>
      </c>
      <c r="DJ58" s="297" t="s">
        <v>429</v>
      </c>
      <c r="DK58" s="297" t="s">
        <v>418</v>
      </c>
      <c r="DL58" s="301">
        <v>9910</v>
      </c>
      <c r="DM58" s="301">
        <v>643</v>
      </c>
      <c r="DN58" s="297">
        <v>15.4</v>
      </c>
      <c r="DO58" s="297" t="s">
        <v>387</v>
      </c>
      <c r="DP58" s="301">
        <v>2E-16</v>
      </c>
      <c r="DQ58" s="297" t="s">
        <v>388</v>
      </c>
      <c r="DR58" s="298" t="s">
        <v>460</v>
      </c>
      <c r="DS58" s="305" t="s">
        <v>496</v>
      </c>
      <c r="DT58" s="299" t="s">
        <v>321</v>
      </c>
      <c r="DU58" s="300">
        <f t="shared" si="50"/>
        <v>0.42299999999999999</v>
      </c>
      <c r="DV58" s="298" t="s">
        <v>320</v>
      </c>
    </row>
    <row r="59" spans="2:126" thickTop="1" thickBot="1" x14ac:dyDescent="0.3">
      <c r="BC59" s="81"/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BZ59" s="81"/>
      <c r="CP59" s="253" t="s">
        <v>429</v>
      </c>
      <c r="CQ59" s="253" t="s">
        <v>419</v>
      </c>
      <c r="CR59" s="254">
        <v>215</v>
      </c>
      <c r="CS59" s="254">
        <v>6.63</v>
      </c>
      <c r="CT59" s="253">
        <v>32.47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9"/>
        <v>0.187</v>
      </c>
      <c r="DB59" s="255" t="s">
        <v>320</v>
      </c>
      <c r="DD59" s="170" t="s">
        <v>460</v>
      </c>
      <c r="DE59" s="294" t="s">
        <v>497</v>
      </c>
      <c r="DF59" s="289" t="s">
        <v>321</v>
      </c>
      <c r="DG59" s="170">
        <f>$O$13*$Z$37*$AP$43</f>
        <v>0.67103051101851063</v>
      </c>
      <c r="DH59" s="170" t="s">
        <v>320</v>
      </c>
      <c r="DJ59" s="297" t="s">
        <v>429</v>
      </c>
      <c r="DK59" s="297" t="s">
        <v>419</v>
      </c>
      <c r="DL59" s="301">
        <v>620</v>
      </c>
      <c r="DM59" s="301">
        <v>32.200000000000003</v>
      </c>
      <c r="DN59" s="297">
        <v>19.260000000000002</v>
      </c>
      <c r="DO59" s="297" t="s">
        <v>387</v>
      </c>
      <c r="DP59" s="301">
        <v>2E-16</v>
      </c>
      <c r="DQ59" s="297" t="s">
        <v>388</v>
      </c>
      <c r="DR59" s="298" t="s">
        <v>460</v>
      </c>
      <c r="DS59" s="305" t="s">
        <v>497</v>
      </c>
      <c r="DT59" s="299" t="s">
        <v>321</v>
      </c>
      <c r="DU59" s="300">
        <f t="shared" si="50"/>
        <v>9.8000000000000004E-2</v>
      </c>
      <c r="DV59" s="298" t="s">
        <v>320</v>
      </c>
    </row>
    <row r="60" spans="2:126" thickTop="1" thickBot="1" x14ac:dyDescent="0.3">
      <c r="BC60" s="81"/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4"/>
      <c r="DF60" s="289"/>
      <c r="DS60" s="305"/>
      <c r="DT60" s="299"/>
      <c r="DU60" s="300"/>
    </row>
    <row r="61" spans="2:126" thickTop="1" thickBot="1" x14ac:dyDescent="0.3">
      <c r="BC61" s="81"/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1930000</v>
      </c>
      <c r="DB61" s="255" t="s">
        <v>320</v>
      </c>
      <c r="DD61" s="170" t="s">
        <v>460</v>
      </c>
      <c r="DE61" s="294" t="s">
        <v>342</v>
      </c>
      <c r="DF61" s="289" t="s">
        <v>321</v>
      </c>
      <c r="DG61" s="293">
        <f>$AP30</f>
        <v>1162464.1599999999</v>
      </c>
      <c r="DH61" s="170" t="s">
        <v>320</v>
      </c>
      <c r="DR61" s="298" t="s">
        <v>460</v>
      </c>
      <c r="DS61" s="305" t="s">
        <v>342</v>
      </c>
      <c r="DT61" s="299" t="s">
        <v>321</v>
      </c>
      <c r="DU61" s="300">
        <f>DL86</f>
        <v>901000</v>
      </c>
      <c r="DV61" s="298" t="s">
        <v>320</v>
      </c>
    </row>
    <row r="62" spans="2:126" thickTop="1" thickBot="1" x14ac:dyDescent="0.3">
      <c r="BC62" s="81"/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BZ62" s="81"/>
      <c r="CP62" s="253" t="s">
        <v>429</v>
      </c>
      <c r="CQ62" s="253" t="s">
        <v>420</v>
      </c>
      <c r="CR62" s="253" t="s">
        <v>458</v>
      </c>
      <c r="CW62" s="81"/>
      <c r="CX62" s="255" t="s">
        <v>460</v>
      </c>
      <c r="CY62" s="261" t="s">
        <v>343</v>
      </c>
      <c r="CZ62" s="256" t="s">
        <v>321</v>
      </c>
      <c r="DA62" s="257">
        <f t="shared" ref="DA62:DA63" si="52">CR87</f>
        <v>17000000</v>
      </c>
      <c r="DB62" s="255" t="s">
        <v>320</v>
      </c>
      <c r="DD62" s="170" t="s">
        <v>460</v>
      </c>
      <c r="DE62" s="294" t="s">
        <v>343</v>
      </c>
      <c r="DF62" s="289" t="s">
        <v>321</v>
      </c>
      <c r="DG62" s="293">
        <f>$AP31</f>
        <v>16454272.026887279</v>
      </c>
      <c r="DH62" s="170" t="s">
        <v>320</v>
      </c>
      <c r="DJ62" s="297" t="s">
        <v>429</v>
      </c>
      <c r="DK62" s="297" t="s">
        <v>420</v>
      </c>
      <c r="DL62" s="297" t="s">
        <v>458</v>
      </c>
      <c r="DR62" s="298" t="s">
        <v>460</v>
      </c>
      <c r="DS62" s="305" t="s">
        <v>343</v>
      </c>
      <c r="DT62" s="299" t="s">
        <v>321</v>
      </c>
      <c r="DU62" s="300">
        <f t="shared" ref="DU62:DU63" si="53">DL87</f>
        <v>68600000</v>
      </c>
      <c r="DV62" s="298" t="s">
        <v>320</v>
      </c>
    </row>
    <row r="63" spans="2:126" thickTop="1" thickBot="1" x14ac:dyDescent="0.3">
      <c r="BC63" s="81"/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BY63" s="81"/>
      <c r="BZ63" s="81"/>
      <c r="CP63" s="253" t="s">
        <v>429</v>
      </c>
      <c r="CQ63" s="253" t="s">
        <v>379</v>
      </c>
      <c r="CW63" s="81"/>
      <c r="CX63" s="255" t="s">
        <v>460</v>
      </c>
      <c r="CY63" s="261" t="s">
        <v>344</v>
      </c>
      <c r="CZ63" s="256" t="s">
        <v>321</v>
      </c>
      <c r="DA63" s="257">
        <f t="shared" si="52"/>
        <v>17400000</v>
      </c>
      <c r="DB63" s="255" t="s">
        <v>320</v>
      </c>
      <c r="DD63" s="170" t="s">
        <v>460</v>
      </c>
      <c r="DE63" s="294" t="s">
        <v>344</v>
      </c>
      <c r="DF63" s="289" t="s">
        <v>321</v>
      </c>
      <c r="DG63" s="293">
        <f>$AP32</f>
        <v>23362333.871545896</v>
      </c>
      <c r="DH63" s="170" t="s">
        <v>320</v>
      </c>
      <c r="DJ63" s="297" t="s">
        <v>429</v>
      </c>
      <c r="DK63" s="297" t="s">
        <v>379</v>
      </c>
      <c r="DR63" s="298" t="s">
        <v>460</v>
      </c>
      <c r="DS63" s="305" t="s">
        <v>344</v>
      </c>
      <c r="DT63" s="299" t="s">
        <v>321</v>
      </c>
      <c r="DU63" s="300">
        <f t="shared" si="53"/>
        <v>27000000</v>
      </c>
      <c r="DV63" s="298" t="s">
        <v>320</v>
      </c>
    </row>
    <row r="64" spans="2:126" thickTop="1" thickBot="1" x14ac:dyDescent="0.3">
      <c r="BC64" s="81"/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BY64" s="81"/>
      <c r="BZ64" s="81"/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W64" s="81"/>
      <c r="CZ64" s="256"/>
      <c r="DF64" s="289"/>
      <c r="DJ64" s="297" t="s">
        <v>429</v>
      </c>
      <c r="DK64" s="297" t="s">
        <v>380</v>
      </c>
      <c r="DL64" s="297" t="s">
        <v>381</v>
      </c>
      <c r="DM64" s="297" t="s">
        <v>382</v>
      </c>
      <c r="DN64" s="297" t="s">
        <v>383</v>
      </c>
      <c r="DO64" s="297" t="s">
        <v>384</v>
      </c>
      <c r="DP64" s="297" t="s">
        <v>385</v>
      </c>
      <c r="DT64" s="299"/>
    </row>
    <row r="65" spans="55:126" thickTop="1" thickBot="1" x14ac:dyDescent="0.3">
      <c r="BC65" s="81"/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293</v>
      </c>
      <c r="CS65" s="254">
        <v>6.3600000000000004E-2</v>
      </c>
      <c r="CT65" s="253">
        <v>4600.13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0.113</v>
      </c>
      <c r="DB65" s="255" t="s">
        <v>320</v>
      </c>
      <c r="DD65" s="170" t="s">
        <v>460</v>
      </c>
      <c r="DE65" s="294" t="s">
        <v>345</v>
      </c>
      <c r="DF65" s="289" t="s">
        <v>321</v>
      </c>
      <c r="DG65" s="170">
        <f>$AP33</f>
        <v>7.201631417562275E-2</v>
      </c>
      <c r="DH65" s="170" t="s">
        <v>320</v>
      </c>
      <c r="DJ65" s="297" t="s">
        <v>429</v>
      </c>
      <c r="DK65" s="297" t="s">
        <v>386</v>
      </c>
      <c r="DL65" s="301">
        <v>287</v>
      </c>
      <c r="DM65" s="301">
        <v>0.22800000000000001</v>
      </c>
      <c r="DN65" s="297">
        <v>1258.5999999999999</v>
      </c>
      <c r="DO65" s="297" t="s">
        <v>387</v>
      </c>
      <c r="DP65" s="301">
        <v>2E-16</v>
      </c>
      <c r="DQ65" s="297" t="s">
        <v>388</v>
      </c>
      <c r="DR65" s="298" t="s">
        <v>460</v>
      </c>
      <c r="DS65" s="305" t="s">
        <v>345</v>
      </c>
      <c r="DT65" s="299" t="s">
        <v>321</v>
      </c>
      <c r="DU65" s="300">
        <f>DL93</f>
        <v>0.156</v>
      </c>
      <c r="DV65" s="298" t="s">
        <v>320</v>
      </c>
    </row>
    <row r="66" spans="55:126" thickTop="1" thickBot="1" x14ac:dyDescent="0.3">
      <c r="BC66" s="81"/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286</v>
      </c>
      <c r="CS66" s="254">
        <v>9.1499999999999998E-2</v>
      </c>
      <c r="CT66" s="253">
        <v>3124.82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54">CR94</f>
        <v>0.13200000000000001</v>
      </c>
      <c r="DB66" s="255" t="s">
        <v>320</v>
      </c>
      <c r="DD66" s="170" t="s">
        <v>460</v>
      </c>
      <c r="DE66" s="294" t="s">
        <v>346</v>
      </c>
      <c r="DF66" s="289" t="s">
        <v>321</v>
      </c>
      <c r="DG66" s="170">
        <f>$AP34</f>
        <v>8.0830695328274221E-2</v>
      </c>
      <c r="DH66" s="170" t="s">
        <v>320</v>
      </c>
      <c r="DJ66" s="297" t="s">
        <v>429</v>
      </c>
      <c r="DK66" s="297" t="s">
        <v>389</v>
      </c>
      <c r="DL66" s="301">
        <v>282</v>
      </c>
      <c r="DM66" s="301">
        <v>0.997</v>
      </c>
      <c r="DN66" s="297">
        <v>282.39</v>
      </c>
      <c r="DO66" s="297" t="s">
        <v>387</v>
      </c>
      <c r="DP66" s="301">
        <v>2E-16</v>
      </c>
      <c r="DQ66" s="297" t="s">
        <v>388</v>
      </c>
      <c r="DR66" s="298" t="s">
        <v>460</v>
      </c>
      <c r="DS66" s="305" t="s">
        <v>346</v>
      </c>
      <c r="DT66" s="299" t="s">
        <v>321</v>
      </c>
      <c r="DU66" s="300">
        <f t="shared" ref="DU66:DU68" si="55">DL94</f>
        <v>0.155</v>
      </c>
      <c r="DV66" s="298" t="s">
        <v>320</v>
      </c>
    </row>
    <row r="67" spans="55:126" thickTop="1" thickBot="1" x14ac:dyDescent="0.3">
      <c r="BC67" s="81"/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293</v>
      </c>
      <c r="CS67" s="254">
        <v>5.3699999999999998E-2</v>
      </c>
      <c r="CT67" s="253">
        <v>5447.52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54"/>
        <v>0.68600000000000005</v>
      </c>
      <c r="DB67" s="255" t="s">
        <v>320</v>
      </c>
      <c r="DD67" s="170" t="s">
        <v>460</v>
      </c>
      <c r="DE67" s="294" t="s">
        <v>348</v>
      </c>
      <c r="DF67" s="289" t="s">
        <v>321</v>
      </c>
      <c r="DG67" s="170">
        <f>$AP35</f>
        <v>0.80601702047197987</v>
      </c>
      <c r="DH67" s="170" t="s">
        <v>320</v>
      </c>
      <c r="DJ67" s="297" t="s">
        <v>429</v>
      </c>
      <c r="DK67" s="297" t="s">
        <v>390</v>
      </c>
      <c r="DL67" s="301">
        <v>290</v>
      </c>
      <c r="DM67" s="301">
        <v>0.19400000000000001</v>
      </c>
      <c r="DN67" s="297">
        <v>1493.4</v>
      </c>
      <c r="DO67" s="297" t="s">
        <v>387</v>
      </c>
      <c r="DP67" s="301">
        <v>2E-16</v>
      </c>
      <c r="DQ67" s="297" t="s">
        <v>388</v>
      </c>
      <c r="DR67" s="298" t="s">
        <v>460</v>
      </c>
      <c r="DS67" s="305" t="s">
        <v>348</v>
      </c>
      <c r="DT67" s="299" t="s">
        <v>321</v>
      </c>
      <c r="DU67" s="300">
        <f t="shared" si="55"/>
        <v>0.59799999999999998</v>
      </c>
      <c r="DV67" s="298" t="s">
        <v>320</v>
      </c>
    </row>
    <row r="68" spans="55:126" thickTop="1" thickBot="1" x14ac:dyDescent="0.3">
      <c r="BC68" s="81"/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BY68" s="81"/>
      <c r="BZ68" s="81"/>
      <c r="CP68" s="253" t="s">
        <v>429</v>
      </c>
      <c r="CQ68" s="253" t="s">
        <v>391</v>
      </c>
      <c r="CR68" s="254">
        <v>295</v>
      </c>
      <c r="CS68" s="254">
        <v>7.1300000000000002E-2</v>
      </c>
      <c r="CT68" s="253">
        <v>4133.93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54"/>
        <v>4.8899999999999999E-2</v>
      </c>
      <c r="DB68" s="255" t="s">
        <v>320</v>
      </c>
      <c r="DD68" s="170" t="s">
        <v>460</v>
      </c>
      <c r="DE68" s="294" t="s">
        <v>435</v>
      </c>
      <c r="DF68" s="289" t="s">
        <v>321</v>
      </c>
      <c r="DG68" s="170">
        <f>$AP47</f>
        <v>4.1135970024123253E-2</v>
      </c>
      <c r="DH68" s="170" t="s">
        <v>320</v>
      </c>
      <c r="DJ68" s="297" t="s">
        <v>429</v>
      </c>
      <c r="DK68" s="297" t="s">
        <v>391</v>
      </c>
      <c r="DL68" s="301">
        <v>294</v>
      </c>
      <c r="DM68" s="301">
        <v>0.30599999999999999</v>
      </c>
      <c r="DN68" s="297">
        <v>961.82</v>
      </c>
      <c r="DO68" s="297" t="s">
        <v>387</v>
      </c>
      <c r="DP68" s="301">
        <v>2E-16</v>
      </c>
      <c r="DQ68" s="297" t="s">
        <v>388</v>
      </c>
      <c r="DR68" s="298" t="s">
        <v>460</v>
      </c>
      <c r="DS68" s="305" t="s">
        <v>435</v>
      </c>
      <c r="DT68" s="299" t="s">
        <v>321</v>
      </c>
      <c r="DU68" s="300">
        <f t="shared" si="55"/>
        <v>5.3800000000000001E-2</v>
      </c>
      <c r="DV68" s="298" t="s">
        <v>320</v>
      </c>
    </row>
    <row r="69" spans="55:126" thickTop="1" thickBot="1" x14ac:dyDescent="0.3">
      <c r="BC69" s="81"/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3.4499999999999998E-8</v>
      </c>
      <c r="CS69" s="254">
        <v>2.08E-6</v>
      </c>
      <c r="CT69" s="253">
        <v>0.02</v>
      </c>
      <c r="CU69" s="253">
        <v>0.98680000000000001</v>
      </c>
      <c r="CW69" s="81"/>
      <c r="CZ69" s="256"/>
      <c r="DF69" s="289"/>
      <c r="DJ69" s="297" t="s">
        <v>429</v>
      </c>
      <c r="DK69" s="297" t="s">
        <v>442</v>
      </c>
      <c r="DL69" s="301">
        <v>4.6499999999999999E-7</v>
      </c>
      <c r="DM69" s="301">
        <v>4.8399999999999997E-5</v>
      </c>
      <c r="DN69" s="297">
        <v>0.01</v>
      </c>
      <c r="DO69" s="297">
        <v>0.99229999999999996</v>
      </c>
      <c r="DT69" s="299"/>
    </row>
    <row r="70" spans="55:126" thickTop="1" thickBot="1" x14ac:dyDescent="0.3">
      <c r="BC70" s="81"/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7.0300000000000001E-8</v>
      </c>
      <c r="CS70" s="254">
        <v>4.2300000000000002E-6</v>
      </c>
      <c r="CT70" s="253">
        <v>0.02</v>
      </c>
      <c r="CU70" s="253">
        <v>0.98670000000000002</v>
      </c>
      <c r="CW70" s="81"/>
      <c r="CX70" s="255" t="s">
        <v>460</v>
      </c>
      <c r="CY70" s="261" t="s">
        <v>350</v>
      </c>
      <c r="CZ70" s="256" t="s">
        <v>321</v>
      </c>
      <c r="DA70" s="257">
        <f>CR97</f>
        <v>342</v>
      </c>
      <c r="DB70" s="255" t="s">
        <v>320</v>
      </c>
      <c r="DD70" s="170" t="s">
        <v>460</v>
      </c>
      <c r="DE70" s="294" t="s">
        <v>350</v>
      </c>
      <c r="DF70" s="289" t="s">
        <v>321</v>
      </c>
      <c r="DG70" s="170">
        <f>$AP37</f>
        <v>508.68022006324281</v>
      </c>
      <c r="DH70" s="170" t="s">
        <v>320</v>
      </c>
      <c r="DJ70" s="297" t="s">
        <v>429</v>
      </c>
      <c r="DK70" s="297" t="s">
        <v>339</v>
      </c>
      <c r="DL70" s="301">
        <v>7.5099999999999999E-7</v>
      </c>
      <c r="DM70" s="301">
        <v>8.2399999999999997E-5</v>
      </c>
      <c r="DN70" s="297">
        <v>0.01</v>
      </c>
      <c r="DO70" s="297">
        <v>0.99270000000000003</v>
      </c>
      <c r="DR70" s="298" t="s">
        <v>460</v>
      </c>
      <c r="DS70" s="305" t="s">
        <v>350</v>
      </c>
      <c r="DT70" s="299" t="s">
        <v>321</v>
      </c>
      <c r="DU70" s="300">
        <f>DL97</f>
        <v>217</v>
      </c>
      <c r="DV70" s="298" t="s">
        <v>320</v>
      </c>
    </row>
    <row r="71" spans="55:126" thickTop="1" thickBot="1" x14ac:dyDescent="0.3">
      <c r="BC71" s="81"/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BY71" s="81"/>
      <c r="BZ71" s="81"/>
      <c r="CP71" s="253" t="s">
        <v>429</v>
      </c>
      <c r="CQ71" s="253" t="s">
        <v>443</v>
      </c>
      <c r="CR71" s="254">
        <v>1.5200000000000001E-3</v>
      </c>
      <c r="CS71" s="254">
        <v>3.5799999999999998E-2</v>
      </c>
      <c r="CT71" s="253">
        <v>0.04</v>
      </c>
      <c r="CU71" s="254">
        <v>0.96599999999999997</v>
      </c>
      <c r="CW71" s="81"/>
      <c r="CX71" s="255" t="s">
        <v>460</v>
      </c>
      <c r="CY71" s="261" t="s">
        <v>352</v>
      </c>
      <c r="CZ71" s="256" t="s">
        <v>321</v>
      </c>
      <c r="DA71" s="257">
        <f t="shared" ref="DA71:DA72" si="56">CR98</f>
        <v>390</v>
      </c>
      <c r="DB71" s="255" t="s">
        <v>320</v>
      </c>
      <c r="DD71" s="170" t="s">
        <v>460</v>
      </c>
      <c r="DE71" s="294" t="s">
        <v>352</v>
      </c>
      <c r="DF71" s="289" t="s">
        <v>321</v>
      </c>
      <c r="DG71" s="170">
        <f>$AP38</f>
        <v>390.50337262405009</v>
      </c>
      <c r="DH71" s="170" t="s">
        <v>320</v>
      </c>
      <c r="DJ71" s="297" t="s">
        <v>429</v>
      </c>
      <c r="DK71" s="297" t="s">
        <v>443</v>
      </c>
      <c r="DL71" s="301">
        <v>9.2099999999999998E-8</v>
      </c>
      <c r="DM71" s="301">
        <v>8.1799999999999996E-6</v>
      </c>
      <c r="DN71" s="297">
        <v>0.01</v>
      </c>
      <c r="DO71" s="301">
        <v>0.99099999999999999</v>
      </c>
      <c r="DR71" s="298" t="s">
        <v>460</v>
      </c>
      <c r="DS71" s="305" t="s">
        <v>352</v>
      </c>
      <c r="DT71" s="299" t="s">
        <v>321</v>
      </c>
      <c r="DU71" s="300">
        <f t="shared" ref="DU71:DU72" si="57">DL98</f>
        <v>429</v>
      </c>
      <c r="DV71" s="298" t="s">
        <v>320</v>
      </c>
    </row>
    <row r="72" spans="55:126" thickTop="1" thickBot="1" x14ac:dyDescent="0.3">
      <c r="BC72" s="81"/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1.0900000000000001</v>
      </c>
      <c r="CS72" s="254">
        <v>2.98E-2</v>
      </c>
      <c r="CT72" s="253">
        <v>36.57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56"/>
        <v>122</v>
      </c>
      <c r="DB72" s="255" t="s">
        <v>320</v>
      </c>
      <c r="DD72" s="170" t="s">
        <v>460</v>
      </c>
      <c r="DE72" s="294" t="s">
        <v>353</v>
      </c>
      <c r="DF72" s="289" t="s">
        <v>321</v>
      </c>
      <c r="DG72" s="296">
        <f>$AP39</f>
        <v>134.68518463795371</v>
      </c>
      <c r="DH72" s="170" t="s">
        <v>320</v>
      </c>
      <c r="DJ72" s="297" t="s">
        <v>429</v>
      </c>
      <c r="DK72" s="297" t="s">
        <v>444</v>
      </c>
      <c r="DL72" s="301">
        <v>1.22</v>
      </c>
      <c r="DM72" s="301">
        <v>8.8999999999999996E-2</v>
      </c>
      <c r="DN72" s="297">
        <v>13.65</v>
      </c>
      <c r="DO72" s="297" t="s">
        <v>387</v>
      </c>
      <c r="DP72" s="301">
        <v>2E-16</v>
      </c>
      <c r="DQ72" s="297" t="s">
        <v>388</v>
      </c>
      <c r="DR72" s="298" t="s">
        <v>460</v>
      </c>
      <c r="DS72" s="305" t="s">
        <v>353</v>
      </c>
      <c r="DT72" s="299" t="s">
        <v>321</v>
      </c>
      <c r="DU72" s="300">
        <f t="shared" si="57"/>
        <v>117</v>
      </c>
      <c r="DV72" s="298" t="s">
        <v>320</v>
      </c>
    </row>
    <row r="73" spans="55:126" thickTop="1" thickBot="1" x14ac:dyDescent="0.3">
      <c r="BC73" s="81"/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1.29</v>
      </c>
      <c r="CS73" s="254">
        <v>5.1900000000000002E-2</v>
      </c>
      <c r="CT73" s="253">
        <v>24.78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775.19379844961247</v>
      </c>
      <c r="DB73" s="255" t="s">
        <v>320</v>
      </c>
      <c r="DD73" s="170" t="s">
        <v>460</v>
      </c>
      <c r="DE73" s="294" t="s">
        <v>355</v>
      </c>
      <c r="DF73" s="289" t="s">
        <v>321</v>
      </c>
      <c r="DG73" s="170">
        <f>$AP40</f>
        <v>759.17813097137525</v>
      </c>
      <c r="DH73" s="170" t="s">
        <v>320</v>
      </c>
      <c r="DJ73" s="297" t="s">
        <v>429</v>
      </c>
      <c r="DK73" s="297" t="s">
        <v>445</v>
      </c>
      <c r="DL73" s="301">
        <v>1.58</v>
      </c>
      <c r="DM73" s="301">
        <v>0.124</v>
      </c>
      <c r="DN73" s="297">
        <v>12.8</v>
      </c>
      <c r="DO73" s="297" t="s">
        <v>387</v>
      </c>
      <c r="DP73" s="301">
        <v>2E-16</v>
      </c>
      <c r="DQ73" s="297" t="s">
        <v>388</v>
      </c>
      <c r="DR73" s="298" t="s">
        <v>460</v>
      </c>
      <c r="DS73" s="305" t="s">
        <v>355</v>
      </c>
      <c r="DT73" s="299" t="s">
        <v>321</v>
      </c>
      <c r="DU73" s="300">
        <f>1/DL104</f>
        <v>4629.6296296296296</v>
      </c>
      <c r="DV73" s="298" t="s">
        <v>320</v>
      </c>
    </row>
    <row r="74" spans="55:126" thickTop="1" thickBot="1" x14ac:dyDescent="0.3">
      <c r="BC74" s="81"/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1.21</v>
      </c>
      <c r="CS74" s="254">
        <v>0.106</v>
      </c>
      <c r="CT74" s="253">
        <v>11.38</v>
      </c>
      <c r="CU74" s="253" t="s">
        <v>387</v>
      </c>
      <c r="CV74" s="254">
        <v>2E-16</v>
      </c>
      <c r="CW74" s="81" t="s">
        <v>388</v>
      </c>
      <c r="CZ74" s="256"/>
      <c r="DF74" s="289"/>
      <c r="DJ74" s="297" t="s">
        <v>429</v>
      </c>
      <c r="DK74" s="297" t="s">
        <v>340</v>
      </c>
      <c r="DL74" s="301">
        <v>2.19</v>
      </c>
      <c r="DM74" s="301">
        <v>0.20599999999999999</v>
      </c>
      <c r="DN74" s="297">
        <v>10.62</v>
      </c>
      <c r="DO74" s="297" t="s">
        <v>387</v>
      </c>
      <c r="DP74" s="301">
        <v>2E-16</v>
      </c>
      <c r="DQ74" s="297" t="s">
        <v>388</v>
      </c>
      <c r="DT74" s="299"/>
    </row>
    <row r="75" spans="55:126" thickTop="1" thickBot="1" x14ac:dyDescent="0.3">
      <c r="BC75" s="81"/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1.46</v>
      </c>
      <c r="CS75" s="254">
        <v>3.1199999999999999E-2</v>
      </c>
      <c r="CT75" s="253">
        <v>46.68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995000000</v>
      </c>
      <c r="DB75" s="255" t="s">
        <v>320</v>
      </c>
      <c r="DD75" s="170" t="s">
        <v>460</v>
      </c>
      <c r="DE75" s="294" t="s">
        <v>425</v>
      </c>
      <c r="DF75" s="289" t="s">
        <v>321</v>
      </c>
      <c r="DG75" s="170">
        <f>$AP44</f>
        <v>24347742</v>
      </c>
      <c r="DH75" s="170" t="s">
        <v>320</v>
      </c>
      <c r="DJ75" s="297" t="s">
        <v>429</v>
      </c>
      <c r="DK75" s="297" t="s">
        <v>446</v>
      </c>
      <c r="DL75" s="301">
        <v>1.64</v>
      </c>
      <c r="DM75" s="301">
        <v>6.0299999999999999E-2</v>
      </c>
      <c r="DN75" s="297">
        <v>27.13</v>
      </c>
      <c r="DO75" s="297" t="s">
        <v>387</v>
      </c>
      <c r="DP75" s="301">
        <v>2E-16</v>
      </c>
      <c r="DQ75" s="297" t="s">
        <v>388</v>
      </c>
      <c r="DR75" s="298" t="s">
        <v>460</v>
      </c>
      <c r="DS75" s="305" t="s">
        <v>425</v>
      </c>
      <c r="DT75" s="299" t="s">
        <v>321</v>
      </c>
      <c r="DU75" s="300">
        <f>DL115</f>
        <v>993000000</v>
      </c>
      <c r="DV75" s="298" t="s">
        <v>320</v>
      </c>
    </row>
    <row r="76" spans="55:126" thickTop="1" thickBot="1" x14ac:dyDescent="0.3">
      <c r="BC76" s="81"/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0.497</v>
      </c>
      <c r="CS76" s="254">
        <v>2.4899999999999999E-2</v>
      </c>
      <c r="CT76" s="253">
        <v>19.98</v>
      </c>
      <c r="CU76" s="254" t="s">
        <v>387</v>
      </c>
      <c r="CV76" s="254">
        <v>2E-16</v>
      </c>
      <c r="CW76" s="81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993000000</v>
      </c>
      <c r="DB76" s="255" t="s">
        <v>320</v>
      </c>
      <c r="DD76" s="170" t="s">
        <v>460</v>
      </c>
      <c r="DE76" s="294" t="s">
        <v>362</v>
      </c>
      <c r="DF76" s="289" t="s">
        <v>321</v>
      </c>
      <c r="DG76" s="170">
        <f>$AP45</f>
        <v>24347742</v>
      </c>
      <c r="DH76" s="170" t="s">
        <v>320</v>
      </c>
      <c r="DJ76" s="297" t="s">
        <v>429</v>
      </c>
      <c r="DK76" s="297" t="s">
        <v>447</v>
      </c>
      <c r="DL76" s="301">
        <v>0.41799999999999998</v>
      </c>
      <c r="DM76" s="301">
        <v>5.0599999999999999E-2</v>
      </c>
      <c r="DN76" s="297">
        <v>8.26</v>
      </c>
      <c r="DO76" s="301">
        <v>2.2E-16</v>
      </c>
      <c r="DP76" s="301" t="s">
        <v>388</v>
      </c>
      <c r="DR76" s="298" t="s">
        <v>460</v>
      </c>
      <c r="DS76" s="305" t="s">
        <v>362</v>
      </c>
      <c r="DT76" s="299" t="s">
        <v>321</v>
      </c>
      <c r="DU76" s="300">
        <f>DL116</f>
        <v>982000000</v>
      </c>
      <c r="DV76" s="298" t="s">
        <v>320</v>
      </c>
    </row>
    <row r="77" spans="55:126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1.12E-20</v>
      </c>
      <c r="CS77" s="254">
        <v>2.2300000000000001E-18</v>
      </c>
      <c r="CT77" s="253">
        <v>0.01</v>
      </c>
      <c r="CU77" s="253">
        <v>0.996</v>
      </c>
      <c r="CW77" s="81"/>
      <c r="CX77" s="255" t="s">
        <v>460</v>
      </c>
      <c r="CY77" s="261" t="s">
        <v>368</v>
      </c>
      <c r="CZ77" s="256" t="s">
        <v>321</v>
      </c>
      <c r="DA77" s="257">
        <f>CR123</f>
        <v>80.5</v>
      </c>
      <c r="DB77" s="255" t="s">
        <v>320</v>
      </c>
      <c r="DD77" s="170" t="s">
        <v>460</v>
      </c>
      <c r="DE77" s="294" t="s">
        <v>368</v>
      </c>
      <c r="DF77" s="289" t="s">
        <v>321</v>
      </c>
      <c r="DG77" s="170">
        <f>$AP48</f>
        <v>608.75750577367194</v>
      </c>
      <c r="DH77" s="170" t="s">
        <v>320</v>
      </c>
      <c r="DJ77" s="297" t="s">
        <v>429</v>
      </c>
      <c r="DK77" s="297" t="s">
        <v>448</v>
      </c>
      <c r="DL77" s="301">
        <v>1.7600000000000001E-6</v>
      </c>
      <c r="DM77" s="301">
        <v>6.6500000000000001E-4</v>
      </c>
      <c r="DN77" s="297">
        <v>0</v>
      </c>
      <c r="DO77" s="297">
        <v>0.99790000000000001</v>
      </c>
      <c r="DR77" s="298" t="s">
        <v>460</v>
      </c>
      <c r="DS77" s="305" t="s">
        <v>368</v>
      </c>
      <c r="DT77" s="299" t="s">
        <v>321</v>
      </c>
      <c r="DU77" s="300">
        <f>DL123</f>
        <v>162</v>
      </c>
      <c r="DV77" s="298" t="s">
        <v>320</v>
      </c>
    </row>
    <row r="78" spans="55:126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4.8699999999999997E-14</v>
      </c>
      <c r="CS78" s="254">
        <v>6.54E-12</v>
      </c>
      <c r="CT78" s="253">
        <v>0.01</v>
      </c>
      <c r="CU78" s="253">
        <v>0.99409999999999998</v>
      </c>
      <c r="CW78" s="81"/>
      <c r="CX78" s="255" t="s">
        <v>460</v>
      </c>
      <c r="CY78" s="261" t="s">
        <v>370</v>
      </c>
      <c r="CZ78" s="256" t="s">
        <v>321</v>
      </c>
      <c r="DA78" s="257">
        <f t="shared" ref="DA78:DA79" si="58">CR124</f>
        <v>3.5400000000000002E-3</v>
      </c>
      <c r="DB78" s="255" t="s">
        <v>320</v>
      </c>
      <c r="DD78" s="170" t="s">
        <v>460</v>
      </c>
      <c r="DE78" s="294" t="s">
        <v>370</v>
      </c>
      <c r="DF78" s="289" t="s">
        <v>321</v>
      </c>
      <c r="DG78" s="170">
        <f>$AP49</f>
        <v>304.37875288683597</v>
      </c>
      <c r="DH78" s="170" t="s">
        <v>320</v>
      </c>
      <c r="DJ78" s="297" t="s">
        <v>429</v>
      </c>
      <c r="DK78" s="297" t="s">
        <v>341</v>
      </c>
      <c r="DL78" s="301">
        <v>6.5600000000000005E-8</v>
      </c>
      <c r="DM78" s="301">
        <v>3.5899999999999998E-5</v>
      </c>
      <c r="DN78" s="297">
        <v>0</v>
      </c>
      <c r="DO78" s="297">
        <v>0.99850000000000005</v>
      </c>
      <c r="DR78" s="298" t="s">
        <v>460</v>
      </c>
      <c r="DS78" s="305" t="s">
        <v>370</v>
      </c>
      <c r="DT78" s="299" t="s">
        <v>321</v>
      </c>
      <c r="DU78" s="300">
        <f t="shared" ref="DU78:DU79" si="59">DL124</f>
        <v>824</v>
      </c>
      <c r="DV78" s="298" t="s">
        <v>320</v>
      </c>
    </row>
    <row r="79" spans="55:126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0.223</v>
      </c>
      <c r="CS79" s="254">
        <v>5.2699999999999997E-2</v>
      </c>
      <c r="CT79" s="253">
        <v>4.24</v>
      </c>
      <c r="CU79" s="254">
        <v>2.3E-5</v>
      </c>
      <c r="CV79" s="253" t="s">
        <v>388</v>
      </c>
      <c r="CW79" s="81"/>
      <c r="CX79" s="255" t="s">
        <v>460</v>
      </c>
      <c r="CY79" s="261" t="s">
        <v>372</v>
      </c>
      <c r="CZ79" s="256" t="s">
        <v>321</v>
      </c>
      <c r="DA79" s="257">
        <f t="shared" si="58"/>
        <v>141</v>
      </c>
      <c r="DB79" s="255" t="s">
        <v>320</v>
      </c>
      <c r="DD79" s="170" t="s">
        <v>460</v>
      </c>
      <c r="DE79" s="294" t="s">
        <v>372</v>
      </c>
      <c r="DF79" s="289" t="s">
        <v>321</v>
      </c>
      <c r="DG79" s="170">
        <f>$AP50</f>
        <v>608.75750577367194</v>
      </c>
      <c r="DH79" s="170" t="s">
        <v>320</v>
      </c>
      <c r="DJ79" s="297" t="s">
        <v>429</v>
      </c>
      <c r="DK79" s="297" t="s">
        <v>449</v>
      </c>
      <c r="DL79" s="301">
        <v>0.20799999999999999</v>
      </c>
      <c r="DM79" s="301">
        <v>8.1799999999999998E-2</v>
      </c>
      <c r="DN79" s="297">
        <v>2.54</v>
      </c>
      <c r="DO79" s="301">
        <v>1.11E-2</v>
      </c>
      <c r="DP79" s="297" t="s">
        <v>432</v>
      </c>
      <c r="DR79" s="298" t="s">
        <v>460</v>
      </c>
      <c r="DS79" s="305" t="s">
        <v>372</v>
      </c>
      <c r="DT79" s="299" t="s">
        <v>321</v>
      </c>
      <c r="DU79" s="300">
        <f t="shared" si="59"/>
        <v>80</v>
      </c>
      <c r="DV79" s="298" t="s">
        <v>320</v>
      </c>
    </row>
    <row r="80" spans="55:126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0.152</v>
      </c>
      <c r="CS80" s="254">
        <v>5.7000000000000002E-2</v>
      </c>
      <c r="CT80" s="253">
        <v>2.67</v>
      </c>
      <c r="CU80" s="253">
        <v>7.6E-3</v>
      </c>
      <c r="CV80" s="253" t="s">
        <v>426</v>
      </c>
      <c r="CW80" s="81"/>
      <c r="DJ80" s="297" t="s">
        <v>429</v>
      </c>
      <c r="DK80" s="297" t="s">
        <v>450</v>
      </c>
      <c r="DL80" s="301">
        <v>0.33100000000000002</v>
      </c>
      <c r="DM80" s="301">
        <v>0.127</v>
      </c>
      <c r="DN80" s="297">
        <v>2.61</v>
      </c>
      <c r="DO80" s="297">
        <v>9.1000000000000004E-3</v>
      </c>
      <c r="DP80" s="297" t="s">
        <v>426</v>
      </c>
    </row>
    <row r="81" spans="55:12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BU81" s="81"/>
      <c r="BV81" s="81"/>
      <c r="BW81" s="81"/>
      <c r="BX81" s="81"/>
      <c r="BY81" s="81"/>
      <c r="BZ81" s="81"/>
      <c r="CP81" s="253" t="s">
        <v>429</v>
      </c>
      <c r="CQ81" s="253" t="s">
        <v>451</v>
      </c>
      <c r="CR81" s="254">
        <v>0.503</v>
      </c>
      <c r="CS81" s="254">
        <v>2.3199999999999998E-2</v>
      </c>
      <c r="CT81" s="253">
        <v>21.66</v>
      </c>
      <c r="CU81" s="253" t="s">
        <v>387</v>
      </c>
      <c r="CV81" s="254">
        <v>2E-16</v>
      </c>
      <c r="CW81" s="81" t="s">
        <v>388</v>
      </c>
      <c r="DJ81" s="297" t="s">
        <v>429</v>
      </c>
      <c r="DK81" s="297" t="s">
        <v>451</v>
      </c>
      <c r="DL81" s="301">
        <v>0.36899999999999999</v>
      </c>
      <c r="DM81" s="301">
        <v>3.6600000000000001E-2</v>
      </c>
      <c r="DN81" s="297">
        <v>10.09</v>
      </c>
      <c r="DO81" s="297" t="s">
        <v>387</v>
      </c>
      <c r="DP81" s="301">
        <v>2E-16</v>
      </c>
      <c r="DQ81" s="297" t="s">
        <v>388</v>
      </c>
    </row>
    <row r="82" spans="55:12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BU82" s="81"/>
      <c r="BV82" s="81"/>
      <c r="BW82" s="81"/>
      <c r="BX82" s="81"/>
      <c r="BY82" s="81"/>
      <c r="BZ82" s="81"/>
      <c r="CP82" s="253" t="s">
        <v>429</v>
      </c>
      <c r="CQ82" s="253" t="s">
        <v>452</v>
      </c>
      <c r="CR82" s="254">
        <v>0.81200000000000006</v>
      </c>
      <c r="CS82" s="254">
        <v>5.0799999999999998E-2</v>
      </c>
      <c r="CT82" s="253">
        <v>15.98</v>
      </c>
      <c r="CU82" s="253" t="s">
        <v>387</v>
      </c>
      <c r="CV82" s="254">
        <v>2E-16</v>
      </c>
      <c r="CW82" s="81" t="s">
        <v>388</v>
      </c>
      <c r="DJ82" s="297" t="s">
        <v>429</v>
      </c>
      <c r="DK82" s="297" t="s">
        <v>452</v>
      </c>
      <c r="DL82" s="301">
        <v>0.31</v>
      </c>
      <c r="DM82" s="301">
        <v>7.6899999999999996E-2</v>
      </c>
      <c r="DN82" s="297">
        <v>4.0199999999999996</v>
      </c>
      <c r="DO82" s="301">
        <v>5.8E-5</v>
      </c>
      <c r="DP82" s="301" t="s">
        <v>388</v>
      </c>
    </row>
    <row r="83" spans="55:12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BZ83" s="81"/>
      <c r="CP83" s="253" t="s">
        <v>429</v>
      </c>
      <c r="CQ83" s="253" t="s">
        <v>453</v>
      </c>
      <c r="CR83" s="254">
        <v>0.59099999999999997</v>
      </c>
      <c r="CS83" s="254">
        <v>1.32E-2</v>
      </c>
      <c r="CT83" s="253">
        <v>44.66</v>
      </c>
      <c r="CU83" s="253" t="s">
        <v>387</v>
      </c>
      <c r="CV83" s="254">
        <v>2E-16</v>
      </c>
      <c r="CW83" s="81" t="s">
        <v>388</v>
      </c>
      <c r="DJ83" s="297" t="s">
        <v>429</v>
      </c>
      <c r="DK83" s="297" t="s">
        <v>453</v>
      </c>
      <c r="DL83" s="301">
        <v>0.42299999999999999</v>
      </c>
      <c r="DM83" s="301">
        <v>1.78E-2</v>
      </c>
      <c r="DN83" s="297">
        <v>23.8</v>
      </c>
      <c r="DO83" s="297" t="s">
        <v>387</v>
      </c>
      <c r="DP83" s="301">
        <v>2E-16</v>
      </c>
      <c r="DQ83" s="297" t="s">
        <v>388</v>
      </c>
    </row>
    <row r="84" spans="55:12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0.187</v>
      </c>
      <c r="CS84" s="254">
        <v>1.0500000000000001E-2</v>
      </c>
      <c r="CT84" s="253">
        <v>17.79</v>
      </c>
      <c r="CU84" s="253" t="s">
        <v>387</v>
      </c>
      <c r="CV84" s="254">
        <v>2E-16</v>
      </c>
      <c r="CW84" s="81" t="s">
        <v>388</v>
      </c>
      <c r="DJ84" s="297" t="s">
        <v>429</v>
      </c>
      <c r="DK84" s="297" t="s">
        <v>454</v>
      </c>
      <c r="DL84" s="301">
        <v>9.8000000000000004E-2</v>
      </c>
      <c r="DM84" s="301">
        <v>1.49E-2</v>
      </c>
      <c r="DN84" s="297">
        <v>6.59</v>
      </c>
      <c r="DO84" s="301">
        <v>4.8000000000000002E-11</v>
      </c>
      <c r="DP84" s="301" t="s">
        <v>388</v>
      </c>
    </row>
    <row r="85" spans="55:12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994000000</v>
      </c>
      <c r="CS85" s="254">
        <v>38000000</v>
      </c>
      <c r="CT85" s="253">
        <v>26.2</v>
      </c>
      <c r="CU85" s="253" t="s">
        <v>387</v>
      </c>
      <c r="CV85" s="254">
        <v>2E-16</v>
      </c>
      <c r="CW85" s="81" t="s">
        <v>388</v>
      </c>
      <c r="DJ85" s="297" t="s">
        <v>429</v>
      </c>
      <c r="DK85" s="297" t="s">
        <v>306</v>
      </c>
      <c r="DL85" s="301">
        <v>981000000</v>
      </c>
      <c r="DM85" s="301">
        <v>305000000</v>
      </c>
      <c r="DN85" s="297">
        <v>3.22</v>
      </c>
      <c r="DO85" s="297">
        <v>1.2999999999999999E-3</v>
      </c>
      <c r="DP85" s="301" t="s">
        <v>426</v>
      </c>
    </row>
    <row r="86" spans="55:12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BY86" s="81"/>
      <c r="BZ86" s="81"/>
      <c r="CP86" s="253" t="s">
        <v>429</v>
      </c>
      <c r="CQ86" s="253" t="s">
        <v>398</v>
      </c>
      <c r="CR86" s="254">
        <v>1930000</v>
      </c>
      <c r="CS86" s="254">
        <v>17900</v>
      </c>
      <c r="CT86" s="253">
        <v>108.23</v>
      </c>
      <c r="CU86" s="253" t="s">
        <v>387</v>
      </c>
      <c r="CV86" s="254">
        <v>2E-16</v>
      </c>
      <c r="CW86" s="81" t="s">
        <v>388</v>
      </c>
      <c r="DJ86" s="297" t="s">
        <v>429</v>
      </c>
      <c r="DK86" s="297" t="s">
        <v>398</v>
      </c>
      <c r="DL86" s="301">
        <v>901000</v>
      </c>
      <c r="DM86" s="301">
        <v>53700</v>
      </c>
      <c r="DN86" s="297">
        <v>16.760000000000002</v>
      </c>
      <c r="DO86" s="297" t="s">
        <v>387</v>
      </c>
      <c r="DP86" s="301">
        <v>2E-16</v>
      </c>
      <c r="DQ86" s="297" t="s">
        <v>388</v>
      </c>
    </row>
    <row r="87" spans="55:12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BY87" s="81"/>
      <c r="BZ87" s="81"/>
      <c r="CP87" s="253" t="s">
        <v>429</v>
      </c>
      <c r="CQ87" s="253" t="s">
        <v>299</v>
      </c>
      <c r="CR87" s="254">
        <v>17000000</v>
      </c>
      <c r="CS87" s="254">
        <v>566000</v>
      </c>
      <c r="CT87" s="253">
        <v>29.93</v>
      </c>
      <c r="CU87" s="254" t="s">
        <v>387</v>
      </c>
      <c r="CV87" s="254">
        <v>2E-16</v>
      </c>
      <c r="CW87" s="81" t="s">
        <v>388</v>
      </c>
      <c r="DJ87" s="297" t="s">
        <v>429</v>
      </c>
      <c r="DK87" s="297" t="s">
        <v>299</v>
      </c>
      <c r="DL87" s="301">
        <v>68600000</v>
      </c>
      <c r="DM87" s="301">
        <v>194000000</v>
      </c>
      <c r="DN87" s="297">
        <v>0.35</v>
      </c>
      <c r="DO87" s="301">
        <v>0.72399999999999998</v>
      </c>
      <c r="DP87" s="301"/>
    </row>
    <row r="88" spans="55:12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BZ88" s="81"/>
      <c r="CP88" s="253" t="s">
        <v>429</v>
      </c>
      <c r="CQ88" s="253" t="s">
        <v>301</v>
      </c>
      <c r="CR88" s="254">
        <v>17400000</v>
      </c>
      <c r="CS88" s="254">
        <v>545000</v>
      </c>
      <c r="CT88" s="253">
        <v>31.98</v>
      </c>
      <c r="CU88" s="253" t="s">
        <v>387</v>
      </c>
      <c r="CV88" s="254">
        <v>2E-16</v>
      </c>
      <c r="CW88" s="81" t="s">
        <v>388</v>
      </c>
      <c r="DJ88" s="297" t="s">
        <v>429</v>
      </c>
      <c r="DK88" s="297" t="s">
        <v>301</v>
      </c>
      <c r="DL88" s="301">
        <v>27000000</v>
      </c>
      <c r="DM88" s="301">
        <v>939000</v>
      </c>
      <c r="DN88" s="297">
        <v>28.77</v>
      </c>
      <c r="DO88" s="297" t="s">
        <v>387</v>
      </c>
      <c r="DP88" s="301">
        <v>2E-16</v>
      </c>
      <c r="DQ88" s="297" t="s">
        <v>388</v>
      </c>
    </row>
    <row r="89" spans="55:12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BZ89" s="81"/>
      <c r="CP89" s="253" t="s">
        <v>429</v>
      </c>
      <c r="CQ89" s="253" t="s">
        <v>399</v>
      </c>
      <c r="CR89" s="254">
        <v>-41</v>
      </c>
      <c r="CS89" s="254">
        <v>77.900000000000006</v>
      </c>
      <c r="CT89" s="253">
        <v>-0.53</v>
      </c>
      <c r="CU89" s="253">
        <v>0.59819999999999995</v>
      </c>
      <c r="CV89" s="254"/>
      <c r="CW89" s="81"/>
      <c r="DJ89" s="297" t="s">
        <v>429</v>
      </c>
      <c r="DK89" s="297" t="s">
        <v>399</v>
      </c>
      <c r="DL89" s="301">
        <v>-4.6100000000000003</v>
      </c>
      <c r="DM89" s="301">
        <v>0.29299999999999998</v>
      </c>
      <c r="DN89" s="297">
        <v>-15.7</v>
      </c>
      <c r="DO89" s="297" t="s">
        <v>387</v>
      </c>
      <c r="DP89" s="301">
        <v>2E-16</v>
      </c>
      <c r="DQ89" s="297" t="s">
        <v>388</v>
      </c>
    </row>
    <row r="90" spans="55:12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-23.7</v>
      </c>
      <c r="CS90" s="254">
        <v>123</v>
      </c>
      <c r="CT90" s="253">
        <v>-0.19</v>
      </c>
      <c r="CU90" s="253">
        <v>0.84709999999999996</v>
      </c>
      <c r="CV90" s="254"/>
      <c r="CW90" s="81"/>
      <c r="DJ90" s="297" t="s">
        <v>429</v>
      </c>
      <c r="DK90" s="297" t="s">
        <v>400</v>
      </c>
      <c r="DL90" s="301">
        <v>-11.9</v>
      </c>
      <c r="DM90" s="301">
        <v>520</v>
      </c>
      <c r="DN90" s="297">
        <v>-0.02</v>
      </c>
      <c r="DO90" s="297">
        <v>0.98170000000000002</v>
      </c>
      <c r="DP90" s="301"/>
    </row>
    <row r="91" spans="55:12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-24.8</v>
      </c>
      <c r="CS91" s="254">
        <v>130</v>
      </c>
      <c r="CT91" s="253">
        <v>-0.19</v>
      </c>
      <c r="CU91" s="253">
        <v>0.84889999999999999</v>
      </c>
      <c r="CV91" s="254"/>
      <c r="CW91" s="81"/>
      <c r="DJ91" s="297" t="s">
        <v>429</v>
      </c>
      <c r="DK91" s="297" t="s">
        <v>401</v>
      </c>
      <c r="DL91" s="301">
        <v>-11.7</v>
      </c>
      <c r="DM91" s="301">
        <v>489</v>
      </c>
      <c r="DN91" s="297">
        <v>-0.02</v>
      </c>
      <c r="DO91" s="297">
        <v>0.98089999999999999</v>
      </c>
      <c r="DP91" s="301"/>
    </row>
    <row r="92" spans="55:12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-28.5</v>
      </c>
      <c r="CS92" s="254">
        <v>172</v>
      </c>
      <c r="CT92" s="253">
        <v>-0.17</v>
      </c>
      <c r="CU92" s="253">
        <v>0.86809999999999998</v>
      </c>
      <c r="CV92" s="254"/>
      <c r="CW92" s="81"/>
      <c r="DJ92" s="297" t="s">
        <v>429</v>
      </c>
      <c r="DK92" s="297" t="s">
        <v>402</v>
      </c>
      <c r="DL92" s="301">
        <v>-12.3</v>
      </c>
      <c r="DM92" s="301">
        <v>660</v>
      </c>
      <c r="DN92" s="297">
        <v>-0.02</v>
      </c>
      <c r="DO92" s="297">
        <v>0.98509999999999998</v>
      </c>
      <c r="DP92" s="301"/>
    </row>
    <row r="93" spans="55:12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0.113</v>
      </c>
      <c r="CS93" s="254">
        <v>7.3999999999999999E-4</v>
      </c>
      <c r="CT93" s="253">
        <v>153.16</v>
      </c>
      <c r="CU93" s="253" t="s">
        <v>387</v>
      </c>
      <c r="CV93" s="254">
        <v>2E-16</v>
      </c>
      <c r="CW93" s="81" t="s">
        <v>388</v>
      </c>
      <c r="DJ93" s="297" t="s">
        <v>429</v>
      </c>
      <c r="DK93" s="297" t="s">
        <v>404</v>
      </c>
      <c r="DL93" s="301">
        <v>0.156</v>
      </c>
      <c r="DM93" s="301">
        <v>2.23E-2</v>
      </c>
      <c r="DN93" s="297">
        <v>7</v>
      </c>
      <c r="DO93" s="301">
        <v>2.9000000000000002E-12</v>
      </c>
      <c r="DP93" s="301" t="s">
        <v>388</v>
      </c>
    </row>
    <row r="94" spans="55:12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0.13200000000000001</v>
      </c>
      <c r="CS94" s="254">
        <v>5.9100000000000005E-4</v>
      </c>
      <c r="CT94" s="253">
        <v>223.45</v>
      </c>
      <c r="CU94" s="253" t="s">
        <v>387</v>
      </c>
      <c r="CV94" s="254">
        <v>2E-16</v>
      </c>
      <c r="CW94" s="81" t="s">
        <v>388</v>
      </c>
      <c r="DJ94" s="297" t="s">
        <v>429</v>
      </c>
      <c r="DK94" s="297" t="s">
        <v>405</v>
      </c>
      <c r="DL94" s="301">
        <v>0.155</v>
      </c>
      <c r="DM94" s="301">
        <v>1.04E-2</v>
      </c>
      <c r="DN94" s="297">
        <v>14.8</v>
      </c>
      <c r="DO94" s="297" t="s">
        <v>387</v>
      </c>
      <c r="DP94" s="301">
        <v>2E-16</v>
      </c>
      <c r="DQ94" s="297" t="s">
        <v>388</v>
      </c>
    </row>
    <row r="95" spans="55:12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BY95" s="81"/>
      <c r="BZ95" s="81"/>
      <c r="CP95" s="253" t="s">
        <v>429</v>
      </c>
      <c r="CQ95" s="253" t="s">
        <v>406</v>
      </c>
      <c r="CR95" s="254">
        <v>0.68600000000000005</v>
      </c>
      <c r="CS95" s="254">
        <v>2.8400000000000001E-3</v>
      </c>
      <c r="CT95" s="253">
        <v>241.44</v>
      </c>
      <c r="CU95" s="253" t="s">
        <v>387</v>
      </c>
      <c r="CV95" s="254">
        <v>2E-16</v>
      </c>
      <c r="CW95" s="81" t="s">
        <v>388</v>
      </c>
      <c r="DJ95" s="297" t="s">
        <v>429</v>
      </c>
      <c r="DK95" s="297" t="s">
        <v>406</v>
      </c>
      <c r="DL95" s="301">
        <v>0.59799999999999998</v>
      </c>
      <c r="DM95" s="301">
        <v>3.0499999999999999E-2</v>
      </c>
      <c r="DN95" s="297">
        <v>19.63</v>
      </c>
      <c r="DO95" s="297" t="s">
        <v>387</v>
      </c>
      <c r="DP95" s="301">
        <v>2E-16</v>
      </c>
      <c r="DQ95" s="297" t="s">
        <v>388</v>
      </c>
    </row>
    <row r="96" spans="55:12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4.8899999999999999E-2</v>
      </c>
      <c r="CS96" s="254">
        <v>2.41E-4</v>
      </c>
      <c r="CT96" s="253">
        <v>203.46</v>
      </c>
      <c r="CU96" s="253" t="s">
        <v>387</v>
      </c>
      <c r="CV96" s="254">
        <v>2E-16</v>
      </c>
      <c r="CW96" s="81" t="s">
        <v>388</v>
      </c>
      <c r="DJ96" s="297" t="s">
        <v>429</v>
      </c>
      <c r="DK96" s="297" t="s">
        <v>407</v>
      </c>
      <c r="DL96" s="301">
        <v>5.3800000000000001E-2</v>
      </c>
      <c r="DM96" s="301">
        <v>1.6800000000000001E-3</v>
      </c>
      <c r="DN96" s="297">
        <v>31.97</v>
      </c>
      <c r="DO96" s="297" t="s">
        <v>387</v>
      </c>
      <c r="DP96" s="301">
        <v>2E-16</v>
      </c>
      <c r="DQ96" s="297" t="s">
        <v>388</v>
      </c>
    </row>
    <row r="97" spans="94:121" thickTop="1" thickBot="1" x14ac:dyDescent="0.3">
      <c r="CP97" s="253" t="s">
        <v>429</v>
      </c>
      <c r="CQ97" s="253" t="s">
        <v>409</v>
      </c>
      <c r="CR97" s="254">
        <v>342</v>
      </c>
      <c r="CS97" s="254">
        <v>2.6</v>
      </c>
      <c r="CT97" s="253">
        <v>131.66</v>
      </c>
      <c r="CU97" s="253" t="s">
        <v>387</v>
      </c>
      <c r="CV97" s="254">
        <v>2E-16</v>
      </c>
      <c r="CW97" s="81" t="s">
        <v>388</v>
      </c>
      <c r="DJ97" s="297" t="s">
        <v>429</v>
      </c>
      <c r="DK97" s="297" t="s">
        <v>409</v>
      </c>
      <c r="DL97" s="301">
        <v>217</v>
      </c>
      <c r="DM97" s="301">
        <v>42.1</v>
      </c>
      <c r="DN97" s="297">
        <v>5.14</v>
      </c>
      <c r="DO97" s="301">
        <v>2.8000000000000002E-7</v>
      </c>
      <c r="DP97" s="301" t="s">
        <v>388</v>
      </c>
    </row>
    <row r="98" spans="94:121" thickTop="1" thickBot="1" x14ac:dyDescent="0.3">
      <c r="CP98" s="253" t="s">
        <v>429</v>
      </c>
      <c r="CQ98" s="253" t="s">
        <v>293</v>
      </c>
      <c r="CR98" s="254">
        <v>390</v>
      </c>
      <c r="CS98" s="254">
        <v>2.3199999999999998</v>
      </c>
      <c r="CT98" s="253">
        <v>168.39</v>
      </c>
      <c r="CU98" s="253" t="s">
        <v>387</v>
      </c>
      <c r="CV98" s="254">
        <v>2E-16</v>
      </c>
      <c r="CW98" s="81" t="s">
        <v>388</v>
      </c>
      <c r="DJ98" s="297" t="s">
        <v>429</v>
      </c>
      <c r="DK98" s="297" t="s">
        <v>293</v>
      </c>
      <c r="DL98" s="301">
        <v>429</v>
      </c>
      <c r="DM98" s="301">
        <v>13.9</v>
      </c>
      <c r="DN98" s="297">
        <v>31</v>
      </c>
      <c r="DO98" s="297" t="s">
        <v>387</v>
      </c>
      <c r="DP98" s="301">
        <v>2E-16</v>
      </c>
      <c r="DQ98" s="297" t="s">
        <v>388</v>
      </c>
    </row>
    <row r="99" spans="94:121" thickTop="1" thickBot="1" x14ac:dyDescent="0.3">
      <c r="CP99" s="253" t="s">
        <v>429</v>
      </c>
      <c r="CQ99" s="253" t="s">
        <v>120</v>
      </c>
      <c r="CR99" s="254">
        <v>122</v>
      </c>
      <c r="CS99" s="254">
        <v>1.07</v>
      </c>
      <c r="CT99" s="253">
        <v>113.24</v>
      </c>
      <c r="CU99" s="253" t="s">
        <v>387</v>
      </c>
      <c r="CV99" s="254">
        <v>2E-16</v>
      </c>
      <c r="CW99" s="81" t="s">
        <v>388</v>
      </c>
      <c r="DJ99" s="297" t="s">
        <v>429</v>
      </c>
      <c r="DK99" s="297" t="s">
        <v>120</v>
      </c>
      <c r="DL99" s="301">
        <v>117</v>
      </c>
      <c r="DM99" s="301">
        <v>1.65</v>
      </c>
      <c r="DN99" s="297">
        <v>70.56</v>
      </c>
      <c r="DO99" s="297" t="s">
        <v>387</v>
      </c>
      <c r="DP99" s="301">
        <v>2E-16</v>
      </c>
      <c r="DQ99" s="297" t="s">
        <v>388</v>
      </c>
    </row>
    <row r="100" spans="94:121" thickTop="1" thickBot="1" x14ac:dyDescent="0.3">
      <c r="CP100" s="253" t="s">
        <v>429</v>
      </c>
      <c r="CQ100" s="253" t="s">
        <v>411</v>
      </c>
      <c r="CR100" s="254">
        <v>-5.98</v>
      </c>
      <c r="CS100" s="254">
        <v>1.6E-2</v>
      </c>
      <c r="CT100" s="253">
        <v>-373.29</v>
      </c>
      <c r="CU100" s="253" t="s">
        <v>387</v>
      </c>
      <c r="CV100" s="254">
        <v>2E-16</v>
      </c>
      <c r="CW100" s="81" t="s">
        <v>388</v>
      </c>
      <c r="DJ100" s="297" t="s">
        <v>429</v>
      </c>
      <c r="DK100" s="297" t="s">
        <v>411</v>
      </c>
      <c r="DL100" s="301">
        <v>-4.72</v>
      </c>
      <c r="DM100" s="301">
        <v>0.128</v>
      </c>
      <c r="DN100" s="297">
        <v>-36.770000000000003</v>
      </c>
      <c r="DO100" s="297" t="s">
        <v>387</v>
      </c>
      <c r="DP100" s="301">
        <v>2E-16</v>
      </c>
      <c r="DQ100" s="297" t="s">
        <v>388</v>
      </c>
    </row>
    <row r="101" spans="94:121" thickTop="1" thickBot="1" x14ac:dyDescent="0.3">
      <c r="CP101" s="253" t="s">
        <v>429</v>
      </c>
      <c r="CQ101" s="253" t="s">
        <v>412</v>
      </c>
      <c r="CR101" s="254">
        <v>-5.95</v>
      </c>
      <c r="CS101" s="254">
        <v>1.6E-2</v>
      </c>
      <c r="CT101" s="253">
        <v>-370.7</v>
      </c>
      <c r="CU101" s="253" t="s">
        <v>387</v>
      </c>
      <c r="CV101" s="254">
        <v>2E-16</v>
      </c>
      <c r="CW101" s="81" t="s">
        <v>388</v>
      </c>
      <c r="DJ101" s="297" t="s">
        <v>429</v>
      </c>
      <c r="DK101" s="297" t="s">
        <v>412</v>
      </c>
      <c r="DL101" s="301">
        <v>-4.74</v>
      </c>
      <c r="DM101" s="301">
        <v>0.183</v>
      </c>
      <c r="DN101" s="297">
        <v>-25.86</v>
      </c>
      <c r="DO101" s="297" t="s">
        <v>387</v>
      </c>
      <c r="DP101" s="301">
        <v>2E-16</v>
      </c>
      <c r="DQ101" s="297" t="s">
        <v>388</v>
      </c>
    </row>
    <row r="102" spans="94:121" thickTop="1" thickBot="1" x14ac:dyDescent="0.3">
      <c r="CP102" s="253" t="s">
        <v>429</v>
      </c>
      <c r="CQ102" s="253" t="s">
        <v>413</v>
      </c>
      <c r="CR102" s="254">
        <v>-6.31</v>
      </c>
      <c r="CS102" s="254">
        <v>1.61E-2</v>
      </c>
      <c r="CT102" s="253">
        <v>-391.46</v>
      </c>
      <c r="CU102" s="253" t="s">
        <v>387</v>
      </c>
      <c r="CV102" s="254">
        <v>2E-16</v>
      </c>
      <c r="CW102" s="81" t="s">
        <v>388</v>
      </c>
      <c r="DJ102" s="297" t="s">
        <v>429</v>
      </c>
      <c r="DK102" s="297" t="s">
        <v>413</v>
      </c>
      <c r="DL102" s="301">
        <v>-5.91</v>
      </c>
      <c r="DM102" s="301">
        <v>4.53E-2</v>
      </c>
      <c r="DN102" s="297">
        <v>-130.38999999999999</v>
      </c>
      <c r="DO102" s="297" t="s">
        <v>387</v>
      </c>
      <c r="DP102" s="301">
        <v>2E-16</v>
      </c>
      <c r="DQ102" s="297" t="s">
        <v>388</v>
      </c>
    </row>
    <row r="103" spans="94:121" thickTop="1" thickBot="1" x14ac:dyDescent="0.3">
      <c r="CP103" s="253" t="s">
        <v>429</v>
      </c>
      <c r="CQ103" s="253" t="s">
        <v>414</v>
      </c>
      <c r="CR103" s="254">
        <v>-6.14</v>
      </c>
      <c r="CS103" s="254">
        <v>1.6500000000000001E-2</v>
      </c>
      <c r="CT103" s="253">
        <v>-371.97</v>
      </c>
      <c r="CU103" s="253" t="s">
        <v>387</v>
      </c>
      <c r="CV103" s="254">
        <v>2E-16</v>
      </c>
      <c r="CW103" s="81" t="s">
        <v>388</v>
      </c>
      <c r="DJ103" s="297" t="s">
        <v>429</v>
      </c>
      <c r="DK103" s="297" t="s">
        <v>414</v>
      </c>
      <c r="DL103" s="301">
        <v>-5.31</v>
      </c>
      <c r="DM103" s="301">
        <v>2.58E-2</v>
      </c>
      <c r="DN103" s="297">
        <v>-205.98</v>
      </c>
      <c r="DO103" s="297" t="s">
        <v>387</v>
      </c>
      <c r="DP103" s="301">
        <v>2E-16</v>
      </c>
      <c r="DQ103" s="297" t="s">
        <v>388</v>
      </c>
    </row>
    <row r="104" spans="94:121" thickTop="1" thickBot="1" x14ac:dyDescent="0.3">
      <c r="CP104" s="253" t="s">
        <v>429</v>
      </c>
      <c r="CQ104" s="253" t="s">
        <v>416</v>
      </c>
      <c r="CR104" s="254">
        <v>1.2899999999999999E-3</v>
      </c>
      <c r="CS104" s="254">
        <v>2.0800000000000001E-5</v>
      </c>
      <c r="CT104" s="253">
        <v>61.95</v>
      </c>
      <c r="CU104" s="253" t="s">
        <v>387</v>
      </c>
      <c r="CV104" s="254">
        <v>2E-16</v>
      </c>
      <c r="CW104" s="81" t="s">
        <v>388</v>
      </c>
      <c r="DJ104" s="297" t="s">
        <v>429</v>
      </c>
      <c r="DK104" s="297" t="s">
        <v>416</v>
      </c>
      <c r="DL104" s="301">
        <v>2.1599999999999999E-4</v>
      </c>
      <c r="DM104" s="301">
        <v>5.13E-4</v>
      </c>
      <c r="DN104" s="297">
        <v>0.42</v>
      </c>
      <c r="DO104" s="297">
        <v>0.67430000000000001</v>
      </c>
      <c r="DP104" s="301"/>
    </row>
    <row r="105" spans="94:121" thickTop="1" thickBot="1" x14ac:dyDescent="0.3">
      <c r="CP105" s="253" t="s">
        <v>429</v>
      </c>
      <c r="CQ105" s="253" t="s">
        <v>417</v>
      </c>
      <c r="CR105" s="254">
        <v>140</v>
      </c>
      <c r="CS105" s="254">
        <v>1.01</v>
      </c>
      <c r="CT105" s="253">
        <v>138.93</v>
      </c>
      <c r="CU105" s="253" t="s">
        <v>387</v>
      </c>
      <c r="CV105" s="254">
        <v>2E-16</v>
      </c>
      <c r="CW105" s="81" t="s">
        <v>388</v>
      </c>
      <c r="DJ105" s="297" t="s">
        <v>429</v>
      </c>
      <c r="DK105" s="297" t="s">
        <v>417</v>
      </c>
      <c r="DL105" s="301">
        <v>76.599999999999994</v>
      </c>
      <c r="DM105" s="301">
        <v>1.91</v>
      </c>
      <c r="DN105" s="297">
        <v>40.14</v>
      </c>
      <c r="DO105" s="297" t="s">
        <v>387</v>
      </c>
      <c r="DP105" s="301">
        <v>2E-16</v>
      </c>
      <c r="DQ105" s="297" t="s">
        <v>388</v>
      </c>
    </row>
    <row r="106" spans="94:121" thickTop="1" thickBot="1" x14ac:dyDescent="0.3">
      <c r="CP106" s="253" t="s">
        <v>429</v>
      </c>
      <c r="CQ106" s="253" t="s">
        <v>418</v>
      </c>
      <c r="CR106" s="254">
        <v>6.1000000000000004E-3</v>
      </c>
      <c r="CS106" s="254">
        <v>0.46300000000000002</v>
      </c>
      <c r="CT106" s="253">
        <v>0.01</v>
      </c>
      <c r="CU106" s="253">
        <v>0.98950000000000005</v>
      </c>
      <c r="CV106" s="254"/>
      <c r="CW106" s="81"/>
      <c r="DJ106" s="297" t="s">
        <v>429</v>
      </c>
      <c r="DK106" s="297" t="s">
        <v>418</v>
      </c>
      <c r="DL106" s="301">
        <v>2000</v>
      </c>
      <c r="DM106" s="301">
        <v>926</v>
      </c>
      <c r="DN106" s="297">
        <v>2.17</v>
      </c>
      <c r="DO106" s="297">
        <v>3.04E-2</v>
      </c>
      <c r="DP106" s="301" t="s">
        <v>432</v>
      </c>
    </row>
    <row r="108" spans="94:121" thickTop="1" thickBot="1" x14ac:dyDescent="0.3">
      <c r="CP108" s="253" t="s">
        <v>429</v>
      </c>
      <c r="CQ108" s="253" t="s">
        <v>420</v>
      </c>
      <c r="CR108" s="253" t="s">
        <v>422</v>
      </c>
      <c r="CW108" s="81"/>
      <c r="DJ108" s="297" t="s">
        <v>429</v>
      </c>
      <c r="DK108" s="297" t="s">
        <v>420</v>
      </c>
      <c r="DL108" s="297" t="s">
        <v>422</v>
      </c>
    </row>
    <row r="109" spans="94:121" thickTop="1" thickBot="1" x14ac:dyDescent="0.3">
      <c r="CP109" s="253" t="s">
        <v>429</v>
      </c>
      <c r="CQ109" s="253" t="s">
        <v>379</v>
      </c>
      <c r="CW109" s="81"/>
      <c r="DJ109" s="297" t="s">
        <v>429</v>
      </c>
      <c r="DK109" s="297" t="s">
        <v>379</v>
      </c>
    </row>
    <row r="110" spans="94:12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  <c r="CW110" s="81"/>
      <c r="DJ110" s="297" t="s">
        <v>429</v>
      </c>
      <c r="DK110" s="297" t="s">
        <v>380</v>
      </c>
      <c r="DL110" s="297" t="s">
        <v>381</v>
      </c>
      <c r="DM110" s="297" t="s">
        <v>382</v>
      </c>
      <c r="DN110" s="297" t="s">
        <v>383</v>
      </c>
      <c r="DO110" s="297" t="s">
        <v>384</v>
      </c>
      <c r="DP110" s="297" t="s">
        <v>385</v>
      </c>
    </row>
    <row r="111" spans="94:121" thickTop="1" thickBot="1" x14ac:dyDescent="0.3">
      <c r="CP111" s="253" t="s">
        <v>429</v>
      </c>
      <c r="CQ111" s="253" t="s">
        <v>423</v>
      </c>
      <c r="CR111" s="254">
        <v>290</v>
      </c>
      <c r="CS111" s="254">
        <v>9.6699999999999994E-2</v>
      </c>
      <c r="CT111" s="253">
        <v>3001.95</v>
      </c>
      <c r="CU111" s="253" t="s">
        <v>431</v>
      </c>
      <c r="CV111" s="254" t="s">
        <v>388</v>
      </c>
      <c r="CW111" s="81" t="s">
        <v>388</v>
      </c>
      <c r="DJ111" s="297" t="s">
        <v>429</v>
      </c>
      <c r="DK111" s="297" t="s">
        <v>423</v>
      </c>
      <c r="DL111" s="301">
        <v>290</v>
      </c>
      <c r="DM111" s="301">
        <v>0.215</v>
      </c>
      <c r="DN111" s="297">
        <v>1352.06</v>
      </c>
      <c r="DO111" s="297" t="s">
        <v>431</v>
      </c>
      <c r="DP111" s="301" t="s">
        <v>388</v>
      </c>
      <c r="DQ111" s="297" t="s">
        <v>388</v>
      </c>
    </row>
    <row r="112" spans="94:121" thickTop="1" thickBot="1" x14ac:dyDescent="0.3">
      <c r="CP112" s="253" t="s">
        <v>429</v>
      </c>
      <c r="CQ112" s="253" t="s">
        <v>424</v>
      </c>
      <c r="CR112" s="254">
        <v>295</v>
      </c>
      <c r="CS112" s="254">
        <v>8.9300000000000004E-2</v>
      </c>
      <c r="CT112" s="253">
        <v>3300.22</v>
      </c>
      <c r="CU112" s="253" t="s">
        <v>431</v>
      </c>
      <c r="CV112" s="254" t="s">
        <v>388</v>
      </c>
      <c r="CW112" s="81" t="s">
        <v>388</v>
      </c>
      <c r="DJ112" s="297" t="s">
        <v>429</v>
      </c>
      <c r="DK112" s="297" t="s">
        <v>424</v>
      </c>
      <c r="DL112" s="301">
        <v>294</v>
      </c>
      <c r="DM112" s="301">
        <v>0.28799999999999998</v>
      </c>
      <c r="DN112" s="297">
        <v>1017.72</v>
      </c>
      <c r="DO112" s="297" t="s">
        <v>431</v>
      </c>
      <c r="DP112" s="301" t="s">
        <v>388</v>
      </c>
      <c r="DQ112" s="297" t="s">
        <v>388</v>
      </c>
    </row>
    <row r="113" spans="94:121" thickTop="1" thickBot="1" x14ac:dyDescent="0.3">
      <c r="CP113" s="253" t="s">
        <v>429</v>
      </c>
      <c r="CQ113" s="253" t="s">
        <v>356</v>
      </c>
      <c r="CR113" s="254">
        <v>6.1499999999999999E-2</v>
      </c>
      <c r="CS113" s="254">
        <v>1.8600000000000001E-3</v>
      </c>
      <c r="CT113" s="253">
        <v>32.99</v>
      </c>
      <c r="CU113" s="253" t="s">
        <v>431</v>
      </c>
      <c r="CV113" s="253" t="s">
        <v>388</v>
      </c>
      <c r="CW113" s="81"/>
      <c r="DJ113" s="297" t="s">
        <v>429</v>
      </c>
      <c r="DK113" s="297" t="s">
        <v>356</v>
      </c>
      <c r="DL113" s="301">
        <v>0.109</v>
      </c>
      <c r="DM113" s="301">
        <v>5.9699999999999996E-3</v>
      </c>
      <c r="DN113" s="297">
        <v>18.27</v>
      </c>
      <c r="DO113" s="297" t="s">
        <v>431</v>
      </c>
      <c r="DP113" s="297" t="s">
        <v>388</v>
      </c>
    </row>
    <row r="114" spans="94:121" thickTop="1" thickBot="1" x14ac:dyDescent="0.3">
      <c r="CP114" s="253" t="s">
        <v>429</v>
      </c>
      <c r="CQ114" s="253" t="s">
        <v>358</v>
      </c>
      <c r="CR114" s="254">
        <v>0.187</v>
      </c>
      <c r="CS114" s="254">
        <v>2.8E-3</v>
      </c>
      <c r="CT114" s="253">
        <v>66.8</v>
      </c>
      <c r="CU114" s="253" t="s">
        <v>431</v>
      </c>
      <c r="CV114" s="253" t="s">
        <v>388</v>
      </c>
      <c r="CW114" s="81"/>
      <c r="DJ114" s="297" t="s">
        <v>429</v>
      </c>
      <c r="DK114" s="297" t="s">
        <v>358</v>
      </c>
      <c r="DL114" s="301">
        <v>0.126</v>
      </c>
      <c r="DM114" s="301">
        <v>4.1099999999999999E-3</v>
      </c>
      <c r="DN114" s="297">
        <v>30.69</v>
      </c>
      <c r="DO114" s="297" t="s">
        <v>431</v>
      </c>
      <c r="DP114" s="297" t="s">
        <v>388</v>
      </c>
    </row>
    <row r="115" spans="94:121" thickTop="1" thickBot="1" x14ac:dyDescent="0.3">
      <c r="CP115" s="253" t="s">
        <v>429</v>
      </c>
      <c r="CQ115" s="253" t="s">
        <v>425</v>
      </c>
      <c r="CR115" s="254">
        <v>995000000</v>
      </c>
      <c r="CS115" s="254">
        <v>20000000</v>
      </c>
      <c r="CT115" s="253">
        <v>49.83</v>
      </c>
      <c r="CU115" s="254" t="s">
        <v>431</v>
      </c>
      <c r="CV115" s="253" t="s">
        <v>388</v>
      </c>
      <c r="CW115" s="81"/>
      <c r="DJ115" s="297" t="s">
        <v>429</v>
      </c>
      <c r="DK115" s="297" t="s">
        <v>425</v>
      </c>
      <c r="DL115" s="301">
        <v>993000000</v>
      </c>
      <c r="DM115" s="301">
        <v>47300000</v>
      </c>
      <c r="DN115" s="297">
        <v>20.99</v>
      </c>
      <c r="DO115" s="301" t="s">
        <v>431</v>
      </c>
      <c r="DP115" s="297" t="s">
        <v>388</v>
      </c>
    </row>
    <row r="116" spans="94:121" thickTop="1" thickBot="1" x14ac:dyDescent="0.3">
      <c r="CP116" s="253" t="s">
        <v>429</v>
      </c>
      <c r="CQ116" s="253" t="s">
        <v>362</v>
      </c>
      <c r="CR116" s="254">
        <v>993000000</v>
      </c>
      <c r="CS116" s="254">
        <v>44000000</v>
      </c>
      <c r="CT116" s="253">
        <v>22.55</v>
      </c>
      <c r="CU116" s="253" t="s">
        <v>431</v>
      </c>
      <c r="CV116" s="253" t="s">
        <v>388</v>
      </c>
      <c r="CW116" s="81"/>
      <c r="DJ116" s="297" t="s">
        <v>429</v>
      </c>
      <c r="DK116" s="297" t="s">
        <v>362</v>
      </c>
      <c r="DL116" s="301">
        <v>982000000</v>
      </c>
      <c r="DM116" s="301">
        <v>437000000</v>
      </c>
      <c r="DN116" s="297">
        <v>2.25</v>
      </c>
      <c r="DO116" s="297">
        <v>2.5000000000000001E-2</v>
      </c>
      <c r="DP116" s="297" t="s">
        <v>432</v>
      </c>
    </row>
    <row r="117" spans="94:121" thickTop="1" thickBot="1" x14ac:dyDescent="0.3">
      <c r="CP117" s="253" t="s">
        <v>429</v>
      </c>
      <c r="CQ117" s="253" t="s">
        <v>403</v>
      </c>
      <c r="CR117" s="254">
        <v>-15.9</v>
      </c>
      <c r="CS117" s="254">
        <v>343</v>
      </c>
      <c r="CT117" s="253">
        <v>-0.05</v>
      </c>
      <c r="CU117" s="253">
        <v>0.96</v>
      </c>
      <c r="CV117" s="254"/>
      <c r="CW117" s="81" t="s">
        <v>388</v>
      </c>
      <c r="DJ117" s="297" t="s">
        <v>429</v>
      </c>
      <c r="DK117" s="297" t="s">
        <v>403</v>
      </c>
      <c r="DL117" s="301">
        <v>-12.4</v>
      </c>
      <c r="DM117" s="301">
        <v>2170</v>
      </c>
      <c r="DN117" s="297">
        <v>-0.01</v>
      </c>
      <c r="DO117" s="297">
        <v>0.995</v>
      </c>
      <c r="DP117" s="301"/>
      <c r="DQ117" s="297" t="s">
        <v>388</v>
      </c>
    </row>
    <row r="118" spans="94:121" thickTop="1" thickBot="1" x14ac:dyDescent="0.3">
      <c r="CP118" s="253" t="s">
        <v>429</v>
      </c>
      <c r="CQ118" s="253" t="s">
        <v>427</v>
      </c>
      <c r="CR118" s="254">
        <v>-15.4</v>
      </c>
      <c r="CS118" s="254">
        <v>556</v>
      </c>
      <c r="CT118" s="253">
        <v>-0.03</v>
      </c>
      <c r="CU118" s="253">
        <v>0.98</v>
      </c>
      <c r="CV118" s="254"/>
      <c r="CW118" s="81" t="s">
        <v>388</v>
      </c>
      <c r="DJ118" s="297" t="s">
        <v>429</v>
      </c>
      <c r="DK118" s="297" t="s">
        <v>427</v>
      </c>
      <c r="DL118" s="301">
        <v>-12.6</v>
      </c>
      <c r="DM118" s="301">
        <v>338</v>
      </c>
      <c r="DN118" s="297">
        <v>-0.04</v>
      </c>
      <c r="DO118" s="297">
        <v>0.97</v>
      </c>
      <c r="DP118" s="301"/>
      <c r="DQ118" s="297" t="s">
        <v>388</v>
      </c>
    </row>
    <row r="119" spans="94:121" thickTop="1" thickBot="1" x14ac:dyDescent="0.3">
      <c r="CP119" s="253" t="s">
        <v>429</v>
      </c>
      <c r="CQ119" s="253" t="s">
        <v>434</v>
      </c>
      <c r="CR119" s="254">
        <v>2.1499999999999998E-2</v>
      </c>
      <c r="CS119" s="254">
        <v>1.2E-4</v>
      </c>
      <c r="CT119" s="253">
        <v>179.09</v>
      </c>
      <c r="CU119" s="253" t="s">
        <v>431</v>
      </c>
      <c r="CV119" s="254" t="s">
        <v>388</v>
      </c>
      <c r="CW119" s="81" t="s">
        <v>388</v>
      </c>
      <c r="DJ119" s="297" t="s">
        <v>429</v>
      </c>
      <c r="DK119" s="297" t="s">
        <v>434</v>
      </c>
      <c r="DL119" s="301">
        <v>2.8799999999999999E-2</v>
      </c>
      <c r="DM119" s="301">
        <v>5.9199999999999997E-4</v>
      </c>
      <c r="DN119" s="297">
        <v>48.74</v>
      </c>
      <c r="DO119" s="297" t="s">
        <v>431</v>
      </c>
      <c r="DP119" s="301" t="s">
        <v>388</v>
      </c>
      <c r="DQ119" s="297" t="s">
        <v>388</v>
      </c>
    </row>
    <row r="120" spans="94:121" thickTop="1" thickBot="1" x14ac:dyDescent="0.3">
      <c r="CP120" s="253" t="s">
        <v>429</v>
      </c>
      <c r="CQ120" s="253" t="s">
        <v>435</v>
      </c>
      <c r="CR120" s="254">
        <v>4.8000000000000001E-2</v>
      </c>
      <c r="CS120" s="254">
        <v>2.13E-4</v>
      </c>
      <c r="CT120" s="253">
        <v>225.27</v>
      </c>
      <c r="CU120" s="253" t="s">
        <v>431</v>
      </c>
      <c r="CV120" s="254" t="s">
        <v>388</v>
      </c>
      <c r="CW120" s="81" t="s">
        <v>388</v>
      </c>
      <c r="DJ120" s="297" t="s">
        <v>429</v>
      </c>
      <c r="DK120" s="297" t="s">
        <v>435</v>
      </c>
      <c r="DL120" s="301">
        <v>4.9299999999999997E-2</v>
      </c>
      <c r="DM120" s="301">
        <v>8.2299999999999995E-4</v>
      </c>
      <c r="DN120" s="297">
        <v>59.96</v>
      </c>
      <c r="DO120" s="297" t="s">
        <v>431</v>
      </c>
      <c r="DP120" s="301" t="s">
        <v>388</v>
      </c>
      <c r="DQ120" s="297" t="s">
        <v>388</v>
      </c>
    </row>
    <row r="121" spans="94:121" thickTop="1" thickBot="1" x14ac:dyDescent="0.3">
      <c r="CP121" s="253" t="s">
        <v>429</v>
      </c>
      <c r="CQ121" s="253" t="s">
        <v>415</v>
      </c>
      <c r="CR121" s="254">
        <v>-5.86</v>
      </c>
      <c r="CS121" s="254">
        <v>1.7100000000000001E-2</v>
      </c>
      <c r="CT121" s="253">
        <v>-341.64</v>
      </c>
      <c r="CU121" s="253" t="s">
        <v>431</v>
      </c>
      <c r="CV121" s="254" t="s">
        <v>388</v>
      </c>
      <c r="CW121" s="81" t="s">
        <v>388</v>
      </c>
      <c r="DJ121" s="297" t="s">
        <v>429</v>
      </c>
      <c r="DK121" s="297" t="s">
        <v>415</v>
      </c>
      <c r="DL121" s="301">
        <v>-5.0199999999999996</v>
      </c>
      <c r="DM121" s="301">
        <v>2.4799999999999999E-2</v>
      </c>
      <c r="DN121" s="297">
        <v>-202.31</v>
      </c>
      <c r="DO121" s="297" t="s">
        <v>431</v>
      </c>
      <c r="DP121" s="301" t="s">
        <v>388</v>
      </c>
      <c r="DQ121" s="297" t="s">
        <v>388</v>
      </c>
    </row>
    <row r="122" spans="94:121" thickTop="1" thickBot="1" x14ac:dyDescent="0.3">
      <c r="CP122" s="253" t="s">
        <v>429</v>
      </c>
      <c r="CQ122" s="253" t="s">
        <v>428</v>
      </c>
      <c r="CR122" s="254">
        <v>-5.73</v>
      </c>
      <c r="CS122" s="254">
        <v>1.5900000000000001E-2</v>
      </c>
      <c r="CT122" s="253">
        <v>-360.98</v>
      </c>
      <c r="CU122" s="253" t="s">
        <v>431</v>
      </c>
      <c r="CV122" s="253" t="s">
        <v>388</v>
      </c>
      <c r="CW122" s="81"/>
      <c r="DJ122" s="297" t="s">
        <v>429</v>
      </c>
      <c r="DK122" s="297" t="s">
        <v>428</v>
      </c>
      <c r="DL122" s="301">
        <v>-5.33</v>
      </c>
      <c r="DM122" s="301">
        <v>2.29E-2</v>
      </c>
      <c r="DN122" s="297">
        <v>-233.02</v>
      </c>
      <c r="DO122" s="297" t="s">
        <v>431</v>
      </c>
      <c r="DP122" s="297" t="s">
        <v>388</v>
      </c>
    </row>
    <row r="123" spans="94:121" thickTop="1" thickBot="1" x14ac:dyDescent="0.3">
      <c r="CP123" s="253" t="s">
        <v>429</v>
      </c>
      <c r="CQ123" s="253" t="s">
        <v>368</v>
      </c>
      <c r="CR123" s="254">
        <v>80.5</v>
      </c>
      <c r="CS123" s="254">
        <v>0.371</v>
      </c>
      <c r="CT123" s="253">
        <v>217.28</v>
      </c>
      <c r="CU123" s="253" t="s">
        <v>431</v>
      </c>
      <c r="CV123" s="254" t="s">
        <v>388</v>
      </c>
      <c r="CW123" s="81" t="s">
        <v>388</v>
      </c>
      <c r="DJ123" s="297" t="s">
        <v>429</v>
      </c>
      <c r="DK123" s="297" t="s">
        <v>368</v>
      </c>
      <c r="DL123" s="301">
        <v>162</v>
      </c>
      <c r="DM123" s="301">
        <v>1.57</v>
      </c>
      <c r="DN123" s="297">
        <v>102.93</v>
      </c>
      <c r="DO123" s="297" t="s">
        <v>431</v>
      </c>
      <c r="DP123" s="301" t="s">
        <v>388</v>
      </c>
      <c r="DQ123" s="297" t="s">
        <v>388</v>
      </c>
    </row>
    <row r="124" spans="94:121" thickTop="1" thickBot="1" x14ac:dyDescent="0.3">
      <c r="CP124" s="253" t="s">
        <v>429</v>
      </c>
      <c r="CQ124" s="253" t="s">
        <v>370</v>
      </c>
      <c r="CR124" s="254">
        <v>3.5400000000000002E-3</v>
      </c>
      <c r="CS124" s="254">
        <v>1.46</v>
      </c>
      <c r="CT124" s="253">
        <v>0</v>
      </c>
      <c r="CU124" s="253">
        <v>1</v>
      </c>
      <c r="DJ124" s="297" t="s">
        <v>429</v>
      </c>
      <c r="DK124" s="297" t="s">
        <v>370</v>
      </c>
      <c r="DL124" s="301">
        <v>824</v>
      </c>
      <c r="DM124" s="301">
        <v>1340</v>
      </c>
      <c r="DN124" s="297">
        <v>0.61</v>
      </c>
      <c r="DO124" s="297">
        <v>0.53900000000000003</v>
      </c>
    </row>
    <row r="125" spans="94:121" thickTop="1" thickBot="1" x14ac:dyDescent="0.3">
      <c r="CP125" s="253" t="s">
        <v>429</v>
      </c>
      <c r="CQ125" s="253" t="s">
        <v>372</v>
      </c>
      <c r="CR125" s="254">
        <v>141</v>
      </c>
      <c r="CS125" s="254">
        <v>1.21</v>
      </c>
      <c r="CT125" s="253">
        <v>116.05</v>
      </c>
      <c r="CU125" s="253" t="s">
        <v>431</v>
      </c>
      <c r="CV125" s="253" t="s">
        <v>388</v>
      </c>
      <c r="DJ125" s="297" t="s">
        <v>429</v>
      </c>
      <c r="DK125" s="297" t="s">
        <v>372</v>
      </c>
      <c r="DL125" s="301">
        <v>80</v>
      </c>
      <c r="DM125" s="301">
        <v>1.5</v>
      </c>
      <c r="DN125" s="297">
        <v>53.17</v>
      </c>
      <c r="DO125" s="297" t="s">
        <v>431</v>
      </c>
      <c r="DP125" s="297" t="s">
        <v>388</v>
      </c>
    </row>
  </sheetData>
  <mergeCells count="8">
    <mergeCell ref="W3:AH3"/>
    <mergeCell ref="E33:F33"/>
    <mergeCell ref="E34:F34"/>
    <mergeCell ref="E36:F36"/>
    <mergeCell ref="A1:G1"/>
    <mergeCell ref="A3:H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123"/>
  <sheetViews>
    <sheetView topLeftCell="A16" zoomScale="70" zoomScaleNormal="70" workbookViewId="0">
      <selection sqref="A1:G1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153"/>
    <col min="18" max="20" width="9.140625" style="81"/>
    <col min="21" max="21" width="9.140625" style="1"/>
    <col min="22" max="34" width="9.140625" style="81"/>
    <col min="35" max="36" width="9.140625" style="158"/>
    <col min="37" max="37" width="9.140625" style="159"/>
    <col min="38" max="38" width="10.28515625" style="159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61"/>
    <col min="51" max="51" width="14.7109375" style="162" bestFit="1" customWidth="1"/>
    <col min="52" max="52" width="9.140625" style="161"/>
    <col min="53" max="53" width="9.140625" style="171"/>
    <col min="54" max="67" width="9.140625" style="81"/>
    <col min="68" max="68" width="13.5703125" style="81" bestFit="1" customWidth="1"/>
    <col min="69" max="69" width="9.140625" style="81"/>
    <col min="70" max="70" width="9.140625" style="171"/>
    <col min="71" max="71" width="9.140625" style="81"/>
    <col min="72" max="72" width="11.7109375" style="81" customWidth="1"/>
    <col min="73" max="77" width="9.140625" style="81"/>
    <col min="78" max="81" width="9.140625" style="172"/>
    <col min="82" max="82" width="16.5703125" style="172" customWidth="1"/>
    <col min="83" max="83" width="9.140625" style="172"/>
    <col min="84" max="84" width="9.140625" style="81"/>
    <col min="85" max="86" width="9.140625" style="248"/>
    <col min="87" max="87" width="15" style="81" customWidth="1"/>
    <col min="88" max="88" width="12.140625" style="79" customWidth="1"/>
    <col min="89" max="90" width="11.28515625" style="79" customWidth="1"/>
    <col min="91" max="92" width="9.140625" style="81"/>
    <col min="93" max="99" width="9.140625" style="253"/>
    <col min="100" max="100" width="9.140625" style="81"/>
    <col min="101" max="101" width="15.5703125" style="255" bestFit="1" customWidth="1"/>
    <col min="102" max="105" width="9.140625" style="255"/>
    <col min="106" max="16384" width="9.140625" style="81"/>
  </cols>
  <sheetData>
    <row r="1" spans="1:105" ht="20.25" customHeight="1" thickTop="1" thickBot="1" x14ac:dyDescent="0.35">
      <c r="A1" s="309" t="s">
        <v>310</v>
      </c>
      <c r="B1" s="309"/>
      <c r="C1" s="309"/>
      <c r="D1" s="309"/>
      <c r="E1" s="309"/>
      <c r="F1" s="309"/>
      <c r="G1" s="309"/>
      <c r="AN1" s="160" t="s">
        <v>312</v>
      </c>
      <c r="BB1" s="81" t="s">
        <v>377</v>
      </c>
      <c r="BS1" s="81" t="s">
        <v>378</v>
      </c>
    </row>
    <row r="2" spans="1:105" thickTop="1" thickBot="1" x14ac:dyDescent="0.3">
      <c r="AN2" s="81" t="s">
        <v>313</v>
      </c>
      <c r="CI2" s="81" t="s">
        <v>314</v>
      </c>
      <c r="CJ2" s="79" t="s">
        <v>437</v>
      </c>
      <c r="CK2" s="79" t="s">
        <v>438</v>
      </c>
      <c r="CL2" s="79" t="s">
        <v>439</v>
      </c>
      <c r="CO2" s="253" t="s">
        <v>440</v>
      </c>
    </row>
    <row r="3" spans="1:105" thickTop="1" thickBot="1" x14ac:dyDescent="0.3">
      <c r="A3" s="312" t="s">
        <v>1</v>
      </c>
      <c r="B3" s="313"/>
      <c r="C3" s="313"/>
      <c r="D3" s="313"/>
      <c r="E3" s="313"/>
      <c r="F3" s="313"/>
      <c r="G3" s="313"/>
      <c r="H3" s="314"/>
      <c r="J3" s="306" t="s">
        <v>2</v>
      </c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4"/>
      <c r="V3" s="306" t="s">
        <v>3</v>
      </c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N3" s="163" t="s">
        <v>314</v>
      </c>
      <c r="AO3" s="164" t="s">
        <v>315</v>
      </c>
      <c r="AP3" s="164"/>
      <c r="AQ3" s="165"/>
      <c r="AR3" s="165"/>
      <c r="AS3" s="165"/>
      <c r="AU3" s="166" t="s">
        <v>316</v>
      </c>
      <c r="BC3" s="81" t="s">
        <v>420</v>
      </c>
      <c r="BD3" s="81" t="s">
        <v>430</v>
      </c>
      <c r="BL3" s="166" t="s">
        <v>316</v>
      </c>
      <c r="BM3" s="161"/>
      <c r="BN3" s="161"/>
      <c r="BO3" s="161"/>
      <c r="BP3" s="162"/>
      <c r="BQ3" s="161"/>
      <c r="BS3" s="81" t="s">
        <v>379</v>
      </c>
      <c r="BZ3" s="172" t="s">
        <v>316</v>
      </c>
      <c r="CD3" s="173"/>
      <c r="CI3" s="81" t="s">
        <v>319</v>
      </c>
      <c r="CJ3" s="249">
        <f>AY4</f>
        <v>0.19453426012991223</v>
      </c>
      <c r="CK3" s="249">
        <f>BP4</f>
        <v>0.18</v>
      </c>
      <c r="CL3" s="249">
        <f>CD4</f>
        <v>0.20100000000000001</v>
      </c>
      <c r="CW3" s="255" t="s">
        <v>459</v>
      </c>
    </row>
    <row r="4" spans="1:105" ht="15.75" customHeight="1" thickTop="1" thickBot="1" x14ac:dyDescent="0.3">
      <c r="A4" s="176" t="s">
        <v>6</v>
      </c>
      <c r="B4" s="177">
        <f>'Tabula data'!B5</f>
        <v>531.70000000000005</v>
      </c>
      <c r="C4" s="177" t="s">
        <v>7</v>
      </c>
      <c r="D4" s="176" t="s">
        <v>8</v>
      </c>
      <c r="E4" s="177"/>
      <c r="F4" s="177"/>
      <c r="G4" s="178">
        <f>SUM(H6:H13)</f>
        <v>30.600000000000005</v>
      </c>
      <c r="H4" s="179" t="s">
        <v>9</v>
      </c>
      <c r="K4" s="315" t="s">
        <v>2</v>
      </c>
      <c r="L4" s="316"/>
      <c r="M4" s="316"/>
      <c r="N4" s="316"/>
      <c r="O4" s="317"/>
      <c r="W4" s="223"/>
      <c r="X4" s="223"/>
      <c r="Y4" s="224" t="s">
        <v>4</v>
      </c>
      <c r="Z4" s="224">
        <v>1.9</v>
      </c>
      <c r="AA4" s="224" t="s">
        <v>5</v>
      </c>
      <c r="AB4" s="223"/>
      <c r="AC4" s="223"/>
      <c r="AD4" s="223"/>
      <c r="AL4" s="159" t="s">
        <v>317</v>
      </c>
      <c r="AM4" s="81" t="s">
        <v>318</v>
      </c>
      <c r="AN4" s="81" t="s">
        <v>319</v>
      </c>
      <c r="AO4" s="81">
        <f>SUM(N6:N9)/SUM($N$6:$N$14,$N$26:$N$27)</f>
        <v>0.19453426012991223</v>
      </c>
      <c r="AP4" s="81" t="s">
        <v>320</v>
      </c>
      <c r="AQ4" s="167">
        <v>0.1641929</v>
      </c>
      <c r="AU4" s="168" t="s">
        <v>317</v>
      </c>
      <c r="AV4" s="168" t="s">
        <v>318</v>
      </c>
      <c r="AW4" s="168" t="s">
        <v>319</v>
      </c>
      <c r="AX4" s="169" t="s">
        <v>321</v>
      </c>
      <c r="AY4" s="162">
        <f>AO4</f>
        <v>0.19453426012991223</v>
      </c>
      <c r="AZ4" s="168" t="s">
        <v>320</v>
      </c>
      <c r="BC4" s="81" t="s">
        <v>379</v>
      </c>
      <c r="BL4" s="168" t="s">
        <v>317</v>
      </c>
      <c r="BM4" s="168" t="s">
        <v>318</v>
      </c>
      <c r="BN4" s="168" t="s">
        <v>319</v>
      </c>
      <c r="BO4" s="169" t="s">
        <v>321</v>
      </c>
      <c r="BP4" s="162">
        <f>BD11</f>
        <v>0.18</v>
      </c>
      <c r="BQ4" s="168" t="s">
        <v>320</v>
      </c>
      <c r="BS4" s="81" t="s">
        <v>380</v>
      </c>
      <c r="BT4" s="81" t="s">
        <v>381</v>
      </c>
      <c r="BU4" s="81" t="s">
        <v>382</v>
      </c>
      <c r="BV4" s="81" t="s">
        <v>383</v>
      </c>
      <c r="BW4" s="81" t="s">
        <v>384</v>
      </c>
      <c r="BX4" s="81" t="s">
        <v>385</v>
      </c>
      <c r="BZ4" s="174" t="s">
        <v>317</v>
      </c>
      <c r="CA4" s="174" t="s">
        <v>318</v>
      </c>
      <c r="CB4" s="174" t="s">
        <v>319</v>
      </c>
      <c r="CC4" s="174" t="s">
        <v>321</v>
      </c>
      <c r="CD4" s="173">
        <f>BT10</f>
        <v>0.20100000000000001</v>
      </c>
      <c r="CE4" s="174" t="s">
        <v>320</v>
      </c>
      <c r="CI4" s="81" t="s">
        <v>322</v>
      </c>
      <c r="CJ4" s="249">
        <f t="shared" ref="CJ4:CJ49" si="0">AY5</f>
        <v>0.19453426012991223</v>
      </c>
      <c r="CK4" s="249">
        <f t="shared" ref="CK4:CK6" si="1">BP5</f>
        <v>0.33600000000000002</v>
      </c>
      <c r="CL4" s="249">
        <f t="shared" ref="CL4:CL49" si="2">CD5</f>
        <v>0.39800000000000002</v>
      </c>
      <c r="CO4" s="253" t="s">
        <v>429</v>
      </c>
      <c r="CP4" s="253" t="s">
        <v>420</v>
      </c>
      <c r="CQ4" s="253" t="s">
        <v>441</v>
      </c>
    </row>
    <row r="5" spans="1:105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J5" s="81" t="s">
        <v>10</v>
      </c>
      <c r="K5" s="208" t="s">
        <v>11</v>
      </c>
      <c r="L5" s="209" t="s">
        <v>12</v>
      </c>
      <c r="M5" s="209" t="s">
        <v>13</v>
      </c>
      <c r="N5" s="209" t="s">
        <v>14</v>
      </c>
      <c r="O5" s="210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25" t="s">
        <v>20</v>
      </c>
      <c r="X5" s="226"/>
      <c r="Y5" s="227" t="s">
        <v>21</v>
      </c>
      <c r="Z5" s="228">
        <f>1/(1/10+SUM(AC7:AC10)+1/23)</f>
        <v>0.2816515182597264</v>
      </c>
      <c r="AA5" s="226" t="s">
        <v>5</v>
      </c>
      <c r="AB5" s="226"/>
      <c r="AC5" s="226" t="s">
        <v>22</v>
      </c>
      <c r="AD5" s="229">
        <f>SUM(AD7:AD10)</f>
        <v>59808</v>
      </c>
      <c r="AE5" s="14" t="s">
        <v>23</v>
      </c>
      <c r="AF5" s="14">
        <f>AD10</f>
        <v>16380</v>
      </c>
      <c r="AG5" s="14"/>
      <c r="AL5" s="159" t="s">
        <v>317</v>
      </c>
      <c r="AM5" s="81" t="s">
        <v>318</v>
      </c>
      <c r="AN5" s="81" t="s">
        <v>322</v>
      </c>
      <c r="AO5" s="81">
        <f>SUM(N27)/SUM($N$6:$N$14,$N$26:$N$27)</f>
        <v>0.19453426012991223</v>
      </c>
      <c r="AP5" s="81" t="s">
        <v>320</v>
      </c>
      <c r="AQ5" s="167">
        <v>0.42146270000000002</v>
      </c>
      <c r="AU5" s="168" t="s">
        <v>317</v>
      </c>
      <c r="AV5" s="168" t="s">
        <v>318</v>
      </c>
      <c r="AW5" s="168" t="s">
        <v>322</v>
      </c>
      <c r="AX5" s="169" t="s">
        <v>321</v>
      </c>
      <c r="AY5" s="162">
        <f t="shared" ref="AY5:AY7" si="3">AO5</f>
        <v>0.19453426012991223</v>
      </c>
      <c r="AZ5" s="168" t="s">
        <v>320</v>
      </c>
      <c r="BC5" s="81" t="s">
        <v>380</v>
      </c>
      <c r="BD5" s="81" t="s">
        <v>381</v>
      </c>
      <c r="BE5" s="81" t="s">
        <v>382</v>
      </c>
      <c r="BF5" s="81" t="s">
        <v>383</v>
      </c>
      <c r="BG5" s="81" t="s">
        <v>384</v>
      </c>
      <c r="BH5" s="81" t="s">
        <v>385</v>
      </c>
      <c r="BL5" s="168" t="s">
        <v>317</v>
      </c>
      <c r="BM5" s="168" t="s">
        <v>318</v>
      </c>
      <c r="BN5" s="168" t="s">
        <v>322</v>
      </c>
      <c r="BO5" s="169" t="s">
        <v>321</v>
      </c>
      <c r="BP5" s="162">
        <f t="shared" ref="BP5:BP7" si="4">BD12</f>
        <v>0.33600000000000002</v>
      </c>
      <c r="BQ5" s="168" t="s">
        <v>320</v>
      </c>
      <c r="BS5" s="81" t="s">
        <v>386</v>
      </c>
      <c r="BT5" s="167">
        <v>290</v>
      </c>
      <c r="BU5" s="167">
        <v>0.17599999999999999</v>
      </c>
      <c r="BV5" s="81">
        <v>1648.59</v>
      </c>
      <c r="BW5" s="81" t="s">
        <v>387</v>
      </c>
      <c r="BX5" s="167">
        <v>2E-16</v>
      </c>
      <c r="BY5" s="81" t="s">
        <v>388</v>
      </c>
      <c r="BZ5" s="174" t="s">
        <v>317</v>
      </c>
      <c r="CA5" s="174" t="s">
        <v>318</v>
      </c>
      <c r="CB5" s="174" t="s">
        <v>322</v>
      </c>
      <c r="CC5" s="174" t="s">
        <v>321</v>
      </c>
      <c r="CD5" s="173">
        <f t="shared" ref="CD5:CD7" si="5">BT11</f>
        <v>0.39800000000000002</v>
      </c>
      <c r="CE5" s="174" t="s">
        <v>320</v>
      </c>
      <c r="CI5" s="81" t="s">
        <v>323</v>
      </c>
      <c r="CJ5" s="249">
        <f t="shared" si="0"/>
        <v>6.8641466054890299E-2</v>
      </c>
      <c r="CK5" s="249">
        <f t="shared" si="1"/>
        <v>0.33700000000000002</v>
      </c>
      <c r="CL5" s="249">
        <f t="shared" si="2"/>
        <v>5.96E-2</v>
      </c>
      <c r="CO5" s="253" t="s">
        <v>429</v>
      </c>
      <c r="CP5" s="253" t="s">
        <v>379</v>
      </c>
      <c r="CW5" s="255" t="s">
        <v>460</v>
      </c>
      <c r="CX5" s="256" t="s">
        <v>461</v>
      </c>
      <c r="CY5" s="256" t="s">
        <v>321</v>
      </c>
      <c r="CZ5" s="257">
        <f>CQ12</f>
        <v>0.96099999999999997</v>
      </c>
      <c r="DA5" s="255" t="s">
        <v>320</v>
      </c>
    </row>
    <row r="6" spans="1:105" ht="15" customHeight="1" thickTop="1" thickBot="1" x14ac:dyDescent="0.3">
      <c r="A6" s="185" t="s">
        <v>34</v>
      </c>
      <c r="B6" s="186">
        <f>'Tabula data'!B4</f>
        <v>193.4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0.19346405228758171</v>
      </c>
      <c r="G6" s="183"/>
      <c r="H6" s="190">
        <f>'Tabula data'!B22*'Tabula Ref1'!C45</f>
        <v>5.9200000000000008</v>
      </c>
      <c r="J6" s="81" t="s">
        <v>24</v>
      </c>
      <c r="K6" s="211">
        <v>0</v>
      </c>
      <c r="L6" s="212">
        <v>1</v>
      </c>
      <c r="M6" s="212" t="s">
        <v>25</v>
      </c>
      <c r="N6" s="213">
        <f>'Tabula data'!B19*C43</f>
        <v>16.822408211117601</v>
      </c>
      <c r="O6" s="214" t="s">
        <v>26</v>
      </c>
      <c r="P6" s="30">
        <f t="shared" ref="P6:P31" si="7">VLOOKUP(M6,$W$5:$Z$391,4,0)</f>
        <v>0.29056172075831888</v>
      </c>
      <c r="Q6" s="30">
        <f t="shared" ref="Q6:Q31" si="8">P6*N6</f>
        <v>4.8879478771212028</v>
      </c>
      <c r="R6" s="30">
        <f t="shared" ref="R6:R14" si="9">VLOOKUP(M6,$W$5:$AD$391,8,0)*N6</f>
        <v>5659394.570384183</v>
      </c>
      <c r="S6" s="30">
        <f t="shared" ref="S6:S14" si="10">R6/N6</f>
        <v>336420</v>
      </c>
      <c r="T6" s="30">
        <f t="shared" ref="T6:T14" si="11">VLOOKUP(M6,$W$5:$AF$391,10,0)*N6</f>
        <v>3045192.3343765088</v>
      </c>
      <c r="U6" s="31"/>
      <c r="V6" s="153"/>
      <c r="W6" s="230"/>
      <c r="X6" s="231" t="s">
        <v>27</v>
      </c>
      <c r="Y6" s="231" t="s">
        <v>28</v>
      </c>
      <c r="Z6" s="231" t="s">
        <v>29</v>
      </c>
      <c r="AA6" s="231" t="s">
        <v>30</v>
      </c>
      <c r="AB6" s="231" t="s">
        <v>31</v>
      </c>
      <c r="AC6" s="231" t="s">
        <v>32</v>
      </c>
      <c r="AD6" s="232" t="s">
        <v>33</v>
      </c>
      <c r="AE6" s="14"/>
      <c r="AF6" s="14"/>
      <c r="AG6" s="14"/>
      <c r="AL6" s="159" t="s">
        <v>317</v>
      </c>
      <c r="AM6" s="81" t="s">
        <v>318</v>
      </c>
      <c r="AN6" s="81" t="s">
        <v>323</v>
      </c>
      <c r="AO6" s="81">
        <f>SUM(N10:N13)/SUM($N$6:$N$14,$N$26:$N$27)</f>
        <v>6.8641466054890299E-2</v>
      </c>
      <c r="AP6" s="81" t="s">
        <v>320</v>
      </c>
      <c r="AQ6" s="167">
        <v>0.13510150000000001</v>
      </c>
      <c r="AU6" s="168" t="s">
        <v>317</v>
      </c>
      <c r="AV6" s="168" t="s">
        <v>318</v>
      </c>
      <c r="AW6" s="168" t="s">
        <v>323</v>
      </c>
      <c r="AX6" s="169" t="s">
        <v>321</v>
      </c>
      <c r="AY6" s="162">
        <f t="shared" si="3"/>
        <v>6.8641466054890299E-2</v>
      </c>
      <c r="AZ6" s="168" t="s">
        <v>320</v>
      </c>
      <c r="BC6" s="81" t="s">
        <v>386</v>
      </c>
      <c r="BD6" s="167">
        <v>294</v>
      </c>
      <c r="BE6" s="167">
        <v>7.8200000000000006E-2</v>
      </c>
      <c r="BF6" s="81">
        <v>3752.8</v>
      </c>
      <c r="BG6" s="81" t="s">
        <v>431</v>
      </c>
      <c r="BH6" s="81" t="s">
        <v>388</v>
      </c>
      <c r="BL6" s="168" t="s">
        <v>317</v>
      </c>
      <c r="BM6" s="168" t="s">
        <v>318</v>
      </c>
      <c r="BN6" s="168" t="s">
        <v>323</v>
      </c>
      <c r="BO6" s="169" t="s">
        <v>321</v>
      </c>
      <c r="BP6" s="162">
        <f t="shared" si="4"/>
        <v>0.33700000000000002</v>
      </c>
      <c r="BQ6" s="168" t="s">
        <v>320</v>
      </c>
      <c r="BS6" s="81" t="s">
        <v>389</v>
      </c>
      <c r="BT6" s="167">
        <v>288</v>
      </c>
      <c r="BU6" s="167">
        <v>9.1499999999999998E-2</v>
      </c>
      <c r="BV6" s="81">
        <v>3142.73</v>
      </c>
      <c r="BW6" s="81" t="s">
        <v>387</v>
      </c>
      <c r="BX6" s="167">
        <v>2E-16</v>
      </c>
      <c r="BY6" s="81" t="s">
        <v>388</v>
      </c>
      <c r="BZ6" s="174" t="s">
        <v>317</v>
      </c>
      <c r="CA6" s="174" t="s">
        <v>318</v>
      </c>
      <c r="CB6" s="174" t="s">
        <v>323</v>
      </c>
      <c r="CC6" s="174" t="s">
        <v>321</v>
      </c>
      <c r="CD6" s="173">
        <f t="shared" si="5"/>
        <v>5.96E-2</v>
      </c>
      <c r="CE6" s="174" t="s">
        <v>320</v>
      </c>
      <c r="CI6" s="81" t="s">
        <v>324</v>
      </c>
      <c r="CJ6" s="249">
        <f t="shared" si="0"/>
        <v>0.2489935533363668</v>
      </c>
      <c r="CK6" s="249">
        <f t="shared" si="1"/>
        <v>0.10299999999999999</v>
      </c>
      <c r="CL6" s="249">
        <f t="shared" si="2"/>
        <v>0.161</v>
      </c>
      <c r="CO6" s="253" t="s">
        <v>429</v>
      </c>
      <c r="CP6" s="253" t="s">
        <v>380</v>
      </c>
      <c r="CQ6" s="253" t="s">
        <v>381</v>
      </c>
      <c r="CR6" s="253" t="s">
        <v>382</v>
      </c>
      <c r="CS6" s="253" t="s">
        <v>383</v>
      </c>
      <c r="CT6" s="253" t="s">
        <v>384</v>
      </c>
      <c r="CU6" s="253" t="s">
        <v>385</v>
      </c>
      <c r="CW6" s="255" t="s">
        <v>460</v>
      </c>
      <c r="CX6" s="256" t="s">
        <v>462</v>
      </c>
      <c r="CY6" s="256" t="s">
        <v>321</v>
      </c>
      <c r="CZ6" s="257">
        <f t="shared" ref="CZ6:CZ23" si="12">CQ13</f>
        <v>1.9</v>
      </c>
      <c r="DA6" s="255" t="s">
        <v>320</v>
      </c>
    </row>
    <row r="7" spans="1:105" ht="15" customHeight="1" thickTop="1" thickBot="1" x14ac:dyDescent="0.3">
      <c r="A7" s="188" t="s">
        <v>42</v>
      </c>
      <c r="B7" s="191">
        <f>'Tabula data'!B14</f>
        <v>88.800000000000011</v>
      </c>
      <c r="C7" s="192" t="s">
        <v>9</v>
      </c>
      <c r="D7" s="188" t="s">
        <v>43</v>
      </c>
      <c r="E7" s="183" t="s">
        <v>36</v>
      </c>
      <c r="F7" s="189">
        <f t="shared" si="6"/>
        <v>0.19084967320261434</v>
      </c>
      <c r="G7" s="183"/>
      <c r="H7" s="190">
        <f>'Tabula data'!B23*'Tabula Ref1'!C45</f>
        <v>5.84</v>
      </c>
      <c r="J7" s="81" t="s">
        <v>38</v>
      </c>
      <c r="K7" s="215">
        <v>0</v>
      </c>
      <c r="L7" s="216">
        <v>1</v>
      </c>
      <c r="M7" s="216" t="s">
        <v>25</v>
      </c>
      <c r="N7" s="217">
        <f>'Tabula data'!B20*C43</f>
        <v>35.733053277868223</v>
      </c>
      <c r="O7" s="218" t="s">
        <v>39</v>
      </c>
      <c r="P7" s="30">
        <f t="shared" si="7"/>
        <v>0.29056172075831888</v>
      </c>
      <c r="Q7" s="30">
        <f t="shared" si="8"/>
        <v>10.382657448366077</v>
      </c>
      <c r="R7" s="30">
        <f t="shared" si="9"/>
        <v>12021313.783740427</v>
      </c>
      <c r="S7" s="30">
        <f t="shared" si="10"/>
        <v>336420</v>
      </c>
      <c r="T7" s="30">
        <f t="shared" si="11"/>
        <v>6468397.3043597071</v>
      </c>
      <c r="U7" s="31"/>
      <c r="V7" s="153"/>
      <c r="W7" s="182"/>
      <c r="X7" s="183" t="s">
        <v>40</v>
      </c>
      <c r="Y7" s="183">
        <v>2.5000000000000001E-2</v>
      </c>
      <c r="Z7" s="183">
        <v>1.3</v>
      </c>
      <c r="AA7" s="183">
        <v>1700</v>
      </c>
      <c r="AB7" s="183">
        <v>840</v>
      </c>
      <c r="AC7" s="233">
        <f>Y7/Z7</f>
        <v>1.9230769230769232E-2</v>
      </c>
      <c r="AD7" s="184">
        <f>Y7*AA7*AB7</f>
        <v>35700</v>
      </c>
      <c r="AE7" s="14" t="s">
        <v>41</v>
      </c>
      <c r="AF7" s="14"/>
      <c r="AG7" s="14"/>
      <c r="AL7" s="159" t="s">
        <v>317</v>
      </c>
      <c r="AM7" s="81" t="s">
        <v>318</v>
      </c>
      <c r="AN7" s="81" t="s">
        <v>324</v>
      </c>
      <c r="AO7" s="81">
        <f>SUM(N14)/SUM(N6:N14,N27,N26)</f>
        <v>0.2489935533363668</v>
      </c>
      <c r="AP7" s="81" t="s">
        <v>320</v>
      </c>
      <c r="AQ7" s="167">
        <v>0.161666</v>
      </c>
      <c r="AU7" s="168" t="s">
        <v>317</v>
      </c>
      <c r="AV7" s="168" t="s">
        <v>318</v>
      </c>
      <c r="AW7" s="168" t="s">
        <v>324</v>
      </c>
      <c r="AX7" s="169" t="s">
        <v>321</v>
      </c>
      <c r="AY7" s="162">
        <f t="shared" si="3"/>
        <v>0.2489935533363668</v>
      </c>
      <c r="AZ7" s="168" t="s">
        <v>320</v>
      </c>
      <c r="BC7" s="81" t="s">
        <v>389</v>
      </c>
      <c r="BD7" s="167">
        <v>289</v>
      </c>
      <c r="BE7" s="167">
        <v>6.1899999999999997E-2</v>
      </c>
      <c r="BF7" s="81">
        <v>4670.42</v>
      </c>
      <c r="BG7" s="81" t="s">
        <v>431</v>
      </c>
      <c r="BH7" s="81" t="s">
        <v>388</v>
      </c>
      <c r="BL7" s="168" t="s">
        <v>317</v>
      </c>
      <c r="BM7" s="168" t="s">
        <v>318</v>
      </c>
      <c r="BN7" s="168" t="s">
        <v>324</v>
      </c>
      <c r="BO7" s="169" t="s">
        <v>321</v>
      </c>
      <c r="BP7" s="162">
        <f t="shared" si="4"/>
        <v>0.10299999999999999</v>
      </c>
      <c r="BQ7" s="168" t="s">
        <v>320</v>
      </c>
      <c r="BS7" s="81" t="s">
        <v>390</v>
      </c>
      <c r="BT7" s="167">
        <v>294</v>
      </c>
      <c r="BU7" s="167">
        <v>7.6200000000000004E-2</v>
      </c>
      <c r="BV7" s="81">
        <v>3861.36</v>
      </c>
      <c r="BW7" s="81" t="s">
        <v>387</v>
      </c>
      <c r="BX7" s="167">
        <v>2E-16</v>
      </c>
      <c r="BY7" s="81" t="s">
        <v>388</v>
      </c>
      <c r="BZ7" s="174" t="s">
        <v>317</v>
      </c>
      <c r="CA7" s="174" t="s">
        <v>318</v>
      </c>
      <c r="CB7" s="174" t="s">
        <v>324</v>
      </c>
      <c r="CC7" s="174" t="s">
        <v>321</v>
      </c>
      <c r="CD7" s="173">
        <f t="shared" si="5"/>
        <v>0.161</v>
      </c>
      <c r="CE7" s="174" t="s">
        <v>320</v>
      </c>
      <c r="CJ7" s="250"/>
      <c r="CK7" s="250"/>
      <c r="CL7" s="250"/>
      <c r="CO7" s="253" t="s">
        <v>429</v>
      </c>
      <c r="CP7" s="253" t="s">
        <v>386</v>
      </c>
      <c r="CQ7" s="254">
        <v>290</v>
      </c>
      <c r="CR7" s="254">
        <v>0.17399999999999999</v>
      </c>
      <c r="CS7" s="253">
        <v>1670.17</v>
      </c>
      <c r="CT7" s="253" t="s">
        <v>387</v>
      </c>
      <c r="CU7" s="254">
        <v>2E-16</v>
      </c>
      <c r="CV7" s="81" t="s">
        <v>388</v>
      </c>
      <c r="CW7" s="255" t="s">
        <v>460</v>
      </c>
      <c r="CX7" s="258" t="s">
        <v>463</v>
      </c>
      <c r="CY7" s="256" t="s">
        <v>321</v>
      </c>
      <c r="CZ7" s="257">
        <f t="shared" si="12"/>
        <v>1.1499999999999999</v>
      </c>
      <c r="DA7" s="255" t="s">
        <v>320</v>
      </c>
    </row>
    <row r="8" spans="1:105" ht="15" customHeight="1" thickTop="1" thickBot="1" x14ac:dyDescent="0.3">
      <c r="A8" s="188" t="s">
        <v>47</v>
      </c>
      <c r="B8" s="191">
        <f>B6-B7</f>
        <v>104.6</v>
      </c>
      <c r="C8" s="183" t="s">
        <v>9</v>
      </c>
      <c r="D8" s="188" t="s">
        <v>48</v>
      </c>
      <c r="E8" s="183" t="s">
        <v>36</v>
      </c>
      <c r="F8" s="189">
        <f t="shared" si="6"/>
        <v>0.2196078431372549</v>
      </c>
      <c r="G8" s="183"/>
      <c r="H8" s="190">
        <f>'Tabula data'!B24*C45</f>
        <v>6.7200000000000006</v>
      </c>
      <c r="J8" s="81" t="s">
        <v>44</v>
      </c>
      <c r="K8" s="215">
        <v>0</v>
      </c>
      <c r="L8" s="216">
        <v>1</v>
      </c>
      <c r="M8" s="216" t="s">
        <v>25</v>
      </c>
      <c r="N8" s="217">
        <f>N6</f>
        <v>16.822408211117601</v>
      </c>
      <c r="O8" s="218" t="s">
        <v>45</v>
      </c>
      <c r="P8" s="30">
        <f t="shared" si="7"/>
        <v>0.29056172075831888</v>
      </c>
      <c r="Q8" s="30">
        <f t="shared" si="8"/>
        <v>4.8879478771212028</v>
      </c>
      <c r="R8" s="30">
        <f t="shared" si="9"/>
        <v>5659394.570384183</v>
      </c>
      <c r="S8" s="30">
        <f t="shared" si="10"/>
        <v>336420</v>
      </c>
      <c r="T8" s="30">
        <f t="shared" si="11"/>
        <v>3045192.3343765088</v>
      </c>
      <c r="U8" s="31"/>
      <c r="V8" s="153"/>
      <c r="W8" s="182"/>
      <c r="X8" s="183" t="s">
        <v>46</v>
      </c>
      <c r="Y8" s="183">
        <v>0.03</v>
      </c>
      <c r="Z8" s="183">
        <f>0.18/Y8</f>
        <v>6</v>
      </c>
      <c r="AA8" s="183">
        <v>0</v>
      </c>
      <c r="AB8" s="183">
        <v>0</v>
      </c>
      <c r="AC8" s="233">
        <v>0.16</v>
      </c>
      <c r="AD8" s="184">
        <f>Y8*AA8*AB8</f>
        <v>0</v>
      </c>
      <c r="AE8" s="14"/>
      <c r="AF8" s="14"/>
      <c r="AG8" s="14"/>
      <c r="AP8" s="81" t="s">
        <v>320</v>
      </c>
      <c r="AQ8" s="167"/>
      <c r="AU8" s="168"/>
      <c r="AV8" s="168"/>
      <c r="AW8" s="168"/>
      <c r="AX8" s="169"/>
      <c r="AZ8" s="168"/>
      <c r="BC8" s="81" t="s">
        <v>390</v>
      </c>
      <c r="BD8" s="167">
        <v>294</v>
      </c>
      <c r="BE8" s="167">
        <v>1.9099999999999999E-2</v>
      </c>
      <c r="BF8" s="81">
        <v>15359.29</v>
      </c>
      <c r="BG8" s="81" t="s">
        <v>431</v>
      </c>
      <c r="BH8" s="81" t="s">
        <v>388</v>
      </c>
      <c r="BL8" s="168"/>
      <c r="BM8" s="168"/>
      <c r="BN8" s="168"/>
      <c r="BO8" s="169"/>
      <c r="BP8" s="162"/>
      <c r="BQ8" s="168"/>
      <c r="BS8" s="81" t="s">
        <v>391</v>
      </c>
      <c r="BT8" s="167">
        <v>290</v>
      </c>
      <c r="BU8" s="167">
        <v>0.1</v>
      </c>
      <c r="BV8" s="81">
        <v>2889.29</v>
      </c>
      <c r="BW8" s="81" t="s">
        <v>387</v>
      </c>
      <c r="BX8" s="167">
        <v>2E-16</v>
      </c>
      <c r="BY8" s="81" t="s">
        <v>388</v>
      </c>
      <c r="BZ8" s="174"/>
      <c r="CA8" s="174"/>
      <c r="CB8" s="174"/>
      <c r="CC8" s="174"/>
      <c r="CD8" s="173"/>
      <c r="CE8" s="174"/>
      <c r="CI8" s="81" t="s">
        <v>325</v>
      </c>
      <c r="CJ8" s="251">
        <f t="shared" si="0"/>
        <v>1635553.9200000004</v>
      </c>
      <c r="CK8" s="251">
        <f>BP9</f>
        <v>2900000</v>
      </c>
      <c r="CL8" s="251">
        <f t="shared" si="2"/>
        <v>3010000</v>
      </c>
      <c r="CO8" s="253" t="s">
        <v>429</v>
      </c>
      <c r="CP8" s="253" t="s">
        <v>389</v>
      </c>
      <c r="CQ8" s="254">
        <v>288</v>
      </c>
      <c r="CR8" s="254">
        <v>8.8900000000000007E-2</v>
      </c>
      <c r="CS8" s="253">
        <v>3233.57</v>
      </c>
      <c r="CT8" s="253" t="s">
        <v>387</v>
      </c>
      <c r="CU8" s="254">
        <v>2E-16</v>
      </c>
      <c r="CV8" s="81" t="s">
        <v>388</v>
      </c>
      <c r="CW8" s="255" t="s">
        <v>460</v>
      </c>
      <c r="CX8" s="259" t="s">
        <v>464</v>
      </c>
      <c r="CY8" s="256" t="s">
        <v>321</v>
      </c>
      <c r="CZ8" s="257">
        <f t="shared" si="12"/>
        <v>0.79</v>
      </c>
      <c r="DA8" s="255" t="s">
        <v>320</v>
      </c>
    </row>
    <row r="9" spans="1:105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0.19607843137254899</v>
      </c>
      <c r="G9" s="183"/>
      <c r="H9" s="190">
        <f>'Tabula data'!B25*'Tabula Ref1'!C45</f>
        <v>6</v>
      </c>
      <c r="J9" s="81" t="s">
        <v>49</v>
      </c>
      <c r="K9" s="215">
        <v>0</v>
      </c>
      <c r="L9" s="216">
        <v>1</v>
      </c>
      <c r="M9" s="216" t="s">
        <v>25</v>
      </c>
      <c r="N9" s="217">
        <v>0</v>
      </c>
      <c r="O9" s="218" t="s">
        <v>50</v>
      </c>
      <c r="P9" s="30">
        <f t="shared" si="7"/>
        <v>0.29056172075831888</v>
      </c>
      <c r="Q9" s="30">
        <f t="shared" si="8"/>
        <v>0</v>
      </c>
      <c r="R9" s="30">
        <f t="shared" si="9"/>
        <v>0</v>
      </c>
      <c r="S9" s="30" t="e">
        <f t="shared" si="10"/>
        <v>#DIV/0!</v>
      </c>
      <c r="T9" s="30">
        <f t="shared" si="11"/>
        <v>0</v>
      </c>
      <c r="U9" s="31"/>
      <c r="V9" s="153"/>
      <c r="W9" s="182"/>
      <c r="X9" s="193" t="s">
        <v>51</v>
      </c>
      <c r="Y9" s="286">
        <v>0.115</v>
      </c>
      <c r="Z9" s="183">
        <v>3.5999999999999997E-2</v>
      </c>
      <c r="AA9" s="183">
        <v>80</v>
      </c>
      <c r="AB9" s="183">
        <v>840</v>
      </c>
      <c r="AC9" s="233">
        <f>Y9/Z9</f>
        <v>3.1944444444444446</v>
      </c>
      <c r="AD9" s="184">
        <f>Y9*AA9*AB9</f>
        <v>7728.0000000000009</v>
      </c>
      <c r="AE9" s="149" t="s">
        <v>270</v>
      </c>
      <c r="AF9" s="14"/>
      <c r="AG9" s="14"/>
      <c r="AL9" s="159" t="s">
        <v>317</v>
      </c>
      <c r="AM9" s="81" t="s">
        <v>318</v>
      </c>
      <c r="AN9" s="81" t="s">
        <v>325</v>
      </c>
      <c r="AO9" s="167">
        <f>B34*1.04*1012*5</f>
        <v>1635553.9200000004</v>
      </c>
      <c r="AP9" s="81" t="s">
        <v>320</v>
      </c>
      <c r="AQ9" s="167">
        <v>2745646</v>
      </c>
      <c r="AU9" s="168" t="s">
        <v>317</v>
      </c>
      <c r="AV9" s="168" t="s">
        <v>318</v>
      </c>
      <c r="AW9" s="168" t="s">
        <v>325</v>
      </c>
      <c r="AX9" s="169" t="s">
        <v>321</v>
      </c>
      <c r="AY9" s="162">
        <f>AO9</f>
        <v>1635553.9200000004</v>
      </c>
      <c r="AZ9" s="168" t="s">
        <v>320</v>
      </c>
      <c r="BC9" s="81" t="s">
        <v>391</v>
      </c>
      <c r="BD9" s="167">
        <v>291</v>
      </c>
      <c r="BE9" s="167">
        <v>8.3099999999999993E-2</v>
      </c>
      <c r="BF9" s="81">
        <v>3501.39</v>
      </c>
      <c r="BG9" s="81" t="s">
        <v>431</v>
      </c>
      <c r="BH9" s="81" t="s">
        <v>388</v>
      </c>
      <c r="BL9" s="168" t="s">
        <v>317</v>
      </c>
      <c r="BM9" s="168" t="s">
        <v>318</v>
      </c>
      <c r="BN9" s="168" t="s">
        <v>325</v>
      </c>
      <c r="BO9" s="169" t="s">
        <v>321</v>
      </c>
      <c r="BP9" s="175">
        <f>BD18</f>
        <v>2900000</v>
      </c>
      <c r="BQ9" s="168" t="s">
        <v>320</v>
      </c>
      <c r="BS9" s="81" t="s">
        <v>392</v>
      </c>
      <c r="BT9" s="167">
        <v>288</v>
      </c>
      <c r="BU9" s="167">
        <v>0.1</v>
      </c>
      <c r="BV9" s="81">
        <v>2867.98</v>
      </c>
      <c r="BW9" s="81" t="s">
        <v>387</v>
      </c>
      <c r="BX9" s="167">
        <v>2E-16</v>
      </c>
      <c r="BY9" s="81" t="s">
        <v>388</v>
      </c>
      <c r="BZ9" s="174" t="s">
        <v>317</v>
      </c>
      <c r="CA9" s="174" t="s">
        <v>318</v>
      </c>
      <c r="CB9" s="174" t="s">
        <v>325</v>
      </c>
      <c r="CC9" s="174" t="s">
        <v>321</v>
      </c>
      <c r="CD9" s="173">
        <f>BT18</f>
        <v>3010000</v>
      </c>
      <c r="CE9" s="174" t="s">
        <v>320</v>
      </c>
      <c r="CI9" s="81" t="s">
        <v>326</v>
      </c>
      <c r="CJ9" s="251">
        <f t="shared" si="0"/>
        <v>12558781.973112725</v>
      </c>
      <c r="CK9" s="251">
        <f t="shared" ref="CK9:CK49" si="13">BP10</f>
        <v>50500000</v>
      </c>
      <c r="CL9" s="251">
        <f t="shared" si="2"/>
        <v>44000000</v>
      </c>
      <c r="CO9" s="253" t="s">
        <v>429</v>
      </c>
      <c r="CP9" s="253" t="s">
        <v>390</v>
      </c>
      <c r="CQ9" s="254">
        <v>294</v>
      </c>
      <c r="CR9" s="254">
        <v>7.5200000000000003E-2</v>
      </c>
      <c r="CS9" s="253">
        <v>3910.94</v>
      </c>
      <c r="CT9" s="253" t="s">
        <v>387</v>
      </c>
      <c r="CU9" s="254">
        <v>2E-16</v>
      </c>
      <c r="CV9" s="81" t="s">
        <v>388</v>
      </c>
      <c r="CW9" s="255" t="s">
        <v>460</v>
      </c>
      <c r="CX9" s="259" t="s">
        <v>465</v>
      </c>
      <c r="CY9" s="256" t="s">
        <v>321</v>
      </c>
      <c r="CZ9" s="257">
        <f t="shared" si="12"/>
        <v>1.95</v>
      </c>
      <c r="DA9" s="255" t="s">
        <v>320</v>
      </c>
    </row>
    <row r="10" spans="1:105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4.8366013071895413E-2</v>
      </c>
      <c r="G10" s="183"/>
      <c r="H10" s="194">
        <f>'Tabula data'!B22*(1-C45)</f>
        <v>1.4799999999999998</v>
      </c>
      <c r="J10" s="81" t="s">
        <v>53</v>
      </c>
      <c r="K10" s="215">
        <v>0</v>
      </c>
      <c r="L10" s="216">
        <v>1</v>
      </c>
      <c r="M10" s="216" t="s">
        <v>54</v>
      </c>
      <c r="N10" s="217">
        <f>H6</f>
        <v>5.9200000000000008</v>
      </c>
      <c r="O10" s="218" t="s">
        <v>26</v>
      </c>
      <c r="P10" s="30">
        <f t="shared" si="7"/>
        <v>2</v>
      </c>
      <c r="Q10" s="30">
        <f t="shared" si="8"/>
        <v>11.840000000000002</v>
      </c>
      <c r="R10" s="30">
        <f t="shared" si="9"/>
        <v>0</v>
      </c>
      <c r="S10" s="30">
        <f t="shared" si="10"/>
        <v>0</v>
      </c>
      <c r="T10" s="30">
        <f t="shared" si="11"/>
        <v>0</v>
      </c>
      <c r="U10" s="31"/>
      <c r="V10" s="153"/>
      <c r="W10" s="199"/>
      <c r="X10" s="181" t="s">
        <v>58</v>
      </c>
      <c r="Y10" s="181">
        <v>0.02</v>
      </c>
      <c r="Z10" s="181">
        <v>0.6</v>
      </c>
      <c r="AA10" s="181">
        <v>975</v>
      </c>
      <c r="AB10" s="181">
        <v>840</v>
      </c>
      <c r="AC10" s="234">
        <f>Y10/Z10</f>
        <v>3.3333333333333333E-2</v>
      </c>
      <c r="AD10" s="204">
        <f>Y10*AA10*AB10</f>
        <v>16380</v>
      </c>
      <c r="AE10" s="14"/>
      <c r="AF10" s="14"/>
      <c r="AG10" s="14"/>
      <c r="AL10" s="159" t="s">
        <v>317</v>
      </c>
      <c r="AM10" s="81" t="s">
        <v>318</v>
      </c>
      <c r="AN10" s="81" t="s">
        <v>326</v>
      </c>
      <c r="AO10" s="167">
        <f>SUM(T6:T9)</f>
        <v>12558781.973112725</v>
      </c>
      <c r="AP10" s="81" t="s">
        <v>320</v>
      </c>
      <c r="AQ10" s="167">
        <v>14395560</v>
      </c>
      <c r="AU10" s="168" t="s">
        <v>317</v>
      </c>
      <c r="AV10" s="168" t="s">
        <v>318</v>
      </c>
      <c r="AW10" s="168" t="s">
        <v>326</v>
      </c>
      <c r="AX10" s="169" t="s">
        <v>321</v>
      </c>
      <c r="AY10" s="162">
        <f t="shared" ref="AY10:AY12" si="14">AO10</f>
        <v>12558781.973112725</v>
      </c>
      <c r="AZ10" s="168" t="s">
        <v>320</v>
      </c>
      <c r="BC10" s="81" t="s">
        <v>392</v>
      </c>
      <c r="BD10" s="167">
        <v>291</v>
      </c>
      <c r="BE10" s="167">
        <v>7.2099999999999997E-2</v>
      </c>
      <c r="BF10" s="81">
        <v>4032.89</v>
      </c>
      <c r="BG10" s="81" t="s">
        <v>431</v>
      </c>
      <c r="BH10" s="81" t="s">
        <v>388</v>
      </c>
      <c r="BL10" s="168" t="s">
        <v>317</v>
      </c>
      <c r="BM10" s="168" t="s">
        <v>318</v>
      </c>
      <c r="BN10" s="168" t="s">
        <v>326</v>
      </c>
      <c r="BO10" s="169" t="s">
        <v>321</v>
      </c>
      <c r="BP10" s="175">
        <f t="shared" ref="BP10:BP11" si="15">BD19</f>
        <v>50500000</v>
      </c>
      <c r="BQ10" s="168" t="s">
        <v>320</v>
      </c>
      <c r="BS10" s="81" t="s">
        <v>393</v>
      </c>
      <c r="BT10" s="167">
        <v>0.20100000000000001</v>
      </c>
      <c r="BU10" s="167">
        <v>1.56E-3</v>
      </c>
      <c r="BV10" s="81">
        <v>128.78</v>
      </c>
      <c r="BW10" s="81" t="s">
        <v>387</v>
      </c>
      <c r="BX10" s="167">
        <v>2E-16</v>
      </c>
      <c r="BY10" s="81" t="s">
        <v>388</v>
      </c>
      <c r="BZ10" s="174" t="s">
        <v>317</v>
      </c>
      <c r="CA10" s="174" t="s">
        <v>318</v>
      </c>
      <c r="CB10" s="174" t="s">
        <v>326</v>
      </c>
      <c r="CC10" s="174" t="s">
        <v>321</v>
      </c>
      <c r="CD10" s="173">
        <f t="shared" ref="CD10:CD11" si="16">BT19</f>
        <v>44000000</v>
      </c>
      <c r="CE10" s="174" t="s">
        <v>320</v>
      </c>
      <c r="CI10" s="81" t="s">
        <v>327</v>
      </c>
      <c r="CJ10" s="251">
        <f t="shared" si="0"/>
        <v>13695191.47880042</v>
      </c>
      <c r="CK10" s="251">
        <f t="shared" si="13"/>
        <v>32700000</v>
      </c>
      <c r="CL10" s="251">
        <f t="shared" si="2"/>
        <v>26300000</v>
      </c>
      <c r="CO10" s="253" t="s">
        <v>429</v>
      </c>
      <c r="CP10" s="253" t="s">
        <v>391</v>
      </c>
      <c r="CQ10" s="254">
        <v>290</v>
      </c>
      <c r="CR10" s="254">
        <v>8.7999999999999995E-2</v>
      </c>
      <c r="CS10" s="253">
        <v>3299.12</v>
      </c>
      <c r="CT10" s="253" t="s">
        <v>387</v>
      </c>
      <c r="CU10" s="254">
        <v>2E-16</v>
      </c>
      <c r="CV10" s="81" t="s">
        <v>388</v>
      </c>
      <c r="CW10" s="255" t="s">
        <v>460</v>
      </c>
      <c r="CX10" s="259" t="s">
        <v>466</v>
      </c>
      <c r="CY10" s="256" t="s">
        <v>321</v>
      </c>
      <c r="CZ10" s="257">
        <f t="shared" si="12"/>
        <v>1.81</v>
      </c>
      <c r="DA10" s="255" t="s">
        <v>320</v>
      </c>
    </row>
    <row r="11" spans="1:105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4.7712418300653578E-2</v>
      </c>
      <c r="G11" s="183"/>
      <c r="H11" s="194">
        <f>'Tabula data'!B23*(1-'Tabula Ref1'!C45)</f>
        <v>1.4599999999999997</v>
      </c>
      <c r="J11" s="81" t="s">
        <v>57</v>
      </c>
      <c r="K11" s="215">
        <v>0</v>
      </c>
      <c r="L11" s="216">
        <v>1</v>
      </c>
      <c r="M11" s="216" t="s">
        <v>54</v>
      </c>
      <c r="N11" s="217">
        <f>H7</f>
        <v>5.84</v>
      </c>
      <c r="O11" s="218" t="s">
        <v>39</v>
      </c>
      <c r="P11" s="30">
        <f t="shared" si="7"/>
        <v>2</v>
      </c>
      <c r="Q11" s="30">
        <f t="shared" si="8"/>
        <v>11.68</v>
      </c>
      <c r="R11" s="30">
        <f t="shared" si="9"/>
        <v>0</v>
      </c>
      <c r="S11" s="30">
        <f t="shared" si="10"/>
        <v>0</v>
      </c>
      <c r="T11" s="30">
        <f t="shared" si="11"/>
        <v>0</v>
      </c>
      <c r="U11" s="31"/>
      <c r="V11" s="153"/>
      <c r="W11" s="183"/>
      <c r="X11" s="183"/>
      <c r="Y11" s="235"/>
      <c r="Z11" s="235"/>
      <c r="AA11" s="235"/>
      <c r="AB11" s="183"/>
      <c r="AC11" s="233"/>
      <c r="AD11" s="183"/>
      <c r="AE11" s="14"/>
      <c r="AF11" s="14"/>
      <c r="AG11" s="14"/>
      <c r="AL11" s="159" t="s">
        <v>317</v>
      </c>
      <c r="AM11" s="81" t="s">
        <v>318</v>
      </c>
      <c r="AN11" s="81" t="s">
        <v>327</v>
      </c>
      <c r="AO11" s="167">
        <f>SUM(T27)</f>
        <v>13695191.47880042</v>
      </c>
      <c r="AP11" s="81" t="s">
        <v>320</v>
      </c>
      <c r="AQ11" s="167">
        <v>26154150</v>
      </c>
      <c r="AU11" s="168" t="s">
        <v>317</v>
      </c>
      <c r="AV11" s="168" t="s">
        <v>318</v>
      </c>
      <c r="AW11" s="168" t="s">
        <v>327</v>
      </c>
      <c r="AX11" s="169" t="s">
        <v>321</v>
      </c>
      <c r="AY11" s="162">
        <f t="shared" si="14"/>
        <v>13695191.47880042</v>
      </c>
      <c r="AZ11" s="168" t="s">
        <v>320</v>
      </c>
      <c r="BC11" s="81" t="s">
        <v>393</v>
      </c>
      <c r="BD11" s="167">
        <v>0.18</v>
      </c>
      <c r="BE11" s="167">
        <v>2.64E-3</v>
      </c>
      <c r="BF11" s="81">
        <v>67.989999999999995</v>
      </c>
      <c r="BG11" s="81" t="s">
        <v>431</v>
      </c>
      <c r="BH11" s="81" t="s">
        <v>388</v>
      </c>
      <c r="BL11" s="168" t="s">
        <v>317</v>
      </c>
      <c r="BM11" s="168" t="s">
        <v>318</v>
      </c>
      <c r="BN11" s="168" t="s">
        <v>327</v>
      </c>
      <c r="BO11" s="169" t="s">
        <v>321</v>
      </c>
      <c r="BP11" s="175">
        <f t="shared" si="15"/>
        <v>32700000</v>
      </c>
      <c r="BQ11" s="168" t="s">
        <v>320</v>
      </c>
      <c r="BS11" s="81" t="s">
        <v>394</v>
      </c>
      <c r="BT11" s="167">
        <v>0.39800000000000002</v>
      </c>
      <c r="BU11" s="167">
        <v>1.8699999999999999E-3</v>
      </c>
      <c r="BV11" s="81">
        <v>213.16</v>
      </c>
      <c r="BW11" s="81" t="s">
        <v>387</v>
      </c>
      <c r="BX11" s="167">
        <v>2E-16</v>
      </c>
      <c r="BY11" s="81" t="s">
        <v>388</v>
      </c>
      <c r="BZ11" s="174" t="s">
        <v>317</v>
      </c>
      <c r="CA11" s="174" t="s">
        <v>318</v>
      </c>
      <c r="CB11" s="174" t="s">
        <v>327</v>
      </c>
      <c r="CC11" s="174" t="s">
        <v>321</v>
      </c>
      <c r="CD11" s="173">
        <f t="shared" si="16"/>
        <v>26300000</v>
      </c>
      <c r="CE11" s="174" t="s">
        <v>320</v>
      </c>
      <c r="CI11" s="81" t="s">
        <v>328</v>
      </c>
      <c r="CJ11" s="251">
        <f t="shared" si="0"/>
        <v>9853248.0000000019</v>
      </c>
      <c r="CK11" s="251">
        <f t="shared" si="13"/>
        <v>14000000</v>
      </c>
      <c r="CL11" s="251">
        <f t="shared" si="2"/>
        <v>991000000</v>
      </c>
      <c r="CO11" s="253" t="s">
        <v>429</v>
      </c>
      <c r="CP11" s="253" t="s">
        <v>392</v>
      </c>
      <c r="CQ11" s="254">
        <v>288</v>
      </c>
      <c r="CR11" s="254">
        <v>9.2399999999999996E-2</v>
      </c>
      <c r="CS11" s="253">
        <v>3113.26</v>
      </c>
      <c r="CT11" s="253" t="s">
        <v>387</v>
      </c>
      <c r="CU11" s="254">
        <v>2E-16</v>
      </c>
      <c r="CV11" s="81" t="s">
        <v>388</v>
      </c>
      <c r="CW11" s="255" t="s">
        <v>460</v>
      </c>
      <c r="CX11" s="259" t="s">
        <v>467</v>
      </c>
      <c r="CY11" s="256" t="s">
        <v>321</v>
      </c>
      <c r="CZ11" s="257">
        <f t="shared" si="12"/>
        <v>2.2599999999999998</v>
      </c>
      <c r="DA11" s="255" t="s">
        <v>320</v>
      </c>
    </row>
    <row r="12" spans="1:105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5.4901960784313704E-2</v>
      </c>
      <c r="G12" s="183"/>
      <c r="H12" s="194">
        <f>'Tabula data'!B24*(1-'Tabula Ref1'!C45)</f>
        <v>1.6799999999999997</v>
      </c>
      <c r="J12" s="81" t="s">
        <v>59</v>
      </c>
      <c r="K12" s="215">
        <v>0</v>
      </c>
      <c r="L12" s="216">
        <v>1</v>
      </c>
      <c r="M12" s="216" t="s">
        <v>54</v>
      </c>
      <c r="N12" s="217">
        <f>H8</f>
        <v>6.7200000000000006</v>
      </c>
      <c r="O12" s="218" t="s">
        <v>45</v>
      </c>
      <c r="P12" s="30">
        <f t="shared" si="7"/>
        <v>2</v>
      </c>
      <c r="Q12" s="30">
        <f t="shared" si="8"/>
        <v>13.440000000000001</v>
      </c>
      <c r="R12" s="30">
        <f t="shared" si="9"/>
        <v>0</v>
      </c>
      <c r="S12" s="30">
        <f t="shared" si="10"/>
        <v>0</v>
      </c>
      <c r="T12" s="30">
        <f t="shared" si="11"/>
        <v>0</v>
      </c>
      <c r="U12" s="31"/>
      <c r="V12" s="153"/>
      <c r="W12" s="223"/>
      <c r="X12" s="223"/>
      <c r="Y12" s="224" t="s">
        <v>4</v>
      </c>
      <c r="Z12" s="224">
        <v>1.7</v>
      </c>
      <c r="AA12" s="224" t="s">
        <v>5</v>
      </c>
      <c r="AB12" s="223"/>
      <c r="AC12" s="223"/>
      <c r="AD12" s="223"/>
      <c r="AE12" s="14"/>
      <c r="AF12" s="14"/>
      <c r="AG12" s="14"/>
      <c r="AL12" s="159" t="s">
        <v>317</v>
      </c>
      <c r="AM12" s="81" t="s">
        <v>318</v>
      </c>
      <c r="AN12" s="81" t="s">
        <v>328</v>
      </c>
      <c r="AO12" s="167">
        <f>SUM(T14)</f>
        <v>9853248.0000000019</v>
      </c>
      <c r="AP12" s="81" t="s">
        <v>320</v>
      </c>
      <c r="AQ12" s="167">
        <v>12228720</v>
      </c>
      <c r="AU12" s="168" t="s">
        <v>317</v>
      </c>
      <c r="AV12" s="168" t="s">
        <v>318</v>
      </c>
      <c r="AW12" s="168" t="s">
        <v>328</v>
      </c>
      <c r="AX12" s="169" t="s">
        <v>321</v>
      </c>
      <c r="AY12" s="162">
        <f t="shared" si="14"/>
        <v>9853248.0000000019</v>
      </c>
      <c r="AZ12" s="168" t="s">
        <v>320</v>
      </c>
      <c r="BC12" s="81" t="s">
        <v>394</v>
      </c>
      <c r="BD12" s="167">
        <v>0.33600000000000002</v>
      </c>
      <c r="BE12" s="167">
        <v>2.32E-3</v>
      </c>
      <c r="BF12" s="81">
        <v>144.99</v>
      </c>
      <c r="BG12" s="81" t="s">
        <v>431</v>
      </c>
      <c r="BH12" s="81" t="s">
        <v>388</v>
      </c>
      <c r="BL12" s="168" t="s">
        <v>317</v>
      </c>
      <c r="BM12" s="168" t="s">
        <v>318</v>
      </c>
      <c r="BN12" s="168" t="s">
        <v>328</v>
      </c>
      <c r="BO12" s="169" t="s">
        <v>321</v>
      </c>
      <c r="BP12" s="175">
        <f>BD17</f>
        <v>14000000</v>
      </c>
      <c r="BQ12" s="168" t="s">
        <v>320</v>
      </c>
      <c r="BS12" s="81" t="s">
        <v>395</v>
      </c>
      <c r="BT12" s="167">
        <v>5.96E-2</v>
      </c>
      <c r="BU12" s="167">
        <v>8.9300000000000004E-3</v>
      </c>
      <c r="BV12" s="81">
        <v>6.68</v>
      </c>
      <c r="BW12" s="167">
        <v>2.6000000000000001E-11</v>
      </c>
      <c r="BX12" s="81" t="s">
        <v>388</v>
      </c>
      <c r="BZ12" s="174" t="s">
        <v>317</v>
      </c>
      <c r="CA12" s="174" t="s">
        <v>318</v>
      </c>
      <c r="CB12" s="174" t="s">
        <v>328</v>
      </c>
      <c r="CC12" s="174" t="s">
        <v>321</v>
      </c>
      <c r="CD12" s="173">
        <f>BT17</f>
        <v>991000000</v>
      </c>
      <c r="CE12" s="174" t="s">
        <v>320</v>
      </c>
      <c r="CJ12" s="250"/>
      <c r="CK12" s="250"/>
      <c r="CL12" s="250"/>
      <c r="CO12" s="253" t="s">
        <v>429</v>
      </c>
      <c r="CP12" s="253" t="s">
        <v>442</v>
      </c>
      <c r="CQ12" s="254">
        <v>0.96099999999999997</v>
      </c>
      <c r="CR12" s="254">
        <v>3.6299999999999999E-2</v>
      </c>
      <c r="CS12" s="253">
        <v>26.48</v>
      </c>
      <c r="CT12" s="253" t="s">
        <v>387</v>
      </c>
      <c r="CU12" s="254">
        <v>2E-16</v>
      </c>
      <c r="CV12" s="81" t="s">
        <v>388</v>
      </c>
      <c r="CW12" s="255" t="s">
        <v>460</v>
      </c>
      <c r="CX12" s="258" t="s">
        <v>468</v>
      </c>
      <c r="CY12" s="256" t="s">
        <v>321</v>
      </c>
      <c r="CZ12" s="257">
        <f t="shared" si="12"/>
        <v>1.91</v>
      </c>
      <c r="DA12" s="255" t="s">
        <v>320</v>
      </c>
    </row>
    <row r="13" spans="1:105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4.9019607843137233E-2</v>
      </c>
      <c r="G13" s="183"/>
      <c r="H13" s="194">
        <f>'Tabula data'!B25*(1-'Tabula Ref1'!C45)</f>
        <v>1.4999999999999996</v>
      </c>
      <c r="J13" s="81" t="s">
        <v>60</v>
      </c>
      <c r="K13" s="215">
        <v>0</v>
      </c>
      <c r="L13" s="216">
        <v>1</v>
      </c>
      <c r="M13" s="216" t="s">
        <v>54</v>
      </c>
      <c r="N13" s="217">
        <f>H9</f>
        <v>6</v>
      </c>
      <c r="O13" s="218" t="s">
        <v>50</v>
      </c>
      <c r="P13" s="30">
        <f t="shared" si="7"/>
        <v>2</v>
      </c>
      <c r="Q13" s="30">
        <f t="shared" si="8"/>
        <v>12</v>
      </c>
      <c r="R13" s="30">
        <f t="shared" si="9"/>
        <v>0</v>
      </c>
      <c r="S13" s="30">
        <f t="shared" si="10"/>
        <v>0</v>
      </c>
      <c r="T13" s="30">
        <f t="shared" si="11"/>
        <v>0</v>
      </c>
      <c r="U13" s="31"/>
      <c r="V13" s="153"/>
      <c r="W13" s="225" t="s">
        <v>64</v>
      </c>
      <c r="X13" s="226"/>
      <c r="Y13" s="227" t="s">
        <v>21</v>
      </c>
      <c r="Z13" s="228">
        <f>1/(1/8+SUM(AC15:AC21)+1/23)</f>
        <v>0.29056172075831888</v>
      </c>
      <c r="AA13" s="226" t="s">
        <v>5</v>
      </c>
      <c r="AB13" s="226"/>
      <c r="AC13" s="226" t="s">
        <v>22</v>
      </c>
      <c r="AD13" s="229">
        <f>SUM(AD17:AD22)</f>
        <v>336420</v>
      </c>
      <c r="AE13" s="14" t="s">
        <v>23</v>
      </c>
      <c r="AF13" s="14">
        <f>SUM(AD20:AD21)</f>
        <v>181020.00000000003</v>
      </c>
      <c r="AG13" s="14"/>
      <c r="AO13" s="167"/>
      <c r="AP13" s="81" t="s">
        <v>320</v>
      </c>
      <c r="AQ13" s="167"/>
      <c r="AU13" s="168"/>
      <c r="AV13" s="168"/>
      <c r="AW13" s="168"/>
      <c r="AX13" s="169"/>
      <c r="AZ13" s="168"/>
      <c r="BC13" s="81" t="s">
        <v>395</v>
      </c>
      <c r="BD13" s="167">
        <v>0.33700000000000002</v>
      </c>
      <c r="BE13" s="167">
        <v>8.6800000000000002E-3</v>
      </c>
      <c r="BF13" s="81">
        <v>38.840000000000003</v>
      </c>
      <c r="BG13" s="81" t="s">
        <v>431</v>
      </c>
      <c r="BH13" s="81" t="s">
        <v>388</v>
      </c>
      <c r="BL13" s="168"/>
      <c r="BM13" s="168"/>
      <c r="BN13" s="168"/>
      <c r="BO13" s="169"/>
      <c r="BP13" s="162"/>
      <c r="BQ13" s="168"/>
      <c r="BS13" s="81" t="s">
        <v>396</v>
      </c>
      <c r="BT13" s="167">
        <v>0.161</v>
      </c>
      <c r="BU13" s="167">
        <v>7.9199999999999995E-4</v>
      </c>
      <c r="BV13" s="81">
        <v>202.98</v>
      </c>
      <c r="BW13" s="81" t="s">
        <v>387</v>
      </c>
      <c r="BX13" s="167">
        <v>2E-16</v>
      </c>
      <c r="BY13" s="81" t="s">
        <v>388</v>
      </c>
      <c r="BZ13" s="174"/>
      <c r="CA13" s="174"/>
      <c r="CB13" s="174"/>
      <c r="CC13" s="174"/>
      <c r="CD13" s="173"/>
      <c r="CE13" s="174"/>
      <c r="CI13" s="81" t="s">
        <v>329</v>
      </c>
      <c r="CJ13" s="249">
        <f t="shared" si="0"/>
        <v>5.8360278038973666E-2</v>
      </c>
      <c r="CK13" s="249">
        <f t="shared" si="13"/>
        <v>0.128</v>
      </c>
      <c r="CL13" s="249">
        <f t="shared" si="2"/>
        <v>7.6700000000000004E-2</v>
      </c>
      <c r="CO13" s="253" t="s">
        <v>429</v>
      </c>
      <c r="CP13" s="253" t="s">
        <v>339</v>
      </c>
      <c r="CQ13" s="254">
        <v>1.9</v>
      </c>
      <c r="CR13" s="254">
        <v>0.124</v>
      </c>
      <c r="CS13" s="253">
        <v>15.36</v>
      </c>
      <c r="CT13" s="253" t="s">
        <v>387</v>
      </c>
      <c r="CU13" s="254">
        <v>2E-16</v>
      </c>
      <c r="CV13" s="81" t="s">
        <v>388</v>
      </c>
      <c r="CW13" s="255" t="s">
        <v>460</v>
      </c>
      <c r="CX13" s="260" t="s">
        <v>469</v>
      </c>
      <c r="CY13" s="256" t="s">
        <v>321</v>
      </c>
      <c r="CZ13" s="257">
        <f t="shared" si="12"/>
        <v>0.26</v>
      </c>
      <c r="DA13" s="255" t="s">
        <v>320</v>
      </c>
    </row>
    <row r="14" spans="1:105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J14" s="81" t="s">
        <v>61</v>
      </c>
      <c r="K14" s="215" t="s">
        <v>62</v>
      </c>
      <c r="L14" s="216">
        <v>1</v>
      </c>
      <c r="M14" s="216" t="s">
        <v>63</v>
      </c>
      <c r="N14" s="217">
        <f>B7</f>
        <v>88.800000000000011</v>
      </c>
      <c r="O14" s="218"/>
      <c r="P14" s="30">
        <f t="shared" si="7"/>
        <v>0.26077238296287103</v>
      </c>
      <c r="Q14" s="30">
        <f t="shared" si="8"/>
        <v>23.156587607102949</v>
      </c>
      <c r="R14" s="30">
        <f t="shared" si="9"/>
        <v>33690426.960000008</v>
      </c>
      <c r="S14" s="30">
        <f t="shared" si="10"/>
        <v>379396.70000000007</v>
      </c>
      <c r="T14" s="30">
        <f t="shared" si="11"/>
        <v>9853248.0000000019</v>
      </c>
      <c r="U14" s="31"/>
      <c r="V14" s="153"/>
      <c r="W14" s="230"/>
      <c r="X14" s="231" t="s">
        <v>27</v>
      </c>
      <c r="Y14" s="231" t="s">
        <v>28</v>
      </c>
      <c r="Z14" s="231" t="s">
        <v>29</v>
      </c>
      <c r="AA14" s="231" t="s">
        <v>30</v>
      </c>
      <c r="AB14" s="231" t="s">
        <v>31</v>
      </c>
      <c r="AC14" s="231" t="s">
        <v>32</v>
      </c>
      <c r="AD14" s="232" t="s">
        <v>33</v>
      </c>
      <c r="AE14" s="14"/>
      <c r="AF14" s="14"/>
      <c r="AG14" s="14"/>
      <c r="AL14" s="159" t="s">
        <v>317</v>
      </c>
      <c r="AM14" s="81" t="s">
        <v>318</v>
      </c>
      <c r="AN14" s="81" t="s">
        <v>329</v>
      </c>
      <c r="AO14" s="81">
        <f>AO4*0.3</f>
        <v>5.8360278038973666E-2</v>
      </c>
      <c r="AP14" s="81" t="s">
        <v>320</v>
      </c>
      <c r="AQ14" s="167">
        <v>6.5890790000000005E-2</v>
      </c>
      <c r="AU14" s="168" t="s">
        <v>317</v>
      </c>
      <c r="AV14" s="168" t="s">
        <v>318</v>
      </c>
      <c r="AW14" s="168" t="s">
        <v>329</v>
      </c>
      <c r="AX14" s="169" t="s">
        <v>321</v>
      </c>
      <c r="AY14" s="162">
        <f>AY4*0.3</f>
        <v>5.8360278038973666E-2</v>
      </c>
      <c r="AZ14" s="168" t="s">
        <v>320</v>
      </c>
      <c r="BC14" s="81" t="s">
        <v>396</v>
      </c>
      <c r="BD14" s="167">
        <v>0.10299999999999999</v>
      </c>
      <c r="BE14" s="167">
        <v>2.4099999999999998E-3</v>
      </c>
      <c r="BF14" s="81">
        <v>42.8</v>
      </c>
      <c r="BG14" s="81" t="s">
        <v>431</v>
      </c>
      <c r="BH14" s="81" t="s">
        <v>388</v>
      </c>
      <c r="BL14" s="168" t="s">
        <v>317</v>
      </c>
      <c r="BM14" s="168" t="s">
        <v>318</v>
      </c>
      <c r="BN14" s="168" t="s">
        <v>329</v>
      </c>
      <c r="BO14" s="169" t="s">
        <v>321</v>
      </c>
      <c r="BP14" s="162">
        <f>BD26</f>
        <v>0.128</v>
      </c>
      <c r="BQ14" s="168" t="s">
        <v>320</v>
      </c>
      <c r="BS14" s="81" t="s">
        <v>397</v>
      </c>
      <c r="BT14" s="167">
        <v>0.13200000000000001</v>
      </c>
      <c r="BU14" s="167">
        <v>6.0800000000000003E-4</v>
      </c>
      <c r="BV14" s="81">
        <v>217.05</v>
      </c>
      <c r="BW14" s="81" t="s">
        <v>387</v>
      </c>
      <c r="BX14" s="167">
        <v>2E-16</v>
      </c>
      <c r="BY14" s="81" t="s">
        <v>388</v>
      </c>
      <c r="BZ14" s="174" t="s">
        <v>317</v>
      </c>
      <c r="CA14" s="174" t="s">
        <v>318</v>
      </c>
      <c r="CB14" s="174" t="s">
        <v>329</v>
      </c>
      <c r="CC14" s="174" t="s">
        <v>321</v>
      </c>
      <c r="CD14" s="173">
        <f>BT26</f>
        <v>7.6700000000000004E-2</v>
      </c>
      <c r="CE14" s="174" t="s">
        <v>320</v>
      </c>
      <c r="CI14" s="81" t="s">
        <v>330</v>
      </c>
      <c r="CJ14" s="249">
        <f t="shared" si="0"/>
        <v>5.8360278038973666E-2</v>
      </c>
      <c r="CK14" s="249">
        <f t="shared" si="13"/>
        <v>0.23499999999999999</v>
      </c>
      <c r="CL14" s="249">
        <f t="shared" si="2"/>
        <v>0.14699999999999999</v>
      </c>
      <c r="CO14" s="253" t="s">
        <v>429</v>
      </c>
      <c r="CP14" s="253" t="s">
        <v>443</v>
      </c>
      <c r="CQ14" s="254">
        <v>1.1499999999999999</v>
      </c>
      <c r="CR14" s="254">
        <v>2.06E-2</v>
      </c>
      <c r="CS14" s="253">
        <v>56.01</v>
      </c>
      <c r="CT14" s="253" t="s">
        <v>387</v>
      </c>
      <c r="CU14" s="254">
        <v>2E-16</v>
      </c>
      <c r="CV14" s="81" t="s">
        <v>388</v>
      </c>
      <c r="CW14" s="255" t="s">
        <v>460</v>
      </c>
      <c r="CX14" s="260" t="s">
        <v>470</v>
      </c>
      <c r="CY14" s="256" t="s">
        <v>321</v>
      </c>
      <c r="CZ14" s="257">
        <f t="shared" si="12"/>
        <v>2.4200000000000002E-8</v>
      </c>
      <c r="DA14" s="255" t="s">
        <v>320</v>
      </c>
    </row>
    <row r="15" spans="1:105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J15" s="81" t="s">
        <v>66</v>
      </c>
      <c r="K15" s="215">
        <v>0</v>
      </c>
      <c r="L15" s="216">
        <v>1</v>
      </c>
      <c r="M15" s="216" t="s">
        <v>20</v>
      </c>
      <c r="N15" s="219">
        <v>0</v>
      </c>
      <c r="O15" s="218"/>
      <c r="P15" s="30">
        <f t="shared" si="7"/>
        <v>0.2816515182597264</v>
      </c>
      <c r="Q15" s="30">
        <f t="shared" si="8"/>
        <v>0</v>
      </c>
      <c r="R15" s="30">
        <f>VLOOKUP(M15,$W$5:$AD$391,8,0)*N25</f>
        <v>6064531.2000000002</v>
      </c>
      <c r="S15" s="30">
        <f>R15/N25</f>
        <v>59808</v>
      </c>
      <c r="T15" s="30">
        <f>VLOOKUP(M15,$W$5:$AF$391,10,0)*N25</f>
        <v>1660932</v>
      </c>
      <c r="U15" s="31"/>
      <c r="V15" s="153"/>
      <c r="W15" s="182"/>
      <c r="X15" s="263" t="s">
        <v>500</v>
      </c>
      <c r="Y15" s="287">
        <v>2.5000000000000001E-2</v>
      </c>
      <c r="Z15" s="263">
        <v>0.6</v>
      </c>
      <c r="AA15" s="263">
        <v>975</v>
      </c>
      <c r="AB15" s="263">
        <v>840</v>
      </c>
      <c r="AC15" s="264">
        <f t="shared" ref="AC15:AC16" si="17">Y15/Z15</f>
        <v>4.1666666666666671E-2</v>
      </c>
      <c r="AD15" s="265">
        <f t="shared" ref="AD15:AD16" si="18">AA15*AB15*Y15</f>
        <v>20475</v>
      </c>
      <c r="AE15" s="14"/>
      <c r="AF15" s="14"/>
      <c r="AG15" s="14"/>
      <c r="AL15" s="159" t="s">
        <v>317</v>
      </c>
      <c r="AM15" s="81" t="s">
        <v>318</v>
      </c>
      <c r="AN15" s="81" t="s">
        <v>330</v>
      </c>
      <c r="AO15" s="81">
        <f>AO5*0.3</f>
        <v>5.8360278038973666E-2</v>
      </c>
      <c r="AP15" s="81" t="s">
        <v>320</v>
      </c>
      <c r="AQ15" s="167">
        <v>0.1612856</v>
      </c>
      <c r="AU15" s="168" t="s">
        <v>317</v>
      </c>
      <c r="AV15" s="168" t="s">
        <v>318</v>
      </c>
      <c r="AW15" s="168" t="s">
        <v>330</v>
      </c>
      <c r="AX15" s="169" t="s">
        <v>321</v>
      </c>
      <c r="AY15" s="162">
        <f>AY5*0.3</f>
        <v>5.8360278038973666E-2</v>
      </c>
      <c r="AZ15" s="168" t="s">
        <v>320</v>
      </c>
      <c r="BC15" s="81" t="s">
        <v>397</v>
      </c>
      <c r="BD15" s="167">
        <v>2.8899999999999999E-2</v>
      </c>
      <c r="BE15" s="167">
        <v>2.8500000000000001E-3</v>
      </c>
      <c r="BF15" s="81">
        <v>10.15</v>
      </c>
      <c r="BG15" s="81" t="s">
        <v>431</v>
      </c>
      <c r="BH15" s="81" t="s">
        <v>388</v>
      </c>
      <c r="BL15" s="168" t="s">
        <v>317</v>
      </c>
      <c r="BM15" s="168" t="s">
        <v>318</v>
      </c>
      <c r="BN15" s="168" t="s">
        <v>330</v>
      </c>
      <c r="BO15" s="169" t="s">
        <v>321</v>
      </c>
      <c r="BP15" s="162">
        <f t="shared" ref="BP15:BP17" si="19">BD27</f>
        <v>0.23499999999999999</v>
      </c>
      <c r="BQ15" s="168" t="s">
        <v>320</v>
      </c>
      <c r="BS15" s="81" t="s">
        <v>306</v>
      </c>
      <c r="BT15" s="167">
        <v>221000000</v>
      </c>
      <c r="BU15" s="167">
        <v>186000000</v>
      </c>
      <c r="BV15" s="81">
        <v>1.19</v>
      </c>
      <c r="BW15" s="81">
        <v>0.24</v>
      </c>
      <c r="BZ15" s="174" t="s">
        <v>317</v>
      </c>
      <c r="CA15" s="174" t="s">
        <v>318</v>
      </c>
      <c r="CB15" s="174" t="s">
        <v>330</v>
      </c>
      <c r="CC15" s="174" t="s">
        <v>321</v>
      </c>
      <c r="CD15" s="173">
        <f t="shared" ref="CD15:CD17" si="20">BT27</f>
        <v>0.14699999999999999</v>
      </c>
      <c r="CE15" s="174" t="s">
        <v>320</v>
      </c>
      <c r="CI15" s="81" t="s">
        <v>331</v>
      </c>
      <c r="CJ15" s="249">
        <f t="shared" si="0"/>
        <v>0.72059243981646703</v>
      </c>
      <c r="CK15" s="249">
        <f t="shared" si="13"/>
        <v>0.53700000000000003</v>
      </c>
      <c r="CL15" s="249">
        <f t="shared" si="2"/>
        <v>0.73599999999999999</v>
      </c>
      <c r="CO15" s="253" t="s">
        <v>429</v>
      </c>
      <c r="CP15" s="253" t="s">
        <v>444</v>
      </c>
      <c r="CQ15" s="254">
        <v>0.79</v>
      </c>
      <c r="CR15" s="254">
        <v>3.4799999999999998E-2</v>
      </c>
      <c r="CS15" s="253">
        <v>22.69</v>
      </c>
      <c r="CT15" s="253" t="s">
        <v>387</v>
      </c>
      <c r="CU15" s="254">
        <v>2E-16</v>
      </c>
      <c r="CV15" s="81" t="s">
        <v>388</v>
      </c>
      <c r="CW15" s="255" t="s">
        <v>460</v>
      </c>
      <c r="CX15" s="260" t="s">
        <v>471</v>
      </c>
      <c r="CY15" s="256" t="s">
        <v>321</v>
      </c>
      <c r="CZ15" s="257">
        <f t="shared" si="12"/>
        <v>0.50900000000000001</v>
      </c>
      <c r="DA15" s="255" t="s">
        <v>320</v>
      </c>
    </row>
    <row r="16" spans="1:105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1.3940744625065551</v>
      </c>
      <c r="G16" s="193" t="s">
        <v>70</v>
      </c>
      <c r="H16" s="184"/>
      <c r="J16" s="81" t="s">
        <v>67</v>
      </c>
      <c r="K16" s="215">
        <v>0</v>
      </c>
      <c r="L16" s="216">
        <v>1</v>
      </c>
      <c r="M16" s="216" t="s">
        <v>68</v>
      </c>
      <c r="N16" s="217">
        <f>'Tabula data'!B21</f>
        <v>9.5</v>
      </c>
      <c r="O16" s="218"/>
      <c r="P16" s="30">
        <f t="shared" si="7"/>
        <v>4</v>
      </c>
      <c r="Q16" s="30">
        <f t="shared" si="8"/>
        <v>38</v>
      </c>
      <c r="R16" s="30">
        <f t="shared" ref="R16:R31" si="21">VLOOKUP(M16,$W$5:$AD$391,8,0)*N16</f>
        <v>346940</v>
      </c>
      <c r="S16" s="30">
        <f t="shared" ref="S16:S31" si="22">R16/N16</f>
        <v>36520</v>
      </c>
      <c r="T16" s="30">
        <f t="shared" ref="T16:T31" si="23">VLOOKUP(M16,$W$5:$AF$391,10,0)*N16</f>
        <v>0</v>
      </c>
      <c r="U16" s="31"/>
      <c r="V16" s="153"/>
      <c r="W16" s="182"/>
      <c r="X16" s="263" t="s">
        <v>283</v>
      </c>
      <c r="Y16" s="287">
        <v>6.7000000000000004E-2</v>
      </c>
      <c r="Z16" s="263">
        <v>2.4E-2</v>
      </c>
      <c r="AA16" s="263">
        <v>80</v>
      </c>
      <c r="AB16" s="263">
        <v>840</v>
      </c>
      <c r="AC16" s="264">
        <f t="shared" si="17"/>
        <v>2.791666666666667</v>
      </c>
      <c r="AD16" s="265">
        <f t="shared" si="18"/>
        <v>4502.4000000000005</v>
      </c>
      <c r="AE16" s="14"/>
      <c r="AF16" s="14"/>
      <c r="AG16" s="14"/>
      <c r="AL16" s="159" t="s">
        <v>317</v>
      </c>
      <c r="AM16" s="81" t="s">
        <v>318</v>
      </c>
      <c r="AN16" s="81" t="s">
        <v>331</v>
      </c>
      <c r="AO16" s="81">
        <f>AO6*0.3+0.7</f>
        <v>0.72059243981646703</v>
      </c>
      <c r="AP16" s="81" t="s">
        <v>320</v>
      </c>
      <c r="AQ16" s="167">
        <v>0.64236059999999995</v>
      </c>
      <c r="AU16" s="168" t="s">
        <v>317</v>
      </c>
      <c r="AV16" s="168" t="s">
        <v>318</v>
      </c>
      <c r="AW16" s="168" t="s">
        <v>331</v>
      </c>
      <c r="AX16" s="169" t="s">
        <v>321</v>
      </c>
      <c r="AY16" s="162">
        <f>AY6*0.3+0.7</f>
        <v>0.72059243981646703</v>
      </c>
      <c r="AZ16" s="168" t="s">
        <v>320</v>
      </c>
      <c r="BC16" s="81" t="s">
        <v>306</v>
      </c>
      <c r="BD16" s="167">
        <v>5570000</v>
      </c>
      <c r="BE16" s="167">
        <v>58300</v>
      </c>
      <c r="BF16" s="81">
        <v>95.57</v>
      </c>
      <c r="BG16" s="81" t="s">
        <v>431</v>
      </c>
      <c r="BH16" s="81" t="s">
        <v>388</v>
      </c>
      <c r="BL16" s="168" t="s">
        <v>317</v>
      </c>
      <c r="BM16" s="168" t="s">
        <v>318</v>
      </c>
      <c r="BN16" s="168" t="s">
        <v>331</v>
      </c>
      <c r="BO16" s="169" t="s">
        <v>321</v>
      </c>
      <c r="BP16" s="162">
        <f t="shared" si="19"/>
        <v>0.53700000000000003</v>
      </c>
      <c r="BQ16" s="168" t="s">
        <v>320</v>
      </c>
      <c r="BZ16" s="174" t="s">
        <v>317</v>
      </c>
      <c r="CA16" s="174" t="s">
        <v>318</v>
      </c>
      <c r="CB16" s="174" t="s">
        <v>331</v>
      </c>
      <c r="CC16" s="174" t="s">
        <v>321</v>
      </c>
      <c r="CD16" s="173">
        <f t="shared" si="20"/>
        <v>0.73599999999999999</v>
      </c>
      <c r="CE16" s="174" t="s">
        <v>320</v>
      </c>
      <c r="CI16" s="81" t="s">
        <v>332</v>
      </c>
      <c r="CJ16" s="249">
        <f t="shared" si="0"/>
        <v>7.4698066000910043E-2</v>
      </c>
      <c r="CK16" s="249">
        <f t="shared" si="13"/>
        <v>7.7399999999999997E-2</v>
      </c>
      <c r="CL16" s="249">
        <f t="shared" si="2"/>
        <v>6.1499999999999999E-2</v>
      </c>
      <c r="CO16" s="253" t="s">
        <v>429</v>
      </c>
      <c r="CP16" s="253" t="s">
        <v>445</v>
      </c>
      <c r="CQ16" s="254">
        <v>1.95</v>
      </c>
      <c r="CR16" s="254">
        <v>4.2700000000000002E-2</v>
      </c>
      <c r="CS16" s="253">
        <v>45.6</v>
      </c>
      <c r="CT16" s="253" t="s">
        <v>387</v>
      </c>
      <c r="CU16" s="254">
        <v>2E-16</v>
      </c>
      <c r="CV16" s="81" t="s">
        <v>388</v>
      </c>
      <c r="CW16" s="255" t="s">
        <v>460</v>
      </c>
      <c r="CX16" s="260" t="s">
        <v>472</v>
      </c>
      <c r="CY16" s="256" t="s">
        <v>321</v>
      </c>
      <c r="CZ16" s="257">
        <f t="shared" si="12"/>
        <v>2.1199999999999999E-7</v>
      </c>
      <c r="DA16" s="255" t="s">
        <v>320</v>
      </c>
    </row>
    <row r="17" spans="1:105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1.9720785935884175</v>
      </c>
      <c r="G17" s="193"/>
      <c r="H17" s="184"/>
      <c r="J17" s="81" t="s">
        <v>71</v>
      </c>
      <c r="K17" s="215">
        <v>0</v>
      </c>
      <c r="L17" s="216">
        <v>2</v>
      </c>
      <c r="M17" s="216" t="s">
        <v>25</v>
      </c>
      <c r="N17" s="217">
        <f>'Tabula data'!B19*(1-C43)</f>
        <v>19.815584446879509</v>
      </c>
      <c r="O17" s="218" t="s">
        <v>26</v>
      </c>
      <c r="P17" s="30">
        <f t="shared" si="7"/>
        <v>0.29056172075831888</v>
      </c>
      <c r="Q17" s="30">
        <f t="shared" si="8"/>
        <v>5.7576503147170905</v>
      </c>
      <c r="R17" s="30">
        <f t="shared" si="21"/>
        <v>6666358.9196192045</v>
      </c>
      <c r="S17" s="30">
        <f t="shared" si="22"/>
        <v>336420</v>
      </c>
      <c r="T17" s="30">
        <f t="shared" si="23"/>
        <v>3587017.0965741291</v>
      </c>
      <c r="U17" s="31"/>
      <c r="V17" s="153"/>
      <c r="W17" s="182"/>
      <c r="X17" s="183" t="s">
        <v>76</v>
      </c>
      <c r="Y17" s="183">
        <v>0.1</v>
      </c>
      <c r="Z17" s="183">
        <v>1.1000000000000001</v>
      </c>
      <c r="AA17" s="183">
        <v>1850</v>
      </c>
      <c r="AB17" s="193">
        <v>840</v>
      </c>
      <c r="AC17" s="233">
        <f>Y17/Z17</f>
        <v>9.0909090909090912E-2</v>
      </c>
      <c r="AD17" s="184">
        <f>AA17*AB17*Y17</f>
        <v>155400</v>
      </c>
      <c r="AE17" s="14"/>
      <c r="AF17" s="14"/>
      <c r="AG17" s="14"/>
      <c r="AL17" s="159" t="s">
        <v>317</v>
      </c>
      <c r="AM17" s="81" t="s">
        <v>318</v>
      </c>
      <c r="AN17" s="81" t="s">
        <v>332</v>
      </c>
      <c r="AO17" s="81">
        <f>AO7*0.3</f>
        <v>7.4698066000910043E-2</v>
      </c>
      <c r="AP17" s="81" t="s">
        <v>320</v>
      </c>
      <c r="AQ17" s="167">
        <v>6.4977720000000003E-2</v>
      </c>
      <c r="AU17" s="168" t="s">
        <v>317</v>
      </c>
      <c r="AV17" s="168" t="s">
        <v>318</v>
      </c>
      <c r="AW17" s="168" t="s">
        <v>332</v>
      </c>
      <c r="AX17" s="169" t="s">
        <v>321</v>
      </c>
      <c r="AY17" s="162">
        <f>AY7*0.3</f>
        <v>7.4698066000910043E-2</v>
      </c>
      <c r="AZ17" s="168" t="s">
        <v>320</v>
      </c>
      <c r="BC17" s="81" t="s">
        <v>302</v>
      </c>
      <c r="BD17" s="167">
        <v>14000000</v>
      </c>
      <c r="BE17" s="167">
        <v>170000</v>
      </c>
      <c r="BF17" s="81">
        <v>82.34</v>
      </c>
      <c r="BG17" s="81" t="s">
        <v>431</v>
      </c>
      <c r="BH17" s="81" t="s">
        <v>388</v>
      </c>
      <c r="BL17" s="168" t="s">
        <v>317</v>
      </c>
      <c r="BM17" s="168" t="s">
        <v>318</v>
      </c>
      <c r="BN17" s="168" t="s">
        <v>332</v>
      </c>
      <c r="BO17" s="169" t="s">
        <v>321</v>
      </c>
      <c r="BP17" s="162">
        <f t="shared" si="19"/>
        <v>7.7399999999999997E-2</v>
      </c>
      <c r="BQ17" s="168" t="s">
        <v>320</v>
      </c>
      <c r="BS17" s="81" t="s">
        <v>302</v>
      </c>
      <c r="BT17" s="167">
        <v>991000000</v>
      </c>
      <c r="BU17" s="167">
        <v>54500000</v>
      </c>
      <c r="BV17" s="81">
        <v>18.190000000000001</v>
      </c>
      <c r="BW17" s="81" t="s">
        <v>387</v>
      </c>
      <c r="BX17" s="167">
        <v>2E-16</v>
      </c>
      <c r="BY17" s="81" t="s">
        <v>388</v>
      </c>
      <c r="BZ17" s="174" t="s">
        <v>317</v>
      </c>
      <c r="CA17" s="174" t="s">
        <v>318</v>
      </c>
      <c r="CB17" s="174" t="s">
        <v>332</v>
      </c>
      <c r="CC17" s="174" t="s">
        <v>321</v>
      </c>
      <c r="CD17" s="173">
        <f t="shared" si="20"/>
        <v>6.1499999999999999E-2</v>
      </c>
      <c r="CE17" s="174" t="s">
        <v>320</v>
      </c>
      <c r="CJ17" s="250"/>
      <c r="CK17" s="250"/>
      <c r="CL17" s="250"/>
      <c r="CO17" s="253" t="s">
        <v>429</v>
      </c>
      <c r="CP17" s="253" t="s">
        <v>340</v>
      </c>
      <c r="CQ17" s="254">
        <v>1.81</v>
      </c>
      <c r="CR17" s="254">
        <v>0.13600000000000001</v>
      </c>
      <c r="CS17" s="253">
        <v>13.33</v>
      </c>
      <c r="CT17" s="253" t="s">
        <v>387</v>
      </c>
      <c r="CU17" s="254">
        <v>2E-16</v>
      </c>
      <c r="CV17" s="81" t="s">
        <v>388</v>
      </c>
      <c r="CW17" s="255" t="s">
        <v>460</v>
      </c>
      <c r="CX17" s="260" t="s">
        <v>473</v>
      </c>
      <c r="CY17" s="256" t="s">
        <v>321</v>
      </c>
      <c r="CZ17" s="257">
        <f t="shared" si="12"/>
        <v>0.79900000000000004</v>
      </c>
      <c r="DA17" s="255" t="s">
        <v>320</v>
      </c>
    </row>
    <row r="18" spans="1:105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1.9720785935884175</v>
      </c>
      <c r="G18" s="193"/>
      <c r="H18" s="184"/>
      <c r="J18" s="81" t="s">
        <v>75</v>
      </c>
      <c r="K18" s="215">
        <v>0</v>
      </c>
      <c r="L18" s="216">
        <v>2</v>
      </c>
      <c r="M18" s="216" t="s">
        <v>25</v>
      </c>
      <c r="N18" s="217">
        <f>'Tabula data'!B20*(1-C43)</f>
        <v>42.090961406137552</v>
      </c>
      <c r="O18" s="218" t="s">
        <v>39</v>
      </c>
      <c r="P18" s="30">
        <f t="shared" si="7"/>
        <v>0.29056172075831888</v>
      </c>
      <c r="Q18" s="30">
        <f t="shared" si="8"/>
        <v>12.230022174539316</v>
      </c>
      <c r="R18" s="30">
        <f t="shared" si="21"/>
        <v>14160241.236252796</v>
      </c>
      <c r="S18" s="30">
        <f t="shared" si="22"/>
        <v>336420</v>
      </c>
      <c r="T18" s="30">
        <f t="shared" si="23"/>
        <v>7619305.8337390209</v>
      </c>
      <c r="U18" s="31"/>
      <c r="V18" s="153"/>
      <c r="W18" s="182"/>
      <c r="X18" s="183" t="s">
        <v>271</v>
      </c>
      <c r="Y18" s="183">
        <v>0</v>
      </c>
      <c r="Z18" s="183">
        <v>0</v>
      </c>
      <c r="AA18" s="183">
        <v>0</v>
      </c>
      <c r="AB18" s="183">
        <v>0</v>
      </c>
      <c r="AC18" s="233">
        <v>0.16</v>
      </c>
      <c r="AD18" s="184">
        <f>Y18*AA18*AB18</f>
        <v>0</v>
      </c>
      <c r="AE18" s="14"/>
      <c r="AF18" s="14"/>
      <c r="AG18" s="14"/>
      <c r="AP18" s="81" t="s">
        <v>320</v>
      </c>
      <c r="AQ18" s="167"/>
      <c r="AU18" s="168"/>
      <c r="AV18" s="168"/>
      <c r="AW18" s="168"/>
      <c r="AX18" s="169"/>
      <c r="AZ18" s="168"/>
      <c r="BC18" s="81" t="s">
        <v>398</v>
      </c>
      <c r="BD18" s="167">
        <v>2900000</v>
      </c>
      <c r="BE18" s="167">
        <v>35800</v>
      </c>
      <c r="BF18" s="81">
        <v>81.02</v>
      </c>
      <c r="BG18" s="81" t="s">
        <v>431</v>
      </c>
      <c r="BH18" s="81" t="s">
        <v>388</v>
      </c>
      <c r="BL18" s="168"/>
      <c r="BM18" s="168"/>
      <c r="BN18" s="168"/>
      <c r="BO18" s="169"/>
      <c r="BP18" s="162"/>
      <c r="BQ18" s="168"/>
      <c r="BS18" s="81" t="s">
        <v>398</v>
      </c>
      <c r="BT18" s="167">
        <v>3010000</v>
      </c>
      <c r="BU18" s="167">
        <v>53100</v>
      </c>
      <c r="BV18" s="81">
        <v>56.66</v>
      </c>
      <c r="BW18" s="81" t="s">
        <v>387</v>
      </c>
      <c r="BX18" s="167">
        <v>2E-16</v>
      </c>
      <c r="BY18" s="81" t="s">
        <v>388</v>
      </c>
      <c r="BZ18" s="174"/>
      <c r="CA18" s="174"/>
      <c r="CB18" s="174"/>
      <c r="CC18" s="174"/>
      <c r="CD18" s="173"/>
      <c r="CE18" s="174"/>
      <c r="CI18" s="81" t="s">
        <v>333</v>
      </c>
      <c r="CJ18" s="252">
        <f t="shared" si="0"/>
        <v>338.42863268343137</v>
      </c>
      <c r="CK18" s="252">
        <f t="shared" si="13"/>
        <v>958</v>
      </c>
      <c r="CL18" s="252">
        <f t="shared" si="2"/>
        <v>383</v>
      </c>
      <c r="CO18" s="253" t="s">
        <v>429</v>
      </c>
      <c r="CP18" s="253" t="s">
        <v>446</v>
      </c>
      <c r="CQ18" s="254">
        <v>2.2599999999999998</v>
      </c>
      <c r="CR18" s="254">
        <v>2.5499999999999998E-2</v>
      </c>
      <c r="CS18" s="253">
        <v>88.62</v>
      </c>
      <c r="CT18" s="253" t="s">
        <v>387</v>
      </c>
      <c r="CU18" s="254">
        <v>2E-16</v>
      </c>
      <c r="CV18" s="81" t="s">
        <v>388</v>
      </c>
      <c r="CW18" s="255" t="s">
        <v>460</v>
      </c>
      <c r="CX18" s="260" t="s">
        <v>474</v>
      </c>
      <c r="CY18" s="256" t="s">
        <v>321</v>
      </c>
      <c r="CZ18" s="257">
        <f t="shared" si="12"/>
        <v>7.3900000000000007E-8</v>
      </c>
      <c r="DA18" s="255" t="s">
        <v>320</v>
      </c>
    </row>
    <row r="19" spans="1:105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J19" s="81" t="s">
        <v>79</v>
      </c>
      <c r="K19" s="215">
        <v>0</v>
      </c>
      <c r="L19" s="216">
        <v>2</v>
      </c>
      <c r="M19" s="216" t="s">
        <v>25</v>
      </c>
      <c r="N19" s="217">
        <f>N17</f>
        <v>19.815584446879509</v>
      </c>
      <c r="O19" s="218" t="s">
        <v>45</v>
      </c>
      <c r="P19" s="30">
        <f t="shared" si="7"/>
        <v>0.29056172075831888</v>
      </c>
      <c r="Q19" s="30">
        <f t="shared" si="8"/>
        <v>5.7576503147170905</v>
      </c>
      <c r="R19" s="30">
        <f t="shared" si="21"/>
        <v>6666358.9196192045</v>
      </c>
      <c r="S19" s="30">
        <f t="shared" si="22"/>
        <v>336420</v>
      </c>
      <c r="T19" s="30">
        <f t="shared" si="23"/>
        <v>3587017.0965741291</v>
      </c>
      <c r="U19" s="31"/>
      <c r="V19" s="153"/>
      <c r="W19" s="182"/>
      <c r="X19" s="183" t="s">
        <v>272</v>
      </c>
      <c r="Y19" s="183">
        <v>0</v>
      </c>
      <c r="Z19" s="183">
        <v>3.5999999999999997E-2</v>
      </c>
      <c r="AA19" s="183">
        <v>26</v>
      </c>
      <c r="AB19" s="183">
        <v>1470</v>
      </c>
      <c r="AC19" s="233">
        <f>Y19/Z19</f>
        <v>0</v>
      </c>
      <c r="AD19" s="184">
        <f>Y19*AA19*AB19</f>
        <v>0</v>
      </c>
      <c r="AE19" s="149" t="s">
        <v>273</v>
      </c>
      <c r="AF19" s="14"/>
      <c r="AG19" s="14"/>
      <c r="AL19" s="159" t="s">
        <v>317</v>
      </c>
      <c r="AM19" s="81" t="s">
        <v>318</v>
      </c>
      <c r="AN19" s="81" t="s">
        <v>333</v>
      </c>
      <c r="AO19" s="81">
        <f>SUM(N6:N9)*(1/(SUM(AC18:AC19)*0.5+1/8))</f>
        <v>338.42863268343137</v>
      </c>
      <c r="AP19" s="81" t="s">
        <v>320</v>
      </c>
      <c r="AQ19" s="167">
        <v>298.59179999999998</v>
      </c>
      <c r="AU19" s="168" t="s">
        <v>317</v>
      </c>
      <c r="AV19" s="168" t="s">
        <v>318</v>
      </c>
      <c r="AW19" s="168" t="s">
        <v>333</v>
      </c>
      <c r="AX19" s="169" t="s">
        <v>321</v>
      </c>
      <c r="AY19" s="162">
        <f>AO19</f>
        <v>338.42863268343137</v>
      </c>
      <c r="AZ19" s="168" t="s">
        <v>320</v>
      </c>
      <c r="BC19" s="81" t="s">
        <v>299</v>
      </c>
      <c r="BD19" s="167">
        <v>50500000</v>
      </c>
      <c r="BE19" s="167">
        <v>737000</v>
      </c>
      <c r="BF19" s="81">
        <v>68.5</v>
      </c>
      <c r="BG19" s="81" t="s">
        <v>431</v>
      </c>
      <c r="BH19" s="81" t="s">
        <v>388</v>
      </c>
      <c r="BL19" s="168" t="s">
        <v>317</v>
      </c>
      <c r="BM19" s="168" t="s">
        <v>318</v>
      </c>
      <c r="BN19" s="168" t="s">
        <v>333</v>
      </c>
      <c r="BO19" s="169" t="s">
        <v>321</v>
      </c>
      <c r="BP19" s="162">
        <f>BD31</f>
        <v>958</v>
      </c>
      <c r="BQ19" s="168" t="s">
        <v>320</v>
      </c>
      <c r="BS19" s="81" t="s">
        <v>299</v>
      </c>
      <c r="BT19" s="167">
        <v>44000000</v>
      </c>
      <c r="BU19" s="167">
        <v>1100000</v>
      </c>
      <c r="BV19" s="81">
        <v>40.15</v>
      </c>
      <c r="BW19" s="81" t="s">
        <v>387</v>
      </c>
      <c r="BX19" s="167">
        <v>2E-16</v>
      </c>
      <c r="BY19" s="81" t="s">
        <v>388</v>
      </c>
      <c r="BZ19" s="174" t="s">
        <v>317</v>
      </c>
      <c r="CA19" s="174" t="s">
        <v>318</v>
      </c>
      <c r="CB19" s="174" t="s">
        <v>333</v>
      </c>
      <c r="CC19" s="174" t="s">
        <v>321</v>
      </c>
      <c r="CD19" s="173">
        <f>BT31</f>
        <v>383</v>
      </c>
      <c r="CE19" s="174" t="s">
        <v>320</v>
      </c>
      <c r="CI19" s="81" t="s">
        <v>334</v>
      </c>
      <c r="CJ19" s="252">
        <f t="shared" si="0"/>
        <v>532.80000000000007</v>
      </c>
      <c r="CK19" s="252">
        <f t="shared" si="13"/>
        <v>737</v>
      </c>
      <c r="CL19" s="252">
        <f t="shared" si="2"/>
        <v>172</v>
      </c>
      <c r="CO19" s="253" t="s">
        <v>429</v>
      </c>
      <c r="CP19" s="253" t="s">
        <v>447</v>
      </c>
      <c r="CQ19" s="254">
        <v>1.91</v>
      </c>
      <c r="CR19" s="254">
        <v>4.2900000000000001E-2</v>
      </c>
      <c r="CS19" s="253">
        <v>44.62</v>
      </c>
      <c r="CT19" s="253" t="s">
        <v>387</v>
      </c>
      <c r="CU19" s="254">
        <v>2E-16</v>
      </c>
      <c r="CV19" s="81" t="s">
        <v>388</v>
      </c>
      <c r="CW19" s="255" t="s">
        <v>460</v>
      </c>
      <c r="CX19" s="258" t="s">
        <v>475</v>
      </c>
      <c r="CY19" s="256" t="s">
        <v>321</v>
      </c>
      <c r="CZ19" s="257">
        <f t="shared" si="12"/>
        <v>0.94899999999999995</v>
      </c>
      <c r="DA19" s="255" t="s">
        <v>320</v>
      </c>
    </row>
    <row r="20" spans="1:105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0.15822130299896589</v>
      </c>
      <c r="G20" s="193"/>
      <c r="H20" s="184"/>
      <c r="J20" s="81" t="s">
        <v>82</v>
      </c>
      <c r="K20" s="215">
        <v>0</v>
      </c>
      <c r="L20" s="216">
        <v>2</v>
      </c>
      <c r="M20" s="216" t="s">
        <v>25</v>
      </c>
      <c r="N20" s="217">
        <v>0</v>
      </c>
      <c r="O20" s="218" t="s">
        <v>50</v>
      </c>
      <c r="P20" s="30">
        <f t="shared" si="7"/>
        <v>0.29056172075831888</v>
      </c>
      <c r="Q20" s="30">
        <f t="shared" si="8"/>
        <v>0</v>
      </c>
      <c r="R20" s="30">
        <f t="shared" si="21"/>
        <v>0</v>
      </c>
      <c r="S20" s="30" t="e">
        <f t="shared" si="22"/>
        <v>#DIV/0!</v>
      </c>
      <c r="T20" s="30">
        <f t="shared" si="23"/>
        <v>0</v>
      </c>
      <c r="U20" s="31"/>
      <c r="V20" s="153"/>
      <c r="W20" s="182"/>
      <c r="X20" s="193" t="s">
        <v>376</v>
      </c>
      <c r="Y20" s="183">
        <v>0.14000000000000001</v>
      </c>
      <c r="Z20" s="183">
        <v>0.9</v>
      </c>
      <c r="AA20" s="183">
        <v>1400</v>
      </c>
      <c r="AB20" s="193">
        <v>840</v>
      </c>
      <c r="AC20" s="233">
        <f>Y20/Z20</f>
        <v>0.15555555555555556</v>
      </c>
      <c r="AD20" s="184">
        <f>Y20*AA20*AB20</f>
        <v>164640.00000000003</v>
      </c>
      <c r="AE20" s="14" t="s">
        <v>274</v>
      </c>
      <c r="AF20" s="14"/>
      <c r="AG20" s="14"/>
      <c r="AL20" s="159" t="s">
        <v>317</v>
      </c>
      <c r="AM20" s="81" t="s">
        <v>318</v>
      </c>
      <c r="AN20" s="81" t="s">
        <v>334</v>
      </c>
      <c r="AO20" s="81">
        <f>SUM(N14)*1/(0.5*SUM(AC42:AC43)+1/6)</f>
        <v>532.80000000000007</v>
      </c>
      <c r="AP20" s="81" t="s">
        <v>320</v>
      </c>
      <c r="AQ20" s="167">
        <v>278.86439999999999</v>
      </c>
      <c r="AU20" s="168" t="s">
        <v>317</v>
      </c>
      <c r="AV20" s="168" t="s">
        <v>318</v>
      </c>
      <c r="AW20" s="168" t="s">
        <v>334</v>
      </c>
      <c r="AX20" s="169" t="s">
        <v>321</v>
      </c>
      <c r="AY20" s="162">
        <f t="shared" ref="AY20:AY24" si="24">AO20</f>
        <v>532.80000000000007</v>
      </c>
      <c r="AZ20" s="168" t="s">
        <v>320</v>
      </c>
      <c r="BC20" s="81" t="s">
        <v>301</v>
      </c>
      <c r="BD20" s="167">
        <v>32700000</v>
      </c>
      <c r="BE20" s="167">
        <v>53200</v>
      </c>
      <c r="BF20" s="81">
        <v>614.4</v>
      </c>
      <c r="BG20" s="81" t="s">
        <v>431</v>
      </c>
      <c r="BH20" s="81" t="s">
        <v>388</v>
      </c>
      <c r="BL20" s="168" t="s">
        <v>317</v>
      </c>
      <c r="BM20" s="168" t="s">
        <v>318</v>
      </c>
      <c r="BN20" s="168" t="s">
        <v>334</v>
      </c>
      <c r="BO20" s="169" t="s">
        <v>321</v>
      </c>
      <c r="BP20" s="162">
        <f t="shared" ref="BP20:BP22" si="25">BD32</f>
        <v>737</v>
      </c>
      <c r="BQ20" s="168" t="s">
        <v>320</v>
      </c>
      <c r="BS20" s="81" t="s">
        <v>301</v>
      </c>
      <c r="BT20" s="167">
        <v>26300000</v>
      </c>
      <c r="BU20" s="167">
        <v>378000</v>
      </c>
      <c r="BV20" s="81">
        <v>69.39</v>
      </c>
      <c r="BW20" s="81" t="s">
        <v>387</v>
      </c>
      <c r="BX20" s="167">
        <v>2E-16</v>
      </c>
      <c r="BY20" s="81" t="s">
        <v>388</v>
      </c>
      <c r="BZ20" s="174" t="s">
        <v>317</v>
      </c>
      <c r="CA20" s="174" t="s">
        <v>318</v>
      </c>
      <c r="CB20" s="174" t="s">
        <v>334</v>
      </c>
      <c r="CC20" s="174" t="s">
        <v>321</v>
      </c>
      <c r="CD20" s="173">
        <f t="shared" ref="CD20:CD22" si="26">BT32</f>
        <v>172</v>
      </c>
      <c r="CE20" s="174" t="s">
        <v>320</v>
      </c>
      <c r="CI20" s="81" t="s">
        <v>335</v>
      </c>
      <c r="CJ20" s="252">
        <f t="shared" si="0"/>
        <v>166.50688728024824</v>
      </c>
      <c r="CK20" s="252">
        <f t="shared" si="13"/>
        <v>2190</v>
      </c>
      <c r="CL20" s="252">
        <f t="shared" si="2"/>
        <v>517</v>
      </c>
      <c r="CO20" s="253" t="s">
        <v>429</v>
      </c>
      <c r="CP20" s="253" t="s">
        <v>448</v>
      </c>
      <c r="CQ20" s="254">
        <v>0.26</v>
      </c>
      <c r="CR20" s="254">
        <v>0.27200000000000002</v>
      </c>
      <c r="CS20" s="253">
        <v>0.96</v>
      </c>
      <c r="CT20" s="253">
        <v>0.33800000000000002</v>
      </c>
      <c r="CW20" s="255" t="s">
        <v>460</v>
      </c>
      <c r="CX20" s="259" t="s">
        <v>476</v>
      </c>
      <c r="CY20" s="256" t="s">
        <v>321</v>
      </c>
      <c r="CZ20" s="257">
        <f t="shared" si="12"/>
        <v>0.79</v>
      </c>
      <c r="DA20" s="255" t="s">
        <v>320</v>
      </c>
    </row>
    <row r="21" spans="1:105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0.15822130299896589</v>
      </c>
      <c r="G21" s="193"/>
      <c r="H21" s="184"/>
      <c r="J21" s="81" t="s">
        <v>84</v>
      </c>
      <c r="K21" s="215">
        <v>0</v>
      </c>
      <c r="L21" s="216">
        <v>2</v>
      </c>
      <c r="M21" s="216" t="s">
        <v>54</v>
      </c>
      <c r="N21" s="217">
        <f>H10</f>
        <v>1.4799999999999998</v>
      </c>
      <c r="O21" s="218" t="s">
        <v>26</v>
      </c>
      <c r="P21" s="30">
        <f t="shared" si="7"/>
        <v>2</v>
      </c>
      <c r="Q21" s="30">
        <f t="shared" si="8"/>
        <v>2.9599999999999995</v>
      </c>
      <c r="R21" s="30">
        <f t="shared" si="21"/>
        <v>0</v>
      </c>
      <c r="S21" s="30">
        <f t="shared" si="22"/>
        <v>0</v>
      </c>
      <c r="T21" s="30">
        <f t="shared" si="23"/>
        <v>0</v>
      </c>
      <c r="U21" s="31"/>
      <c r="V21" s="153"/>
      <c r="W21" s="199"/>
      <c r="X21" s="181" t="s">
        <v>275</v>
      </c>
      <c r="Y21" s="181">
        <v>0.02</v>
      </c>
      <c r="Z21" s="181">
        <v>0.6</v>
      </c>
      <c r="AA21" s="181">
        <v>975</v>
      </c>
      <c r="AB21" s="181">
        <v>840</v>
      </c>
      <c r="AC21" s="234">
        <f>Y21/Z21</f>
        <v>3.3333333333333333E-2</v>
      </c>
      <c r="AD21" s="204">
        <f>Y21*AA21*AB21</f>
        <v>16380</v>
      </c>
      <c r="AE21" s="14"/>
      <c r="AF21" s="14"/>
      <c r="AG21" s="14"/>
      <c r="AL21" s="159" t="s">
        <v>317</v>
      </c>
      <c r="AM21" s="81" t="s">
        <v>318</v>
      </c>
      <c r="AN21" s="81" t="s">
        <v>335</v>
      </c>
      <c r="AO21" s="81">
        <f>4*Z21*N27</f>
        <v>166.50688728024824</v>
      </c>
      <c r="AP21" s="81" t="s">
        <v>320</v>
      </c>
      <c r="AQ21" s="167">
        <v>721.00049999999999</v>
      </c>
      <c r="AU21" s="168" t="s">
        <v>317</v>
      </c>
      <c r="AV21" s="168" t="s">
        <v>318</v>
      </c>
      <c r="AW21" s="168" t="s">
        <v>335</v>
      </c>
      <c r="AX21" s="169" t="s">
        <v>321</v>
      </c>
      <c r="AY21" s="162">
        <f t="shared" si="24"/>
        <v>166.50688728024824</v>
      </c>
      <c r="AZ21" s="168" t="s">
        <v>320</v>
      </c>
      <c r="BC21" s="81" t="s">
        <v>399</v>
      </c>
      <c r="BD21" s="167">
        <v>-6.77</v>
      </c>
      <c r="BE21" s="167">
        <v>5.1499999999999997E-2</v>
      </c>
      <c r="BF21" s="81">
        <v>-131.33000000000001</v>
      </c>
      <c r="BG21" s="81" t="s">
        <v>431</v>
      </c>
      <c r="BH21" s="81" t="s">
        <v>388</v>
      </c>
      <c r="BL21" s="168" t="s">
        <v>317</v>
      </c>
      <c r="BM21" s="168" t="s">
        <v>318</v>
      </c>
      <c r="BN21" s="168" t="s">
        <v>335</v>
      </c>
      <c r="BO21" s="169" t="s">
        <v>321</v>
      </c>
      <c r="BP21" s="162">
        <f t="shared" si="25"/>
        <v>2190</v>
      </c>
      <c r="BQ21" s="168" t="s">
        <v>320</v>
      </c>
      <c r="BS21" s="81" t="s">
        <v>399</v>
      </c>
      <c r="BT21" s="167">
        <v>-6.03</v>
      </c>
      <c r="BU21" s="167">
        <v>6.9800000000000001E-2</v>
      </c>
      <c r="BV21" s="81">
        <v>-86.39</v>
      </c>
      <c r="BW21" s="81" t="s">
        <v>387</v>
      </c>
      <c r="BX21" s="167">
        <v>2E-16</v>
      </c>
      <c r="BY21" s="81" t="s">
        <v>388</v>
      </c>
      <c r="BZ21" s="174" t="s">
        <v>317</v>
      </c>
      <c r="CA21" s="174" t="s">
        <v>318</v>
      </c>
      <c r="CB21" s="174" t="s">
        <v>335</v>
      </c>
      <c r="CC21" s="174" t="s">
        <v>321</v>
      </c>
      <c r="CD21" s="173">
        <f t="shared" si="26"/>
        <v>517</v>
      </c>
      <c r="CE21" s="174" t="s">
        <v>320</v>
      </c>
      <c r="CI21" s="81" t="s">
        <v>336</v>
      </c>
      <c r="CJ21" s="252">
        <f t="shared" si="0"/>
        <v>117.18074613503858</v>
      </c>
      <c r="CK21" s="252">
        <f t="shared" si="13"/>
        <v>251</v>
      </c>
      <c r="CL21" s="252">
        <f t="shared" si="2"/>
        <v>256</v>
      </c>
      <c r="CO21" s="253" t="s">
        <v>429</v>
      </c>
      <c r="CP21" s="253" t="s">
        <v>341</v>
      </c>
      <c r="CQ21" s="254">
        <v>2.4200000000000002E-8</v>
      </c>
      <c r="CR21" s="254">
        <v>1.4100000000000001E-5</v>
      </c>
      <c r="CS21" s="253">
        <v>0</v>
      </c>
      <c r="CT21" s="253">
        <v>0.999</v>
      </c>
      <c r="CW21" s="255" t="s">
        <v>460</v>
      </c>
      <c r="CX21" s="259" t="s">
        <v>477</v>
      </c>
      <c r="CY21" s="256" t="s">
        <v>321</v>
      </c>
      <c r="CZ21" s="257">
        <f t="shared" si="12"/>
        <v>0.64600000000000002</v>
      </c>
      <c r="DA21" s="255" t="s">
        <v>320</v>
      </c>
    </row>
    <row r="22" spans="1:105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8.0230728893550096E-2</v>
      </c>
      <c r="G22" s="183"/>
      <c r="H22" s="184"/>
      <c r="J22" s="81" t="s">
        <v>87</v>
      </c>
      <c r="K22" s="215">
        <v>0</v>
      </c>
      <c r="L22" s="216">
        <v>2</v>
      </c>
      <c r="M22" s="216" t="s">
        <v>54</v>
      </c>
      <c r="N22" s="217">
        <f>H11</f>
        <v>1.4599999999999997</v>
      </c>
      <c r="O22" s="218" t="s">
        <v>39</v>
      </c>
      <c r="P22" s="30">
        <f t="shared" si="7"/>
        <v>2</v>
      </c>
      <c r="Q22" s="30">
        <f t="shared" si="8"/>
        <v>2.9199999999999995</v>
      </c>
      <c r="R22" s="30">
        <f t="shared" si="21"/>
        <v>0</v>
      </c>
      <c r="S22" s="30">
        <f t="shared" si="22"/>
        <v>0</v>
      </c>
      <c r="T22" s="30">
        <f t="shared" si="23"/>
        <v>0</v>
      </c>
      <c r="U22" s="31"/>
      <c r="V22" s="153"/>
      <c r="W22" s="223"/>
      <c r="X22" s="223"/>
      <c r="Y22" s="223"/>
      <c r="Z22" s="223"/>
      <c r="AA22" s="223"/>
      <c r="AB22" s="223"/>
      <c r="AC22" s="223"/>
      <c r="AD22" s="223"/>
      <c r="AE22" s="14"/>
      <c r="AF22" s="14"/>
      <c r="AG22" s="14"/>
      <c r="AL22" s="159" t="s">
        <v>317</v>
      </c>
      <c r="AM22" s="81" t="s">
        <v>318</v>
      </c>
      <c r="AN22" s="81" t="s">
        <v>336</v>
      </c>
      <c r="AO22" s="153">
        <f>'Verwarming Tabula 2zone'!B60+SUM(Q10:Q13)</f>
        <v>117.18074613503858</v>
      </c>
      <c r="AP22" s="81" t="s">
        <v>320</v>
      </c>
      <c r="AQ22" s="167">
        <v>110.5333</v>
      </c>
      <c r="AU22" s="168" t="s">
        <v>317</v>
      </c>
      <c r="AV22" s="168" t="s">
        <v>318</v>
      </c>
      <c r="AW22" s="168" t="s">
        <v>336</v>
      </c>
      <c r="AX22" s="169" t="s">
        <v>321</v>
      </c>
      <c r="AY22" s="162">
        <f t="shared" si="24"/>
        <v>117.18074613503858</v>
      </c>
      <c r="AZ22" s="168" t="s">
        <v>320</v>
      </c>
      <c r="BC22" s="81" t="s">
        <v>400</v>
      </c>
      <c r="BD22" s="167">
        <v>-15.3</v>
      </c>
      <c r="BE22" s="167">
        <v>295</v>
      </c>
      <c r="BF22" s="81">
        <v>-0.05</v>
      </c>
      <c r="BG22" s="81">
        <v>0.96</v>
      </c>
      <c r="BL22" s="168" t="s">
        <v>317</v>
      </c>
      <c r="BM22" s="168" t="s">
        <v>318</v>
      </c>
      <c r="BN22" s="168" t="s">
        <v>336</v>
      </c>
      <c r="BO22" s="169" t="s">
        <v>321</v>
      </c>
      <c r="BP22" s="162">
        <f t="shared" si="25"/>
        <v>251</v>
      </c>
      <c r="BQ22" s="168" t="s">
        <v>320</v>
      </c>
      <c r="BS22" s="81" t="s">
        <v>400</v>
      </c>
      <c r="BT22" s="167">
        <v>-17.3</v>
      </c>
      <c r="BU22" s="167">
        <v>89.6</v>
      </c>
      <c r="BV22" s="81">
        <v>-0.19</v>
      </c>
      <c r="BW22" s="81">
        <v>0.85</v>
      </c>
      <c r="BZ22" s="174" t="s">
        <v>317</v>
      </c>
      <c r="CA22" s="174" t="s">
        <v>318</v>
      </c>
      <c r="CB22" s="174" t="s">
        <v>336</v>
      </c>
      <c r="CC22" s="174" t="s">
        <v>321</v>
      </c>
      <c r="CD22" s="173">
        <f t="shared" si="26"/>
        <v>256</v>
      </c>
      <c r="CE22" s="174" t="s">
        <v>320</v>
      </c>
      <c r="CI22" s="81" t="s">
        <v>337</v>
      </c>
      <c r="CJ22" s="252">
        <f t="shared" si="0"/>
        <v>22.763854325303473</v>
      </c>
      <c r="CK22" s="252">
        <f t="shared" si="13"/>
        <v>884.95575221238948</v>
      </c>
      <c r="CL22" s="252">
        <f t="shared" si="2"/>
        <v>740.74074074074065</v>
      </c>
      <c r="CO22" s="253" t="s">
        <v>429</v>
      </c>
      <c r="CP22" s="253" t="s">
        <v>449</v>
      </c>
      <c r="CQ22" s="254">
        <v>0.50900000000000001</v>
      </c>
      <c r="CR22" s="254">
        <v>0.11899999999999999</v>
      </c>
      <c r="CS22" s="253">
        <v>4.28</v>
      </c>
      <c r="CT22" s="254">
        <v>1.9000000000000001E-5</v>
      </c>
      <c r="CU22" s="253" t="s">
        <v>388</v>
      </c>
      <c r="CW22" s="255" t="s">
        <v>460</v>
      </c>
      <c r="CX22" s="259" t="s">
        <v>478</v>
      </c>
      <c r="CY22" s="256" t="s">
        <v>321</v>
      </c>
      <c r="CZ22" s="257">
        <f t="shared" si="12"/>
        <v>9.05E-9</v>
      </c>
      <c r="DA22" s="255" t="s">
        <v>320</v>
      </c>
    </row>
    <row r="23" spans="1:105" ht="15" customHeight="1" thickTop="1" thickBot="1" x14ac:dyDescent="0.3">
      <c r="A23" s="185" t="s">
        <v>91</v>
      </c>
      <c r="B23" s="186">
        <f>B17+B6</f>
        <v>193.4</v>
      </c>
      <c r="C23" s="196" t="s">
        <v>9</v>
      </c>
      <c r="D23" s="182"/>
      <c r="E23" s="183"/>
      <c r="F23" s="183"/>
      <c r="G23" s="183"/>
      <c r="H23" s="184"/>
      <c r="J23" s="81" t="s">
        <v>89</v>
      </c>
      <c r="K23" s="215">
        <v>0</v>
      </c>
      <c r="L23" s="216">
        <v>2</v>
      </c>
      <c r="M23" s="216" t="s">
        <v>54</v>
      </c>
      <c r="N23" s="217">
        <f>H12</f>
        <v>1.6799999999999997</v>
      </c>
      <c r="O23" s="218" t="s">
        <v>45</v>
      </c>
      <c r="P23" s="30">
        <f t="shared" si="7"/>
        <v>2</v>
      </c>
      <c r="Q23" s="30">
        <f t="shared" si="8"/>
        <v>3.3599999999999994</v>
      </c>
      <c r="R23" s="30">
        <f t="shared" si="21"/>
        <v>0</v>
      </c>
      <c r="S23" s="30">
        <f t="shared" si="22"/>
        <v>0</v>
      </c>
      <c r="T23" s="30">
        <f t="shared" si="23"/>
        <v>0</v>
      </c>
      <c r="U23" s="31"/>
      <c r="V23" s="153"/>
      <c r="W23" s="225" t="s">
        <v>85</v>
      </c>
      <c r="X23" s="226"/>
      <c r="Y23" s="227" t="s">
        <v>21</v>
      </c>
      <c r="Z23" s="228">
        <f>(1/(1/8+SUM(AC25:AC27)+1/8))</f>
        <v>1.7363344051446945</v>
      </c>
      <c r="AA23" s="226" t="s">
        <v>5</v>
      </c>
      <c r="AB23" s="226"/>
      <c r="AC23" s="226" t="s">
        <v>22</v>
      </c>
      <c r="AD23" s="229">
        <f>SUM(AD25:AD28)</f>
        <v>197400.00000000003</v>
      </c>
      <c r="AE23" s="14" t="s">
        <v>23</v>
      </c>
      <c r="AF23" s="14">
        <f>SUM(AD25:AD27)</f>
        <v>197400.00000000003</v>
      </c>
      <c r="AG23" s="14"/>
      <c r="AL23" s="159" t="s">
        <v>317</v>
      </c>
      <c r="AM23" s="81" t="s">
        <v>318</v>
      </c>
      <c r="AN23" s="81" t="s">
        <v>337</v>
      </c>
      <c r="AO23" s="81">
        <f>SUM(N6:N9)*1/(SUM(AC15:AC17)+0.5*SUM(AC18:AC19)+1/23)</f>
        <v>22.763854325303473</v>
      </c>
      <c r="AP23" s="81" t="s">
        <v>320</v>
      </c>
      <c r="AQ23" s="81">
        <f>1/0.01496205</f>
        <v>66.83576114235683</v>
      </c>
      <c r="AU23" s="168" t="s">
        <v>317</v>
      </c>
      <c r="AV23" s="168" t="s">
        <v>318</v>
      </c>
      <c r="AW23" s="168" t="s">
        <v>337</v>
      </c>
      <c r="AX23" s="169" t="s">
        <v>321</v>
      </c>
      <c r="AY23" s="162">
        <f t="shared" si="24"/>
        <v>22.763854325303473</v>
      </c>
      <c r="AZ23" s="168" t="s">
        <v>320</v>
      </c>
      <c r="BC23" s="81" t="s">
        <v>401</v>
      </c>
      <c r="BD23" s="167">
        <v>-14.3</v>
      </c>
      <c r="BE23" s="167">
        <v>275</v>
      </c>
      <c r="BF23" s="81">
        <v>-0.05</v>
      </c>
      <c r="BG23" s="81">
        <v>0.96</v>
      </c>
      <c r="BL23" s="168" t="s">
        <v>317</v>
      </c>
      <c r="BM23" s="168" t="s">
        <v>318</v>
      </c>
      <c r="BN23" s="168" t="s">
        <v>337</v>
      </c>
      <c r="BO23" s="169" t="s">
        <v>321</v>
      </c>
      <c r="BP23" s="162">
        <f>1/BD40</f>
        <v>884.95575221238948</v>
      </c>
      <c r="BQ23" s="168" t="s">
        <v>320</v>
      </c>
      <c r="BS23" s="81" t="s">
        <v>401</v>
      </c>
      <c r="BT23" s="167">
        <v>4.9000000000000004</v>
      </c>
      <c r="BU23" s="167">
        <v>0.26400000000000001</v>
      </c>
      <c r="BV23" s="81">
        <v>18.54</v>
      </c>
      <c r="BW23" s="81" t="s">
        <v>387</v>
      </c>
      <c r="BX23" s="167">
        <v>2E-16</v>
      </c>
      <c r="BY23" s="81" t="s">
        <v>388</v>
      </c>
      <c r="BZ23" s="174" t="s">
        <v>317</v>
      </c>
      <c r="CA23" s="174" t="s">
        <v>318</v>
      </c>
      <c r="CB23" s="174" t="s">
        <v>337</v>
      </c>
      <c r="CC23" s="174" t="s">
        <v>321</v>
      </c>
      <c r="CD23" s="173">
        <f>1/BT40</f>
        <v>740.74074074074065</v>
      </c>
      <c r="CE23" s="174" t="s">
        <v>320</v>
      </c>
      <c r="CI23" s="81" t="s">
        <v>338</v>
      </c>
      <c r="CJ23" s="252">
        <f t="shared" si="0"/>
        <v>24.478865844053566</v>
      </c>
      <c r="CK23" s="252">
        <f t="shared" si="13"/>
        <v>301</v>
      </c>
      <c r="CL23" s="252">
        <f t="shared" si="2"/>
        <v>334</v>
      </c>
      <c r="CO23" s="253" t="s">
        <v>429</v>
      </c>
      <c r="CP23" s="253" t="s">
        <v>450</v>
      </c>
      <c r="CQ23" s="254">
        <v>2.1199999999999999E-7</v>
      </c>
      <c r="CR23" s="254">
        <v>1.01E-4</v>
      </c>
      <c r="CS23" s="253">
        <v>0</v>
      </c>
      <c r="CT23" s="253">
        <v>0.998</v>
      </c>
      <c r="CW23" s="255" t="s">
        <v>460</v>
      </c>
      <c r="CX23" s="258" t="s">
        <v>479</v>
      </c>
      <c r="CY23" s="256" t="s">
        <v>321</v>
      </c>
      <c r="CZ23" s="257">
        <f t="shared" si="12"/>
        <v>0.79</v>
      </c>
      <c r="DA23" s="255" t="s">
        <v>320</v>
      </c>
    </row>
    <row r="24" spans="1:105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0.54084798345398133</v>
      </c>
      <c r="G24" s="183"/>
      <c r="H24" s="184"/>
      <c r="J24" s="81" t="s">
        <v>92</v>
      </c>
      <c r="K24" s="215">
        <v>0</v>
      </c>
      <c r="L24" s="216">
        <v>2</v>
      </c>
      <c r="M24" s="216" t="s">
        <v>54</v>
      </c>
      <c r="N24" s="217">
        <f>H13</f>
        <v>1.4999999999999996</v>
      </c>
      <c r="O24" s="218" t="s">
        <v>50</v>
      </c>
      <c r="P24" s="30">
        <f t="shared" si="7"/>
        <v>2</v>
      </c>
      <c r="Q24" s="30">
        <f t="shared" si="8"/>
        <v>2.9999999999999991</v>
      </c>
      <c r="R24" s="30">
        <f t="shared" si="21"/>
        <v>0</v>
      </c>
      <c r="S24" s="30">
        <f t="shared" si="22"/>
        <v>0</v>
      </c>
      <c r="T24" s="30">
        <f t="shared" si="23"/>
        <v>0</v>
      </c>
      <c r="U24" s="31"/>
      <c r="V24" s="153"/>
      <c r="W24" s="230"/>
      <c r="X24" s="231" t="s">
        <v>27</v>
      </c>
      <c r="Y24" s="231" t="s">
        <v>28</v>
      </c>
      <c r="Z24" s="231" t="s">
        <v>29</v>
      </c>
      <c r="AA24" s="231" t="s">
        <v>30</v>
      </c>
      <c r="AB24" s="231" t="s">
        <v>31</v>
      </c>
      <c r="AC24" s="231" t="s">
        <v>32</v>
      </c>
      <c r="AD24" s="232" t="s">
        <v>33</v>
      </c>
      <c r="AE24" s="14"/>
      <c r="AF24" s="14"/>
      <c r="AG24" s="14"/>
      <c r="AL24" s="159" t="s">
        <v>317</v>
      </c>
      <c r="AM24" s="81" t="s">
        <v>318</v>
      </c>
      <c r="AN24" s="81" t="s">
        <v>338</v>
      </c>
      <c r="AO24" s="81">
        <f>SUM(N14)*1/(SUM(AC44:AC46)+0.5*SUM(AC42:AC43))</f>
        <v>24.478865844053566</v>
      </c>
      <c r="AP24" s="81" t="s">
        <v>320</v>
      </c>
      <c r="AQ24" s="167">
        <v>43.800190000000001</v>
      </c>
      <c r="AU24" s="168" t="s">
        <v>317</v>
      </c>
      <c r="AV24" s="168" t="s">
        <v>318</v>
      </c>
      <c r="AW24" s="168" t="s">
        <v>338</v>
      </c>
      <c r="AX24" s="169" t="s">
        <v>321</v>
      </c>
      <c r="AY24" s="162">
        <f t="shared" si="24"/>
        <v>24.478865844053566</v>
      </c>
      <c r="AZ24" s="168" t="s">
        <v>320</v>
      </c>
      <c r="BC24" s="81" t="s">
        <v>402</v>
      </c>
      <c r="BD24" s="167">
        <v>-9.5399999999999991</v>
      </c>
      <c r="BE24" s="167">
        <v>148</v>
      </c>
      <c r="BF24" s="81">
        <v>-0.06</v>
      </c>
      <c r="BG24" s="81">
        <v>0.95</v>
      </c>
      <c r="BL24" s="168" t="s">
        <v>317</v>
      </c>
      <c r="BM24" s="168" t="s">
        <v>318</v>
      </c>
      <c r="BN24" s="168" t="s">
        <v>338</v>
      </c>
      <c r="BO24" s="169" t="s">
        <v>321</v>
      </c>
      <c r="BP24" s="162">
        <f>BD43</f>
        <v>301</v>
      </c>
      <c r="BQ24" s="168" t="s">
        <v>320</v>
      </c>
      <c r="BS24" s="81" t="s">
        <v>402</v>
      </c>
      <c r="BT24" s="167">
        <v>-14.2</v>
      </c>
      <c r="BU24" s="167">
        <v>448</v>
      </c>
      <c r="BV24" s="81">
        <v>-0.03</v>
      </c>
      <c r="BW24" s="81">
        <v>0.97</v>
      </c>
      <c r="BZ24" s="174" t="s">
        <v>317</v>
      </c>
      <c r="CA24" s="174" t="s">
        <v>318</v>
      </c>
      <c r="CB24" s="174" t="s">
        <v>338</v>
      </c>
      <c r="CC24" s="174" t="s">
        <v>321</v>
      </c>
      <c r="CD24" s="173">
        <f>BT43</f>
        <v>334</v>
      </c>
      <c r="CE24" s="174" t="s">
        <v>320</v>
      </c>
      <c r="CJ24" s="250"/>
      <c r="CK24" s="250"/>
      <c r="CL24" s="250"/>
      <c r="CO24" s="253" t="s">
        <v>429</v>
      </c>
      <c r="CP24" s="253" t="s">
        <v>451</v>
      </c>
      <c r="CQ24" s="254">
        <v>0.79900000000000004</v>
      </c>
      <c r="CR24" s="254">
        <v>1.6500000000000001E-2</v>
      </c>
      <c r="CS24" s="253">
        <v>48.43</v>
      </c>
      <c r="CT24" s="253" t="s">
        <v>387</v>
      </c>
      <c r="CU24" s="254">
        <v>2E-16</v>
      </c>
      <c r="CV24" s="81" t="s">
        <v>388</v>
      </c>
      <c r="CW24" s="255" t="s">
        <v>460</v>
      </c>
      <c r="CX24" s="256" t="s">
        <v>480</v>
      </c>
      <c r="CY24" s="256" t="s">
        <v>321</v>
      </c>
      <c r="CZ24" s="257">
        <f>CQ31</f>
        <v>0.625</v>
      </c>
      <c r="DA24" s="255" t="s">
        <v>320</v>
      </c>
    </row>
    <row r="25" spans="1:105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J25" s="81" t="s">
        <v>96</v>
      </c>
      <c r="K25" s="215">
        <v>0</v>
      </c>
      <c r="L25" s="216">
        <v>2</v>
      </c>
      <c r="M25" s="216" t="s">
        <v>20</v>
      </c>
      <c r="N25" s="217">
        <f>'Tabula data'!B7</f>
        <v>101.4</v>
      </c>
      <c r="O25" s="218" t="s">
        <v>97</v>
      </c>
      <c r="P25" s="30">
        <f t="shared" si="7"/>
        <v>0.2816515182597264</v>
      </c>
      <c r="Q25" s="30">
        <f t="shared" si="8"/>
        <v>28.559463951536259</v>
      </c>
      <c r="R25" s="30">
        <f t="shared" si="21"/>
        <v>6064531.2000000002</v>
      </c>
      <c r="S25" s="30">
        <f t="shared" si="22"/>
        <v>59808</v>
      </c>
      <c r="T25" s="30">
        <f t="shared" si="23"/>
        <v>1660932</v>
      </c>
      <c r="U25" s="31"/>
      <c r="V25" s="153"/>
      <c r="W25" s="182"/>
      <c r="X25" s="183" t="s">
        <v>90</v>
      </c>
      <c r="Y25" s="183">
        <v>0.02</v>
      </c>
      <c r="Z25" s="183">
        <v>0.6</v>
      </c>
      <c r="AA25" s="183">
        <v>975</v>
      </c>
      <c r="AB25" s="183">
        <v>840</v>
      </c>
      <c r="AC25" s="233">
        <f>Y25/Z25</f>
        <v>3.3333333333333333E-2</v>
      </c>
      <c r="AD25" s="184">
        <f>Y25*AA25*AB25</f>
        <v>16380</v>
      </c>
      <c r="AE25" s="14"/>
      <c r="AF25" s="14"/>
      <c r="AG25" s="14"/>
      <c r="AP25" s="81" t="s">
        <v>320</v>
      </c>
      <c r="AU25" s="168"/>
      <c r="AV25" s="168"/>
      <c r="AW25" s="168"/>
      <c r="AX25" s="169"/>
      <c r="AZ25" s="168"/>
      <c r="BC25" s="81" t="s">
        <v>403</v>
      </c>
      <c r="BD25" s="167">
        <v>-13</v>
      </c>
      <c r="BE25" s="167">
        <v>221</v>
      </c>
      <c r="BF25" s="81">
        <v>-0.06</v>
      </c>
      <c r="BG25" s="81">
        <v>0.95</v>
      </c>
      <c r="BL25" s="168"/>
      <c r="BM25" s="168"/>
      <c r="BN25" s="168"/>
      <c r="BO25" s="169"/>
      <c r="BP25" s="162"/>
      <c r="BQ25" s="168"/>
      <c r="BS25" s="81" t="s">
        <v>403</v>
      </c>
      <c r="BT25" s="167">
        <v>-14.2</v>
      </c>
      <c r="BU25" s="167">
        <v>475</v>
      </c>
      <c r="BV25" s="81">
        <v>-0.03</v>
      </c>
      <c r="BW25" s="81">
        <v>0.98</v>
      </c>
      <c r="BZ25" s="174"/>
      <c r="CA25" s="174"/>
      <c r="CB25" s="174"/>
      <c r="CC25" s="174"/>
      <c r="CD25" s="173"/>
      <c r="CE25" s="174"/>
      <c r="CI25" s="81" t="s">
        <v>339</v>
      </c>
      <c r="CJ25" s="249">
        <f t="shared" si="0"/>
        <v>0.48759200358266841</v>
      </c>
      <c r="CK25" s="249">
        <f t="shared" si="13"/>
        <v>0.01</v>
      </c>
      <c r="CL25" s="249">
        <f t="shared" si="2"/>
        <v>0.27400000000000002</v>
      </c>
      <c r="CO25" s="253" t="s">
        <v>429</v>
      </c>
      <c r="CP25" s="253" t="s">
        <v>452</v>
      </c>
      <c r="CQ25" s="254">
        <v>7.3900000000000007E-8</v>
      </c>
      <c r="CR25" s="254">
        <v>6.6599999999999998E-6</v>
      </c>
      <c r="CS25" s="253">
        <v>0.01</v>
      </c>
      <c r="CT25" s="253">
        <v>0.99099999999999999</v>
      </c>
      <c r="CY25" s="256"/>
    </row>
    <row r="26" spans="1:105" ht="15" customHeight="1" thickTop="1" thickBot="1" x14ac:dyDescent="0.3">
      <c r="A26" s="185" t="s">
        <v>100</v>
      </c>
      <c r="B26" s="203">
        <f>'Tabula data'!B6</f>
        <v>381.4</v>
      </c>
      <c r="C26" s="197" t="s">
        <v>9</v>
      </c>
      <c r="D26" s="182"/>
      <c r="E26" s="183"/>
      <c r="F26" s="183"/>
      <c r="G26" s="183"/>
      <c r="H26" s="184"/>
      <c r="J26" s="81" t="s">
        <v>98</v>
      </c>
      <c r="K26" s="215">
        <v>1</v>
      </c>
      <c r="L26" s="216">
        <v>2</v>
      </c>
      <c r="M26" s="216" t="s">
        <v>99</v>
      </c>
      <c r="N26" s="217">
        <f>'Tabula data'!B4-'Tabula data'!B14</f>
        <v>104.6</v>
      </c>
      <c r="O26" s="218"/>
      <c r="P26" s="30">
        <f t="shared" si="7"/>
        <v>1.4549653579676673</v>
      </c>
      <c r="Q26" s="30">
        <f t="shared" si="8"/>
        <v>152.18937644341798</v>
      </c>
      <c r="R26" s="30">
        <f t="shared" si="21"/>
        <v>48695484</v>
      </c>
      <c r="S26" s="30">
        <f t="shared" si="22"/>
        <v>465540</v>
      </c>
      <c r="T26" s="30">
        <f t="shared" si="23"/>
        <v>48695484</v>
      </c>
      <c r="U26" s="31"/>
      <c r="V26" s="153"/>
      <c r="W26" s="182"/>
      <c r="X26" s="183" t="s">
        <v>93</v>
      </c>
      <c r="Y26" s="183">
        <v>0.14000000000000001</v>
      </c>
      <c r="Z26" s="183">
        <v>0.54</v>
      </c>
      <c r="AA26" s="183">
        <v>1400</v>
      </c>
      <c r="AB26" s="183">
        <v>840</v>
      </c>
      <c r="AC26" s="233">
        <f>Y26/Z26</f>
        <v>0.25925925925925924</v>
      </c>
      <c r="AD26" s="184">
        <f>Y26*AA26*AB26</f>
        <v>164640.00000000003</v>
      </c>
      <c r="AE26" s="14"/>
      <c r="AF26" s="14"/>
      <c r="AG26" s="14"/>
      <c r="AL26" s="159" t="s">
        <v>317</v>
      </c>
      <c r="AM26" s="81" t="s">
        <v>318</v>
      </c>
      <c r="AN26" s="81" t="s">
        <v>339</v>
      </c>
      <c r="AO26" s="81">
        <f>SUM(N17:N20,N25)/SUM(N$17:N$25,N$28,N$26)</f>
        <v>0.48759200358266841</v>
      </c>
      <c r="AP26" s="81" t="s">
        <v>320</v>
      </c>
      <c r="AQ26" s="167">
        <v>0.44339849999999997</v>
      </c>
      <c r="AU26" s="168" t="s">
        <v>317</v>
      </c>
      <c r="AV26" s="168" t="s">
        <v>318</v>
      </c>
      <c r="AW26" s="168" t="s">
        <v>339</v>
      </c>
      <c r="AX26" s="169" t="s">
        <v>321</v>
      </c>
      <c r="AY26" s="162">
        <f>AO26</f>
        <v>0.48759200358266841</v>
      </c>
      <c r="AZ26" s="168" t="s">
        <v>320</v>
      </c>
      <c r="BC26" s="81" t="s">
        <v>404</v>
      </c>
      <c r="BD26" s="167">
        <v>0.128</v>
      </c>
      <c r="BE26" s="167">
        <v>7.7800000000000005E-4</v>
      </c>
      <c r="BF26" s="81">
        <v>164.49</v>
      </c>
      <c r="BG26" s="81" t="s">
        <v>431</v>
      </c>
      <c r="BH26" s="81" t="s">
        <v>388</v>
      </c>
      <c r="BL26" s="168" t="s">
        <v>317</v>
      </c>
      <c r="BM26" s="168" t="s">
        <v>318</v>
      </c>
      <c r="BN26" s="168" t="s">
        <v>339</v>
      </c>
      <c r="BO26" s="169" t="s">
        <v>321</v>
      </c>
      <c r="BP26" s="162">
        <f>BD51</f>
        <v>0.01</v>
      </c>
      <c r="BQ26" s="168" t="s">
        <v>320</v>
      </c>
      <c r="BS26" s="81" t="s">
        <v>404</v>
      </c>
      <c r="BT26" s="167">
        <v>7.6700000000000004E-2</v>
      </c>
      <c r="BU26" s="167">
        <v>6.9700000000000003E-4</v>
      </c>
      <c r="BV26" s="81">
        <v>110.16</v>
      </c>
      <c r="BW26" s="81" t="s">
        <v>387</v>
      </c>
      <c r="BX26" s="167">
        <v>2E-16</v>
      </c>
      <c r="BY26" s="81" t="s">
        <v>388</v>
      </c>
      <c r="BZ26" s="174" t="s">
        <v>317</v>
      </c>
      <c r="CA26" s="174" t="s">
        <v>318</v>
      </c>
      <c r="CB26" s="174" t="s">
        <v>339</v>
      </c>
      <c r="CC26" s="174" t="s">
        <v>321</v>
      </c>
      <c r="CD26" s="173">
        <f>BT53</f>
        <v>0.27400000000000002</v>
      </c>
      <c r="CE26" s="174" t="s">
        <v>320</v>
      </c>
      <c r="CI26" s="81" t="s">
        <v>340</v>
      </c>
      <c r="CJ26" s="249">
        <f t="shared" si="0"/>
        <v>0.21759826179781488</v>
      </c>
      <c r="CK26" s="249">
        <f t="shared" si="13"/>
        <v>1.0200000000000001E-2</v>
      </c>
      <c r="CL26" s="249">
        <f t="shared" si="2"/>
        <v>0.22700000000000001</v>
      </c>
      <c r="CO26" s="253" t="s">
        <v>429</v>
      </c>
      <c r="CP26" s="253" t="s">
        <v>453</v>
      </c>
      <c r="CQ26" s="254">
        <v>0.94899999999999995</v>
      </c>
      <c r="CR26" s="254">
        <v>9.7699999999999992E-3</v>
      </c>
      <c r="CS26" s="253">
        <v>97.12</v>
      </c>
      <c r="CT26" s="253" t="s">
        <v>387</v>
      </c>
      <c r="CU26" s="254">
        <v>2E-16</v>
      </c>
      <c r="CV26" s="81" t="s">
        <v>388</v>
      </c>
      <c r="CX26" s="256"/>
      <c r="CY26" s="256"/>
      <c r="CZ26" s="257"/>
    </row>
    <row r="27" spans="1:105" ht="15" customHeight="1" thickTop="1" thickBot="1" x14ac:dyDescent="0.3">
      <c r="A27" s="182"/>
      <c r="B27" s="202">
        <f>SUM(N6:N25)</f>
        <v>381.4</v>
      </c>
      <c r="C27" s="184" t="s">
        <v>9</v>
      </c>
      <c r="D27" s="182"/>
      <c r="E27" s="183"/>
      <c r="F27" s="183"/>
      <c r="G27" s="183"/>
      <c r="H27" s="184"/>
      <c r="J27" s="81" t="s">
        <v>101</v>
      </c>
      <c r="K27" s="215">
        <v>1</v>
      </c>
      <c r="L27" s="216">
        <v>1</v>
      </c>
      <c r="M27" s="216" t="s">
        <v>85</v>
      </c>
      <c r="N27" s="217">
        <f>SUM(N6:N9)</f>
        <v>69.377869700103432</v>
      </c>
      <c r="O27" s="218"/>
      <c r="P27" s="30">
        <f t="shared" si="7"/>
        <v>1.7363344051446945</v>
      </c>
      <c r="Q27" s="30">
        <f t="shared" si="8"/>
        <v>120.46318211593521</v>
      </c>
      <c r="R27" s="30">
        <f t="shared" si="21"/>
        <v>13695191.47880042</v>
      </c>
      <c r="S27" s="30">
        <f t="shared" si="22"/>
        <v>197400.00000000003</v>
      </c>
      <c r="T27" s="30">
        <f t="shared" si="23"/>
        <v>13695191.47880042</v>
      </c>
      <c r="U27" s="31"/>
      <c r="V27" s="153"/>
      <c r="W27" s="199"/>
      <c r="X27" s="181" t="s">
        <v>90</v>
      </c>
      <c r="Y27" s="181">
        <v>0.02</v>
      </c>
      <c r="Z27" s="181">
        <v>0.6</v>
      </c>
      <c r="AA27" s="181">
        <v>975</v>
      </c>
      <c r="AB27" s="181">
        <v>840</v>
      </c>
      <c r="AC27" s="234">
        <f>Y27/Z27</f>
        <v>3.3333333333333333E-2</v>
      </c>
      <c r="AD27" s="204">
        <f>Y27*AA27*AB27</f>
        <v>16380</v>
      </c>
      <c r="AE27" s="14"/>
      <c r="AF27" s="14"/>
      <c r="AG27" s="14"/>
      <c r="AL27" s="159" t="s">
        <v>317</v>
      </c>
      <c r="AM27" s="81" t="s">
        <v>318</v>
      </c>
      <c r="AN27" s="81" t="s">
        <v>340</v>
      </c>
      <c r="AO27" s="81">
        <f>SUM(N28)/SUM(N$17:N$25,N$28,N$26)</f>
        <v>0.21759826179781488</v>
      </c>
      <c r="AP27" s="81" t="s">
        <v>320</v>
      </c>
      <c r="AQ27" s="167">
        <v>0.14522370000000001</v>
      </c>
      <c r="AU27" s="168" t="s">
        <v>317</v>
      </c>
      <c r="AV27" s="168" t="s">
        <v>318</v>
      </c>
      <c r="AW27" s="168" t="s">
        <v>340</v>
      </c>
      <c r="AX27" s="169" t="s">
        <v>321</v>
      </c>
      <c r="AY27" s="162">
        <f t="shared" ref="AY27:AY28" si="27">AO27</f>
        <v>0.21759826179781488</v>
      </c>
      <c r="AZ27" s="168" t="s">
        <v>320</v>
      </c>
      <c r="BC27" s="81" t="s">
        <v>405</v>
      </c>
      <c r="BD27" s="167">
        <v>0.23499999999999999</v>
      </c>
      <c r="BE27" s="167">
        <v>1.1199999999999999E-3</v>
      </c>
      <c r="BF27" s="81">
        <v>210.07</v>
      </c>
      <c r="BG27" s="81" t="s">
        <v>431</v>
      </c>
      <c r="BH27" s="81" t="s">
        <v>388</v>
      </c>
      <c r="BL27" s="168" t="s">
        <v>317</v>
      </c>
      <c r="BM27" s="168" t="s">
        <v>318</v>
      </c>
      <c r="BN27" s="168" t="s">
        <v>340</v>
      </c>
      <c r="BO27" s="169" t="s">
        <v>321</v>
      </c>
      <c r="BP27" s="162">
        <f t="shared" ref="BP27:BP28" si="28">BD52</f>
        <v>1.0200000000000001E-2</v>
      </c>
      <c r="BQ27" s="168" t="s">
        <v>320</v>
      </c>
      <c r="BS27" s="81" t="s">
        <v>405</v>
      </c>
      <c r="BT27" s="167">
        <v>0.14699999999999999</v>
      </c>
      <c r="BU27" s="167">
        <v>8.6700000000000004E-4</v>
      </c>
      <c r="BV27" s="81">
        <v>169.43</v>
      </c>
      <c r="BW27" s="81" t="s">
        <v>387</v>
      </c>
      <c r="BX27" s="167">
        <v>2E-16</v>
      </c>
      <c r="BY27" s="81" t="s">
        <v>388</v>
      </c>
      <c r="BZ27" s="174" t="s">
        <v>317</v>
      </c>
      <c r="CA27" s="174" t="s">
        <v>318</v>
      </c>
      <c r="CB27" s="174" t="s">
        <v>340</v>
      </c>
      <c r="CC27" s="174" t="s">
        <v>321</v>
      </c>
      <c r="CD27" s="173">
        <f t="shared" ref="CD27:CD28" si="29">BT54</f>
        <v>0.22700000000000001</v>
      </c>
      <c r="CE27" s="174" t="s">
        <v>320</v>
      </c>
      <c r="CI27" s="81" t="s">
        <v>341</v>
      </c>
      <c r="CJ27" s="249">
        <f t="shared" si="0"/>
        <v>1.6295480273405358E-2</v>
      </c>
      <c r="CK27" s="249">
        <f t="shared" si="13"/>
        <v>0.69799999999999995</v>
      </c>
      <c r="CL27" s="249">
        <f t="shared" si="2"/>
        <v>7.7400000000000002E-7</v>
      </c>
      <c r="CO27" s="253" t="s">
        <v>429</v>
      </c>
      <c r="CP27" s="253" t="s">
        <v>454</v>
      </c>
      <c r="CQ27" s="254">
        <v>0.79</v>
      </c>
      <c r="CR27" s="254">
        <v>1.5800000000000002E-2</v>
      </c>
      <c r="CS27" s="253">
        <v>49.88</v>
      </c>
      <c r="CT27" s="253" t="s">
        <v>387</v>
      </c>
      <c r="CU27" s="254">
        <v>2E-16</v>
      </c>
      <c r="CV27" s="81" t="s">
        <v>388</v>
      </c>
      <c r="CW27" s="255" t="s">
        <v>460</v>
      </c>
      <c r="CX27" s="256" t="s">
        <v>328</v>
      </c>
      <c r="CY27" s="256" t="s">
        <v>321</v>
      </c>
      <c r="CZ27" s="257">
        <f>CQ33</f>
        <v>992000000</v>
      </c>
      <c r="DA27" s="255" t="s">
        <v>320</v>
      </c>
    </row>
    <row r="28" spans="1:105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J28" s="81" t="s">
        <v>102</v>
      </c>
      <c r="K28" s="215">
        <v>2</v>
      </c>
      <c r="L28" s="216">
        <v>2</v>
      </c>
      <c r="M28" s="216" t="s">
        <v>85</v>
      </c>
      <c r="N28" s="217">
        <f>SUM(N17:N20)</f>
        <v>81.722130299896577</v>
      </c>
      <c r="O28" s="218"/>
      <c r="P28" s="30">
        <f t="shared" si="7"/>
        <v>1.7363344051446945</v>
      </c>
      <c r="Q28" s="30">
        <f t="shared" si="8"/>
        <v>141.89694650142815</v>
      </c>
      <c r="R28" s="30">
        <f t="shared" si="21"/>
        <v>16131948.521199586</v>
      </c>
      <c r="S28" s="30">
        <f t="shared" si="22"/>
        <v>197400.00000000003</v>
      </c>
      <c r="T28" s="30">
        <f t="shared" si="23"/>
        <v>16131948.521199586</v>
      </c>
      <c r="U28" s="31"/>
      <c r="V28" s="153"/>
      <c r="W28" s="223"/>
      <c r="X28" s="223"/>
      <c r="Y28" s="223"/>
      <c r="Z28" s="223"/>
      <c r="AA28" s="223"/>
      <c r="AB28" s="223"/>
      <c r="AC28" s="223"/>
      <c r="AD28" s="223"/>
      <c r="AE28" s="14"/>
      <c r="AF28" s="14"/>
      <c r="AG28" s="14"/>
      <c r="AL28" s="159" t="s">
        <v>317</v>
      </c>
      <c r="AM28" s="81" t="s">
        <v>318</v>
      </c>
      <c r="AN28" s="81" t="s">
        <v>341</v>
      </c>
      <c r="AO28" s="81">
        <f>SUM(N21:N24)/SUM(N$17:N$25,N$28,N$26)</f>
        <v>1.6295480273405358E-2</v>
      </c>
      <c r="AP28" s="81" t="s">
        <v>320</v>
      </c>
      <c r="AQ28" s="167">
        <v>0.13569049999999999</v>
      </c>
      <c r="AU28" s="168" t="s">
        <v>317</v>
      </c>
      <c r="AV28" s="168" t="s">
        <v>318</v>
      </c>
      <c r="AW28" s="168" t="s">
        <v>341</v>
      </c>
      <c r="AX28" s="169" t="s">
        <v>321</v>
      </c>
      <c r="AY28" s="162">
        <f t="shared" si="27"/>
        <v>1.6295480273405358E-2</v>
      </c>
      <c r="AZ28" s="168" t="s">
        <v>320</v>
      </c>
      <c r="BC28" s="81" t="s">
        <v>406</v>
      </c>
      <c r="BD28" s="167">
        <v>0.53700000000000003</v>
      </c>
      <c r="BE28" s="167">
        <v>2.6900000000000001E-3</v>
      </c>
      <c r="BF28" s="81">
        <v>199.49</v>
      </c>
      <c r="BG28" s="81" t="s">
        <v>431</v>
      </c>
      <c r="BH28" s="81" t="s">
        <v>388</v>
      </c>
      <c r="BL28" s="168" t="s">
        <v>317</v>
      </c>
      <c r="BM28" s="168" t="s">
        <v>318</v>
      </c>
      <c r="BN28" s="168" t="s">
        <v>341</v>
      </c>
      <c r="BO28" s="169" t="s">
        <v>321</v>
      </c>
      <c r="BP28" s="162">
        <f t="shared" si="28"/>
        <v>0.69799999999999995</v>
      </c>
      <c r="BQ28" s="168" t="s">
        <v>320</v>
      </c>
      <c r="BS28" s="81" t="s">
        <v>406</v>
      </c>
      <c r="BT28" s="167">
        <v>0.73599999999999999</v>
      </c>
      <c r="BU28" s="167">
        <v>5.2700000000000004E-3</v>
      </c>
      <c r="BV28" s="81">
        <v>139.72</v>
      </c>
      <c r="BW28" s="81" t="s">
        <v>387</v>
      </c>
      <c r="BX28" s="167">
        <v>2E-16</v>
      </c>
      <c r="BY28" s="81" t="s">
        <v>388</v>
      </c>
      <c r="BZ28" s="174" t="s">
        <v>317</v>
      </c>
      <c r="CA28" s="174" t="s">
        <v>318</v>
      </c>
      <c r="CB28" s="174" t="s">
        <v>341</v>
      </c>
      <c r="CC28" s="174" t="s">
        <v>321</v>
      </c>
      <c r="CD28" s="173">
        <f t="shared" si="29"/>
        <v>7.7400000000000002E-7</v>
      </c>
      <c r="CE28" s="174" t="s">
        <v>320</v>
      </c>
      <c r="CJ28" s="250"/>
      <c r="CK28" s="250"/>
      <c r="CL28" s="250"/>
      <c r="CO28" s="253" t="s">
        <v>429</v>
      </c>
      <c r="CP28" s="253" t="s">
        <v>455</v>
      </c>
      <c r="CQ28" s="254">
        <v>0.64600000000000002</v>
      </c>
      <c r="CR28" s="254">
        <v>1.2699999999999999E-2</v>
      </c>
      <c r="CS28" s="253">
        <v>50.86</v>
      </c>
      <c r="CT28" s="253" t="s">
        <v>387</v>
      </c>
      <c r="CU28" s="254">
        <v>2E-16</v>
      </c>
      <c r="CV28" s="81" t="s">
        <v>388</v>
      </c>
      <c r="CW28" s="255" t="s">
        <v>460</v>
      </c>
      <c r="CX28" s="259" t="s">
        <v>325</v>
      </c>
      <c r="CY28" s="256" t="s">
        <v>321</v>
      </c>
      <c r="CZ28" s="257">
        <f t="shared" ref="CZ28:CZ30" si="30">CQ34</f>
        <v>2990000</v>
      </c>
      <c r="DA28" s="255" t="s">
        <v>320</v>
      </c>
    </row>
    <row r="29" spans="1:105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K29" s="215">
        <v>2</v>
      </c>
      <c r="L29" s="216">
        <v>2</v>
      </c>
      <c r="M29" s="216" t="s">
        <v>99</v>
      </c>
      <c r="N29" s="217">
        <f>B8-B7</f>
        <v>15.799999999999983</v>
      </c>
      <c r="O29" s="222"/>
      <c r="P29" s="30">
        <f t="shared" si="7"/>
        <v>1.4549653579676673</v>
      </c>
      <c r="Q29" s="30">
        <f t="shared" si="8"/>
        <v>22.98845265588912</v>
      </c>
      <c r="R29" s="30">
        <f t="shared" si="21"/>
        <v>7355531.9999999916</v>
      </c>
      <c r="S29" s="30">
        <f t="shared" si="22"/>
        <v>465540</v>
      </c>
      <c r="T29" s="30">
        <f t="shared" si="23"/>
        <v>7355531.9999999916</v>
      </c>
      <c r="V29" s="153"/>
      <c r="W29" s="225" t="s">
        <v>99</v>
      </c>
      <c r="X29" s="226"/>
      <c r="Y29" s="227" t="s">
        <v>21</v>
      </c>
      <c r="Z29" s="228">
        <f>1/(1/10+SUM(AC31:AC34)+1/6)</f>
        <v>1.4549653579676673</v>
      </c>
      <c r="AA29" s="226" t="s">
        <v>5</v>
      </c>
      <c r="AB29" s="226"/>
      <c r="AC29" s="226" t="s">
        <v>22</v>
      </c>
      <c r="AD29" s="229">
        <f>SUM(AD31:AD35)</f>
        <v>465540</v>
      </c>
      <c r="AE29" s="14" t="s">
        <v>23</v>
      </c>
      <c r="AF29" s="14">
        <f>SUM(AD31:AD34)</f>
        <v>465540</v>
      </c>
      <c r="AG29" s="14"/>
      <c r="AP29" s="81" t="s">
        <v>320</v>
      </c>
      <c r="AU29" s="168"/>
      <c r="AV29" s="168"/>
      <c r="AW29" s="168"/>
      <c r="AX29" s="169"/>
      <c r="AZ29" s="168"/>
      <c r="BC29" s="81" t="s">
        <v>407</v>
      </c>
      <c r="BD29" s="167">
        <v>7.7399999999999997E-2</v>
      </c>
      <c r="BE29" s="167">
        <v>7.9799999999999999E-4</v>
      </c>
      <c r="BF29" s="81">
        <v>97</v>
      </c>
      <c r="BG29" s="81" t="s">
        <v>431</v>
      </c>
      <c r="BH29" s="81" t="s">
        <v>388</v>
      </c>
      <c r="BL29" s="168"/>
      <c r="BM29" s="168"/>
      <c r="BN29" s="168"/>
      <c r="BO29" s="169"/>
      <c r="BP29" s="162"/>
      <c r="BQ29" s="168"/>
      <c r="BS29" s="81" t="s">
        <v>407</v>
      </c>
      <c r="BT29" s="167">
        <v>6.1499999999999999E-2</v>
      </c>
      <c r="BU29" s="167">
        <v>3.2200000000000002E-4</v>
      </c>
      <c r="BV29" s="81">
        <v>190.87</v>
      </c>
      <c r="BW29" s="81" t="s">
        <v>387</v>
      </c>
      <c r="BX29" s="167">
        <v>2E-16</v>
      </c>
      <c r="BY29" s="81" t="s">
        <v>388</v>
      </c>
      <c r="BZ29" s="174"/>
      <c r="CA29" s="174"/>
      <c r="CB29" s="174"/>
      <c r="CC29" s="174"/>
      <c r="CD29" s="173"/>
      <c r="CE29" s="174"/>
      <c r="CI29" s="81" t="s">
        <v>342</v>
      </c>
      <c r="CJ29" s="251">
        <f t="shared" si="0"/>
        <v>1162464.1599999999</v>
      </c>
      <c r="CK29" s="251">
        <f t="shared" si="13"/>
        <v>3800000</v>
      </c>
      <c r="CL29" s="251">
        <f t="shared" si="2"/>
        <v>721000</v>
      </c>
      <c r="CO29" s="253" t="s">
        <v>429</v>
      </c>
      <c r="CP29" s="253" t="s">
        <v>358</v>
      </c>
      <c r="CQ29" s="254">
        <v>9.05E-9</v>
      </c>
      <c r="CR29" s="254">
        <v>3.1300000000000001E-6</v>
      </c>
      <c r="CS29" s="253">
        <v>0</v>
      </c>
      <c r="CT29" s="253">
        <v>0.998</v>
      </c>
      <c r="CW29" s="255" t="s">
        <v>460</v>
      </c>
      <c r="CX29" s="259" t="s">
        <v>326</v>
      </c>
      <c r="CY29" s="256" t="s">
        <v>321</v>
      </c>
      <c r="CZ29" s="257">
        <f t="shared" si="30"/>
        <v>44100000</v>
      </c>
      <c r="DA29" s="255" t="s">
        <v>320</v>
      </c>
    </row>
    <row r="30" spans="1:105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K30" s="215" t="s">
        <v>509</v>
      </c>
      <c r="L30" s="216">
        <v>1</v>
      </c>
      <c r="M30" s="216" t="s">
        <v>510</v>
      </c>
      <c r="N30" s="217">
        <f>N7</f>
        <v>35.733053277868223</v>
      </c>
      <c r="O30" s="218"/>
      <c r="P30" s="30">
        <f t="shared" si="7"/>
        <v>2.5352112676056335</v>
      </c>
      <c r="Q30" s="30">
        <f t="shared" si="8"/>
        <v>90.590839296003935</v>
      </c>
      <c r="R30" s="30">
        <f t="shared" si="21"/>
        <v>0</v>
      </c>
      <c r="S30" s="30">
        <f t="shared" si="22"/>
        <v>0</v>
      </c>
      <c r="T30" s="30">
        <f t="shared" si="23"/>
        <v>0</v>
      </c>
      <c r="W30" s="230"/>
      <c r="X30" s="231" t="s">
        <v>27</v>
      </c>
      <c r="Y30" s="231" t="s">
        <v>28</v>
      </c>
      <c r="Z30" s="231" t="s">
        <v>29</v>
      </c>
      <c r="AA30" s="231" t="s">
        <v>30</v>
      </c>
      <c r="AB30" s="231" t="s">
        <v>31</v>
      </c>
      <c r="AC30" s="231" t="s">
        <v>32</v>
      </c>
      <c r="AD30" s="232" t="s">
        <v>33</v>
      </c>
      <c r="AE30" s="14"/>
      <c r="AF30" s="14"/>
      <c r="AG30" s="14"/>
      <c r="AL30" s="159" t="s">
        <v>317</v>
      </c>
      <c r="AM30" s="81" t="s">
        <v>318</v>
      </c>
      <c r="AN30" s="81" t="s">
        <v>342</v>
      </c>
      <c r="AO30" s="167">
        <f>B35*1.04*1012*5</f>
        <v>1162464.1599999999</v>
      </c>
      <c r="AP30" s="81" t="s">
        <v>320</v>
      </c>
      <c r="AQ30" s="167">
        <v>1612741</v>
      </c>
      <c r="AU30" s="168" t="s">
        <v>317</v>
      </c>
      <c r="AV30" s="168" t="s">
        <v>318</v>
      </c>
      <c r="AW30" s="168" t="s">
        <v>342</v>
      </c>
      <c r="AX30" s="169" t="s">
        <v>321</v>
      </c>
      <c r="AY30" s="162">
        <f>AO30</f>
        <v>1162464.1599999999</v>
      </c>
      <c r="AZ30" s="168" t="s">
        <v>320</v>
      </c>
      <c r="BC30" s="81" t="s">
        <v>408</v>
      </c>
      <c r="BD30" s="167">
        <v>1.9E-2</v>
      </c>
      <c r="BE30" s="167">
        <v>6.78E-4</v>
      </c>
      <c r="BF30" s="81">
        <v>27.98</v>
      </c>
      <c r="BG30" s="81" t="s">
        <v>431</v>
      </c>
      <c r="BH30" s="81" t="s">
        <v>388</v>
      </c>
      <c r="BL30" s="168" t="s">
        <v>317</v>
      </c>
      <c r="BM30" s="168" t="s">
        <v>318</v>
      </c>
      <c r="BN30" s="168" t="s">
        <v>342</v>
      </c>
      <c r="BO30" s="169" t="s">
        <v>321</v>
      </c>
      <c r="BP30" s="162">
        <f>BD56</f>
        <v>3800000</v>
      </c>
      <c r="BQ30" s="168" t="s">
        <v>320</v>
      </c>
      <c r="BS30" s="81" t="s">
        <v>408</v>
      </c>
      <c r="BT30" s="167">
        <v>5.0099999999999999E-2</v>
      </c>
      <c r="BU30" s="167">
        <v>2.6600000000000001E-4</v>
      </c>
      <c r="BV30" s="81">
        <v>188.06</v>
      </c>
      <c r="BW30" s="81" t="s">
        <v>387</v>
      </c>
      <c r="BX30" s="167">
        <v>2E-16</v>
      </c>
      <c r="BY30" s="81" t="s">
        <v>388</v>
      </c>
      <c r="BZ30" s="174" t="s">
        <v>317</v>
      </c>
      <c r="CA30" s="174" t="s">
        <v>318</v>
      </c>
      <c r="CB30" s="174" t="s">
        <v>342</v>
      </c>
      <c r="CC30" s="174" t="s">
        <v>321</v>
      </c>
      <c r="CD30" s="173">
        <f>BT58</f>
        <v>721000</v>
      </c>
      <c r="CE30" s="174" t="s">
        <v>320</v>
      </c>
      <c r="CI30" s="81" t="s">
        <v>343</v>
      </c>
      <c r="CJ30" s="251">
        <f t="shared" si="0"/>
        <v>16454272.026887279</v>
      </c>
      <c r="CK30" s="251">
        <f t="shared" si="13"/>
        <v>78400000</v>
      </c>
      <c r="CL30" s="251">
        <f t="shared" si="2"/>
        <v>37600000</v>
      </c>
      <c r="CO30" s="253" t="s">
        <v>429</v>
      </c>
      <c r="CP30" s="253" t="s">
        <v>456</v>
      </c>
      <c r="CQ30" s="254">
        <v>0.79</v>
      </c>
      <c r="CR30" s="254">
        <v>7.62E-3</v>
      </c>
      <c r="CS30" s="253">
        <v>103.67</v>
      </c>
      <c r="CT30" s="253" t="s">
        <v>387</v>
      </c>
      <c r="CU30" s="254">
        <v>2E-16</v>
      </c>
      <c r="CV30" s="81" t="s">
        <v>388</v>
      </c>
      <c r="CW30" s="255" t="s">
        <v>460</v>
      </c>
      <c r="CX30" s="259" t="s">
        <v>327</v>
      </c>
      <c r="CY30" s="256" t="s">
        <v>321</v>
      </c>
      <c r="CZ30" s="257">
        <f t="shared" si="30"/>
        <v>26300000</v>
      </c>
      <c r="DA30" s="255" t="s">
        <v>320</v>
      </c>
    </row>
    <row r="31" spans="1:105" ht="15" customHeight="1" thickTop="1" thickBot="1" x14ac:dyDescent="0.3">
      <c r="K31" s="220" t="s">
        <v>509</v>
      </c>
      <c r="L31" s="221">
        <v>2</v>
      </c>
      <c r="M31" s="221" t="s">
        <v>510</v>
      </c>
      <c r="N31" s="217">
        <f>N18</f>
        <v>42.090961406137552</v>
      </c>
      <c r="O31" s="222"/>
      <c r="P31" s="30">
        <f t="shared" si="7"/>
        <v>2.5352112676056335</v>
      </c>
      <c r="Q31" s="30">
        <f t="shared" si="8"/>
        <v>106.70947962119378</v>
      </c>
      <c r="R31" s="30">
        <f t="shared" si="21"/>
        <v>0</v>
      </c>
      <c r="S31" s="30">
        <f t="shared" si="22"/>
        <v>0</v>
      </c>
      <c r="T31" s="30">
        <f t="shared" si="23"/>
        <v>0</v>
      </c>
      <c r="W31" s="205"/>
      <c r="X31" s="206" t="s">
        <v>103</v>
      </c>
      <c r="Y31" s="206">
        <v>0.02</v>
      </c>
      <c r="Z31" s="206">
        <v>0.18</v>
      </c>
      <c r="AA31" s="206">
        <v>550</v>
      </c>
      <c r="AB31" s="206">
        <v>1880</v>
      </c>
      <c r="AC31" s="236">
        <f>Y31/Z31</f>
        <v>0.11111111111111112</v>
      </c>
      <c r="AD31" s="237">
        <f>Y31*AA31*AB31</f>
        <v>20680</v>
      </c>
      <c r="AE31" s="14" t="s">
        <v>104</v>
      </c>
      <c r="AF31" s="14"/>
      <c r="AG31" s="14"/>
      <c r="AL31" s="159" t="s">
        <v>317</v>
      </c>
      <c r="AM31" s="81" t="s">
        <v>318</v>
      </c>
      <c r="AN31" s="81" t="s">
        <v>343</v>
      </c>
      <c r="AO31" s="167">
        <f>T25+SUM(T17:T20)</f>
        <v>16454272.026887279</v>
      </c>
      <c r="AP31" s="81" t="s">
        <v>320</v>
      </c>
      <c r="AQ31" s="167">
        <v>6867267</v>
      </c>
      <c r="AU31" s="168" t="s">
        <v>317</v>
      </c>
      <c r="AV31" s="168" t="s">
        <v>318</v>
      </c>
      <c r="AW31" s="168" t="s">
        <v>343</v>
      </c>
      <c r="AX31" s="169" t="s">
        <v>321</v>
      </c>
      <c r="AY31" s="162">
        <f t="shared" ref="AY31:AY35" si="31">AO31</f>
        <v>16454272.026887279</v>
      </c>
      <c r="AZ31" s="168" t="s">
        <v>320</v>
      </c>
      <c r="BC31" s="81" t="s">
        <v>409</v>
      </c>
      <c r="BD31" s="167">
        <v>958</v>
      </c>
      <c r="BE31" s="167">
        <v>7.5</v>
      </c>
      <c r="BF31" s="81">
        <v>127.81</v>
      </c>
      <c r="BG31" s="81" t="s">
        <v>431</v>
      </c>
      <c r="BH31" s="81" t="s">
        <v>388</v>
      </c>
      <c r="BL31" s="168" t="s">
        <v>317</v>
      </c>
      <c r="BM31" s="168" t="s">
        <v>318</v>
      </c>
      <c r="BN31" s="168" t="s">
        <v>343</v>
      </c>
      <c r="BO31" s="169" t="s">
        <v>321</v>
      </c>
      <c r="BP31" s="162">
        <f t="shared" ref="BP31:BP32" si="32">BD57</f>
        <v>78400000</v>
      </c>
      <c r="BQ31" s="168" t="s">
        <v>320</v>
      </c>
      <c r="BS31" s="81" t="s">
        <v>409</v>
      </c>
      <c r="BT31" s="167">
        <v>383</v>
      </c>
      <c r="BU31" s="167">
        <v>2.6</v>
      </c>
      <c r="BV31" s="81">
        <v>147.01</v>
      </c>
      <c r="BW31" s="81" t="s">
        <v>387</v>
      </c>
      <c r="BX31" s="167">
        <v>2E-16</v>
      </c>
      <c r="BY31" s="81" t="s">
        <v>388</v>
      </c>
      <c r="BZ31" s="174" t="s">
        <v>317</v>
      </c>
      <c r="CA31" s="174" t="s">
        <v>318</v>
      </c>
      <c r="CB31" s="174" t="s">
        <v>343</v>
      </c>
      <c r="CC31" s="174" t="s">
        <v>321</v>
      </c>
      <c r="CD31" s="173">
        <f t="shared" ref="CD31:CD32" si="33">BT59</f>
        <v>37600000</v>
      </c>
      <c r="CE31" s="174" t="s">
        <v>320</v>
      </c>
      <c r="CI31" s="81" t="s">
        <v>344</v>
      </c>
      <c r="CJ31" s="251">
        <f t="shared" si="0"/>
        <v>16131948.521199586</v>
      </c>
      <c r="CK31" s="251">
        <f t="shared" si="13"/>
        <v>12500000</v>
      </c>
      <c r="CL31" s="251">
        <f t="shared" si="2"/>
        <v>6950000</v>
      </c>
      <c r="CO31" s="253" t="s">
        <v>429</v>
      </c>
      <c r="CP31" s="253" t="s">
        <v>457</v>
      </c>
      <c r="CQ31" s="254">
        <v>0.625</v>
      </c>
      <c r="CR31" s="254">
        <v>1.23E-2</v>
      </c>
      <c r="CS31" s="253">
        <v>50.97</v>
      </c>
      <c r="CT31" s="253" t="s">
        <v>387</v>
      </c>
      <c r="CU31" s="254">
        <v>2E-16</v>
      </c>
      <c r="CV31" s="81" t="s">
        <v>388</v>
      </c>
      <c r="CY31" s="256"/>
    </row>
    <row r="32" spans="1:105" ht="15" customHeight="1" thickTop="1" thickBot="1" x14ac:dyDescent="0.3">
      <c r="K32" s="81"/>
      <c r="L32" s="81"/>
      <c r="M32" s="81"/>
      <c r="P32" s="81"/>
      <c r="Q32" s="81"/>
      <c r="W32" s="182"/>
      <c r="X32" s="183" t="s">
        <v>129</v>
      </c>
      <c r="Y32" s="183">
        <v>0.08</v>
      </c>
      <c r="Z32" s="183">
        <v>0.6</v>
      </c>
      <c r="AA32" s="183">
        <v>1100</v>
      </c>
      <c r="AB32" s="183">
        <v>860</v>
      </c>
      <c r="AC32" s="233">
        <f>Y32/Z32</f>
        <v>0.13333333333333333</v>
      </c>
      <c r="AD32" s="184">
        <f>Y32*AA32*AB32</f>
        <v>75680</v>
      </c>
      <c r="AE32" s="14"/>
      <c r="AF32" s="14"/>
      <c r="AG32" s="14"/>
      <c r="AL32" s="159" t="s">
        <v>317</v>
      </c>
      <c r="AM32" s="81" t="s">
        <v>318</v>
      </c>
      <c r="AN32" s="81" t="s">
        <v>344</v>
      </c>
      <c r="AO32" s="167">
        <f>SUM(T28)</f>
        <v>16131948.521199586</v>
      </c>
      <c r="AP32" s="81" t="s">
        <v>320</v>
      </c>
      <c r="AQ32" s="167">
        <v>4590824</v>
      </c>
      <c r="AU32" s="168" t="s">
        <v>317</v>
      </c>
      <c r="AV32" s="168" t="s">
        <v>318</v>
      </c>
      <c r="AW32" s="168" t="s">
        <v>344</v>
      </c>
      <c r="AX32" s="169" t="s">
        <v>321</v>
      </c>
      <c r="AY32" s="162">
        <f t="shared" si="31"/>
        <v>16131948.521199586</v>
      </c>
      <c r="AZ32" s="168" t="s">
        <v>320</v>
      </c>
      <c r="BC32" s="81" t="s">
        <v>410</v>
      </c>
      <c r="BD32" s="167">
        <v>737</v>
      </c>
      <c r="BE32" s="167">
        <v>8.3800000000000008</v>
      </c>
      <c r="BF32" s="81">
        <v>87.98</v>
      </c>
      <c r="BG32" s="81" t="s">
        <v>431</v>
      </c>
      <c r="BH32" s="81" t="s">
        <v>388</v>
      </c>
      <c r="BL32" s="168" t="s">
        <v>317</v>
      </c>
      <c r="BM32" s="168" t="s">
        <v>318</v>
      </c>
      <c r="BN32" s="168" t="s">
        <v>344</v>
      </c>
      <c r="BO32" s="169" t="s">
        <v>321</v>
      </c>
      <c r="BP32" s="162">
        <f t="shared" si="32"/>
        <v>12500000</v>
      </c>
      <c r="BQ32" s="168" t="s">
        <v>320</v>
      </c>
      <c r="BS32" s="81" t="s">
        <v>410</v>
      </c>
      <c r="BT32" s="167">
        <v>172</v>
      </c>
      <c r="BU32" s="167">
        <v>1.19</v>
      </c>
      <c r="BV32" s="81">
        <v>144.4</v>
      </c>
      <c r="BW32" s="81" t="s">
        <v>387</v>
      </c>
      <c r="BX32" s="167">
        <v>2E-16</v>
      </c>
      <c r="BY32" s="81" t="s">
        <v>388</v>
      </c>
      <c r="BZ32" s="174" t="s">
        <v>317</v>
      </c>
      <c r="CA32" s="174" t="s">
        <v>318</v>
      </c>
      <c r="CB32" s="174" t="s">
        <v>344</v>
      </c>
      <c r="CC32" s="174" t="s">
        <v>321</v>
      </c>
      <c r="CD32" s="173">
        <f t="shared" si="33"/>
        <v>6950000</v>
      </c>
      <c r="CE32" s="174" t="s">
        <v>320</v>
      </c>
      <c r="CI32" s="81" t="s">
        <v>345</v>
      </c>
      <c r="CJ32" s="249">
        <f t="shared" si="0"/>
        <v>0.14627760107480051</v>
      </c>
      <c r="CK32" s="249">
        <f t="shared" si="13"/>
        <v>1.6E-2</v>
      </c>
      <c r="CL32" s="249">
        <f t="shared" si="2"/>
        <v>9.9500000000000005E-2</v>
      </c>
      <c r="CO32" s="253" t="s">
        <v>429</v>
      </c>
      <c r="CP32" s="253" t="s">
        <v>306</v>
      </c>
      <c r="CQ32" s="254">
        <v>965000000</v>
      </c>
      <c r="CR32" s="254">
        <v>400000000</v>
      </c>
      <c r="CS32" s="253">
        <v>2.41</v>
      </c>
      <c r="CT32" s="253">
        <v>1.6E-2</v>
      </c>
      <c r="CU32" s="253" t="s">
        <v>432</v>
      </c>
      <c r="CW32" s="255" t="s">
        <v>460</v>
      </c>
      <c r="CX32" s="259" t="s">
        <v>333</v>
      </c>
      <c r="CY32" s="256" t="s">
        <v>321</v>
      </c>
      <c r="CZ32" s="257">
        <f>CQ47</f>
        <v>381</v>
      </c>
      <c r="DA32" s="255" t="s">
        <v>320</v>
      </c>
    </row>
    <row r="33" spans="1:105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06" t="s">
        <v>112</v>
      </c>
      <c r="F33" s="306"/>
      <c r="G33" s="72" t="s">
        <v>113</v>
      </c>
      <c r="K33" s="81"/>
      <c r="L33" s="81"/>
      <c r="M33" s="81"/>
      <c r="P33" s="69" t="s">
        <v>106</v>
      </c>
      <c r="Q33" s="70">
        <f>SUM(Q4:Q13)+Q14*0.5+SUM(Q17:Q25)+Q16</f>
        <v>183.24163376166973</v>
      </c>
      <c r="R33" s="69" t="s">
        <v>107</v>
      </c>
      <c r="W33" s="182"/>
      <c r="X33" s="183" t="s">
        <v>276</v>
      </c>
      <c r="Y33" s="183">
        <v>0.2</v>
      </c>
      <c r="Z33" s="183">
        <v>1.4</v>
      </c>
      <c r="AA33" s="183">
        <v>2100</v>
      </c>
      <c r="AB33" s="183">
        <v>840</v>
      </c>
      <c r="AC33" s="233">
        <f>Y33/Z33</f>
        <v>0.14285714285714288</v>
      </c>
      <c r="AD33" s="184">
        <f>Y33*AA33*AB33</f>
        <v>352800</v>
      </c>
      <c r="AE33" s="14"/>
      <c r="AF33" s="14"/>
      <c r="AG33" s="14"/>
      <c r="AL33" s="159" t="s">
        <v>317</v>
      </c>
      <c r="AM33" s="81" t="s">
        <v>318</v>
      </c>
      <c r="AN33" s="81" t="s">
        <v>345</v>
      </c>
      <c r="AO33" s="81">
        <f>AO26*0.3</f>
        <v>0.14627760107480051</v>
      </c>
      <c r="AP33" s="81" t="s">
        <v>320</v>
      </c>
      <c r="AQ33" s="167">
        <v>0.1616958</v>
      </c>
      <c r="AU33" s="168" t="s">
        <v>317</v>
      </c>
      <c r="AV33" s="168" t="s">
        <v>318</v>
      </c>
      <c r="AW33" s="168" t="s">
        <v>345</v>
      </c>
      <c r="AX33" s="169" t="s">
        <v>321</v>
      </c>
      <c r="AY33" s="162">
        <f t="shared" si="31"/>
        <v>0.14627760107480051</v>
      </c>
      <c r="AZ33" s="168" t="s">
        <v>320</v>
      </c>
      <c r="BC33" s="81" t="s">
        <v>293</v>
      </c>
      <c r="BD33" s="167">
        <v>2190</v>
      </c>
      <c r="BE33" s="167">
        <v>10.6</v>
      </c>
      <c r="BF33" s="81">
        <v>207.31</v>
      </c>
      <c r="BG33" s="81" t="s">
        <v>431</v>
      </c>
      <c r="BH33" s="81" t="s">
        <v>388</v>
      </c>
      <c r="BL33" s="168" t="s">
        <v>317</v>
      </c>
      <c r="BM33" s="168" t="s">
        <v>318</v>
      </c>
      <c r="BN33" s="168" t="s">
        <v>345</v>
      </c>
      <c r="BO33" s="169" t="s">
        <v>321</v>
      </c>
      <c r="BP33" s="162">
        <f>BD63</f>
        <v>1.6E-2</v>
      </c>
      <c r="BQ33" s="168" t="s">
        <v>320</v>
      </c>
      <c r="BS33" s="81" t="s">
        <v>293</v>
      </c>
      <c r="BT33" s="167">
        <v>517</v>
      </c>
      <c r="BU33" s="167">
        <v>3.2</v>
      </c>
      <c r="BV33" s="81">
        <v>161.5</v>
      </c>
      <c r="BW33" s="81" t="s">
        <v>387</v>
      </c>
      <c r="BX33" s="167">
        <v>2E-16</v>
      </c>
      <c r="BY33" s="81" t="s">
        <v>388</v>
      </c>
      <c r="BZ33" s="174" t="s">
        <v>317</v>
      </c>
      <c r="CA33" s="174" t="s">
        <v>318</v>
      </c>
      <c r="CB33" s="174" t="s">
        <v>345</v>
      </c>
      <c r="CC33" s="174" t="s">
        <v>321</v>
      </c>
      <c r="CD33" s="173">
        <f>BT65</f>
        <v>9.9500000000000005E-2</v>
      </c>
      <c r="CE33" s="174" t="s">
        <v>320</v>
      </c>
      <c r="CI33" s="81" t="s">
        <v>346</v>
      </c>
      <c r="CJ33" s="249">
        <f t="shared" si="0"/>
        <v>6.527947853934446E-2</v>
      </c>
      <c r="CK33" s="249">
        <f t="shared" si="13"/>
        <v>4.2999999999999997E-2</v>
      </c>
      <c r="CL33" s="249">
        <f t="shared" si="2"/>
        <v>7.8100000000000001E-3</v>
      </c>
      <c r="CO33" s="253" t="s">
        <v>429</v>
      </c>
      <c r="CP33" s="253" t="s">
        <v>302</v>
      </c>
      <c r="CQ33" s="254">
        <v>992000000</v>
      </c>
      <c r="CR33" s="254">
        <v>47300000</v>
      </c>
      <c r="CS33" s="253">
        <v>20.97</v>
      </c>
      <c r="CT33" s="253" t="s">
        <v>387</v>
      </c>
      <c r="CU33" s="254">
        <v>2E-16</v>
      </c>
      <c r="CV33" s="81" t="s">
        <v>388</v>
      </c>
      <c r="CW33" s="255" t="s">
        <v>460</v>
      </c>
      <c r="CX33" s="259" t="s">
        <v>334</v>
      </c>
      <c r="CY33" s="256" t="s">
        <v>321</v>
      </c>
      <c r="CZ33" s="257">
        <f t="shared" ref="CZ33:CZ35" si="34">CQ48</f>
        <v>174</v>
      </c>
      <c r="DA33" s="255" t="s">
        <v>320</v>
      </c>
    </row>
    <row r="34" spans="1:105" ht="15" customHeight="1" thickTop="1" thickBot="1" x14ac:dyDescent="0.3">
      <c r="A34" s="73">
        <v>1</v>
      </c>
      <c r="B34" s="74">
        <f>B7*3.5</f>
        <v>310.80000000000007</v>
      </c>
      <c r="C34" s="73"/>
      <c r="D34" s="73" t="s">
        <v>42</v>
      </c>
      <c r="E34" s="307">
        <v>21</v>
      </c>
      <c r="F34" s="307"/>
      <c r="G34" s="76">
        <f>VLOOKUP(D34,A6:B22,2,0)</f>
        <v>88.800000000000011</v>
      </c>
      <c r="K34" s="81"/>
      <c r="L34" s="81"/>
      <c r="M34" s="81"/>
      <c r="P34" s="81"/>
      <c r="Q34" s="81" t="e">
        <f>G4*Y37</f>
        <v>#VALUE!</v>
      </c>
      <c r="W34" s="199"/>
      <c r="X34" s="181" t="s">
        <v>80</v>
      </c>
      <c r="Y34" s="181">
        <v>0.02</v>
      </c>
      <c r="Z34" s="181">
        <v>0.6</v>
      </c>
      <c r="AA34" s="181">
        <v>975</v>
      </c>
      <c r="AB34" s="181">
        <v>840</v>
      </c>
      <c r="AC34" s="234">
        <f>Y34/Z34</f>
        <v>3.3333333333333333E-2</v>
      </c>
      <c r="AD34" s="204">
        <f>Y34*AA34*AB34</f>
        <v>16380</v>
      </c>
      <c r="AE34" s="14"/>
      <c r="AF34" s="14"/>
      <c r="AG34" s="14"/>
      <c r="AL34" s="159" t="s">
        <v>317</v>
      </c>
      <c r="AM34" s="81" t="s">
        <v>318</v>
      </c>
      <c r="AN34" s="81" t="s">
        <v>346</v>
      </c>
      <c r="AO34" s="81">
        <f>AO27*0.3</f>
        <v>6.527947853934446E-2</v>
      </c>
      <c r="AP34" s="81" t="s">
        <v>320</v>
      </c>
      <c r="AQ34" s="81" t="s">
        <v>347</v>
      </c>
      <c r="AU34" s="168" t="s">
        <v>317</v>
      </c>
      <c r="AV34" s="168" t="s">
        <v>318</v>
      </c>
      <c r="AW34" s="168" t="s">
        <v>346</v>
      </c>
      <c r="AX34" s="169" t="s">
        <v>321</v>
      </c>
      <c r="AY34" s="162">
        <f t="shared" si="31"/>
        <v>6.527947853934446E-2</v>
      </c>
      <c r="AZ34" s="168" t="s">
        <v>320</v>
      </c>
      <c r="BC34" s="81" t="s">
        <v>120</v>
      </c>
      <c r="BD34" s="167">
        <v>251</v>
      </c>
      <c r="BE34" s="167">
        <v>1.35</v>
      </c>
      <c r="BF34" s="81">
        <v>186.02</v>
      </c>
      <c r="BG34" s="81" t="s">
        <v>431</v>
      </c>
      <c r="BH34" s="81" t="s">
        <v>388</v>
      </c>
      <c r="BL34" s="168" t="s">
        <v>317</v>
      </c>
      <c r="BM34" s="168" t="s">
        <v>318</v>
      </c>
      <c r="BN34" s="168" t="s">
        <v>346</v>
      </c>
      <c r="BO34" s="169" t="s">
        <v>321</v>
      </c>
      <c r="BP34" s="162">
        <f t="shared" ref="BP34:BP35" si="35">BD64</f>
        <v>4.2999999999999997E-2</v>
      </c>
      <c r="BQ34" s="168" t="s">
        <v>320</v>
      </c>
      <c r="BS34" s="81" t="s">
        <v>120</v>
      </c>
      <c r="BT34" s="167">
        <v>256</v>
      </c>
      <c r="BU34" s="167">
        <v>2.91</v>
      </c>
      <c r="BV34" s="81">
        <v>87.78</v>
      </c>
      <c r="BW34" s="81" t="s">
        <v>387</v>
      </c>
      <c r="BX34" s="167">
        <v>2E-16</v>
      </c>
      <c r="BY34" s="81" t="s">
        <v>388</v>
      </c>
      <c r="BZ34" s="174" t="s">
        <v>317</v>
      </c>
      <c r="CA34" s="174" t="s">
        <v>318</v>
      </c>
      <c r="CB34" s="174" t="s">
        <v>346</v>
      </c>
      <c r="CC34" s="174" t="s">
        <v>321</v>
      </c>
      <c r="CD34" s="173">
        <f t="shared" ref="CD34:CD35" si="36">BT66</f>
        <v>7.8100000000000001E-3</v>
      </c>
      <c r="CE34" s="174" t="s">
        <v>320</v>
      </c>
      <c r="CI34" s="81" t="s">
        <v>348</v>
      </c>
      <c r="CJ34" s="249">
        <f t="shared" si="0"/>
        <v>0.70488864408202156</v>
      </c>
      <c r="CK34" s="249">
        <f t="shared" si="13"/>
        <v>0.73</v>
      </c>
      <c r="CL34" s="249">
        <f t="shared" si="2"/>
        <v>0.69199999999999995</v>
      </c>
      <c r="CO34" s="253" t="s">
        <v>429</v>
      </c>
      <c r="CP34" s="253" t="s">
        <v>398</v>
      </c>
      <c r="CQ34" s="254">
        <v>2990000</v>
      </c>
      <c r="CR34" s="254">
        <v>56300</v>
      </c>
      <c r="CS34" s="253">
        <v>53.15</v>
      </c>
      <c r="CT34" s="253" t="s">
        <v>387</v>
      </c>
      <c r="CU34" s="254">
        <v>2E-16</v>
      </c>
      <c r="CV34" s="81" t="s">
        <v>388</v>
      </c>
      <c r="CW34" s="255" t="s">
        <v>460</v>
      </c>
      <c r="CX34" s="260" t="s">
        <v>335</v>
      </c>
      <c r="CY34" s="256" t="s">
        <v>321</v>
      </c>
      <c r="CZ34" s="257">
        <f t="shared" si="34"/>
        <v>516</v>
      </c>
      <c r="DA34" s="255" t="s">
        <v>320</v>
      </c>
    </row>
    <row r="35" spans="1:105" ht="15" customHeight="1" thickTop="1" thickBot="1" x14ac:dyDescent="0.3">
      <c r="A35" s="73">
        <v>2</v>
      </c>
      <c r="B35" s="74">
        <f>B4-B34</f>
        <v>220.89999999999998</v>
      </c>
      <c r="C35" s="73"/>
      <c r="D35" s="73" t="s">
        <v>116</v>
      </c>
      <c r="E35" s="77">
        <v>18</v>
      </c>
      <c r="F35" s="77"/>
      <c r="G35" s="76">
        <f>VLOOKUP(D35,A7:B23,2,0)</f>
        <v>104.6</v>
      </c>
      <c r="K35" s="81"/>
      <c r="L35" s="81"/>
      <c r="M35" s="81" t="s">
        <v>114</v>
      </c>
      <c r="N35" s="153">
        <f>SUM(Q6:Q9,Q15,Q17:Q20,Q25)</f>
        <v>72.46333995811824</v>
      </c>
      <c r="O35" s="153"/>
      <c r="P35" s="81"/>
      <c r="Q35" s="81"/>
      <c r="W35" s="183"/>
      <c r="X35" s="183"/>
      <c r="Y35" s="183"/>
      <c r="Z35" s="183"/>
      <c r="AA35" s="183"/>
      <c r="AB35" s="183"/>
      <c r="AC35" s="233"/>
      <c r="AD35" s="183"/>
      <c r="AE35" s="14"/>
      <c r="AF35" s="14"/>
      <c r="AG35" s="14"/>
      <c r="AL35" s="159" t="s">
        <v>317</v>
      </c>
      <c r="AM35" s="81" t="s">
        <v>318</v>
      </c>
      <c r="AN35" s="81" t="s">
        <v>348</v>
      </c>
      <c r="AO35" s="81">
        <f>AO28*0.3+0.7</f>
        <v>0.70488864408202156</v>
      </c>
      <c r="AP35" s="81" t="s">
        <v>320</v>
      </c>
      <c r="AQ35" s="81" t="s">
        <v>349</v>
      </c>
      <c r="AU35" s="168" t="s">
        <v>317</v>
      </c>
      <c r="AV35" s="168" t="s">
        <v>318</v>
      </c>
      <c r="AW35" s="168" t="s">
        <v>348</v>
      </c>
      <c r="AX35" s="169" t="s">
        <v>321</v>
      </c>
      <c r="AY35" s="162">
        <f t="shared" si="31"/>
        <v>0.70488864408202156</v>
      </c>
      <c r="AZ35" s="168" t="s">
        <v>320</v>
      </c>
      <c r="BC35" s="81" t="s">
        <v>411</v>
      </c>
      <c r="BD35" s="167">
        <v>-5.48</v>
      </c>
      <c r="BE35" s="167">
        <v>2.2200000000000001E-2</v>
      </c>
      <c r="BF35" s="81">
        <v>-247.15</v>
      </c>
      <c r="BG35" s="81" t="s">
        <v>431</v>
      </c>
      <c r="BH35" s="81" t="s">
        <v>388</v>
      </c>
      <c r="BL35" s="168" t="s">
        <v>317</v>
      </c>
      <c r="BM35" s="168" t="s">
        <v>318</v>
      </c>
      <c r="BN35" s="168" t="s">
        <v>348</v>
      </c>
      <c r="BO35" s="169" t="s">
        <v>321</v>
      </c>
      <c r="BP35" s="162">
        <f t="shared" si="35"/>
        <v>0.73</v>
      </c>
      <c r="BQ35" s="168" t="s">
        <v>320</v>
      </c>
      <c r="BS35" s="81" t="s">
        <v>411</v>
      </c>
      <c r="BT35" s="167">
        <v>-5.17</v>
      </c>
      <c r="BU35" s="167">
        <v>2.2200000000000001E-2</v>
      </c>
      <c r="BV35" s="81">
        <v>-233.43</v>
      </c>
      <c r="BW35" s="81" t="s">
        <v>387</v>
      </c>
      <c r="BX35" s="167">
        <v>2E-16</v>
      </c>
      <c r="BY35" s="81" t="s">
        <v>388</v>
      </c>
      <c r="BZ35" s="174" t="s">
        <v>317</v>
      </c>
      <c r="CA35" s="174" t="s">
        <v>318</v>
      </c>
      <c r="CB35" s="174" t="s">
        <v>348</v>
      </c>
      <c r="CC35" s="174" t="s">
        <v>321</v>
      </c>
      <c r="CD35" s="173">
        <f t="shared" si="36"/>
        <v>0.69199999999999995</v>
      </c>
      <c r="CE35" s="174" t="s">
        <v>320</v>
      </c>
      <c r="CJ35" s="250"/>
      <c r="CK35" s="250"/>
      <c r="CL35" s="250"/>
      <c r="CO35" s="253" t="s">
        <v>429</v>
      </c>
      <c r="CP35" s="253" t="s">
        <v>299</v>
      </c>
      <c r="CQ35" s="254">
        <v>44100000</v>
      </c>
      <c r="CR35" s="254">
        <v>1060000</v>
      </c>
      <c r="CS35" s="253">
        <v>41.43</v>
      </c>
      <c r="CT35" s="253" t="s">
        <v>387</v>
      </c>
      <c r="CU35" s="254">
        <v>2E-16</v>
      </c>
      <c r="CV35" s="81" t="s">
        <v>388</v>
      </c>
      <c r="CW35" s="255" t="s">
        <v>460</v>
      </c>
      <c r="CX35" s="260" t="s">
        <v>336</v>
      </c>
      <c r="CY35" s="256" t="s">
        <v>321</v>
      </c>
      <c r="CZ35" s="257">
        <f t="shared" si="34"/>
        <v>254</v>
      </c>
      <c r="DA35" s="255" t="s">
        <v>320</v>
      </c>
    </row>
    <row r="36" spans="1:105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08" t="s">
        <v>119</v>
      </c>
      <c r="F36" s="308"/>
      <c r="G36" s="76">
        <f>B17</f>
        <v>0</v>
      </c>
      <c r="K36" s="81"/>
      <c r="L36" s="81"/>
      <c r="M36" s="81" t="s">
        <v>117</v>
      </c>
      <c r="N36" s="153">
        <f>SUM(Q10:Q13,Q21:Q24)</f>
        <v>61.20000000000001</v>
      </c>
      <c r="P36" s="81"/>
      <c r="Q36" s="81"/>
      <c r="W36" s="223"/>
      <c r="X36" s="223"/>
      <c r="Y36" s="224" t="s">
        <v>4</v>
      </c>
      <c r="Z36" s="224">
        <v>5</v>
      </c>
      <c r="AA36" s="224" t="s">
        <v>5</v>
      </c>
      <c r="AB36" s="223"/>
      <c r="AC36" s="223"/>
      <c r="AD36" s="223"/>
      <c r="AE36" s="14"/>
      <c r="AF36" s="14"/>
      <c r="AG36" s="14"/>
      <c r="AP36" s="81" t="s">
        <v>320</v>
      </c>
      <c r="AU36" s="168"/>
      <c r="AV36" s="168"/>
      <c r="AW36" s="168"/>
      <c r="AX36" s="169"/>
      <c r="AZ36" s="168"/>
      <c r="BC36" s="81" t="s">
        <v>412</v>
      </c>
      <c r="BD36" s="167">
        <v>-6.58</v>
      </c>
      <c r="BE36" s="167">
        <v>2.1499999999999998E-2</v>
      </c>
      <c r="BF36" s="81">
        <v>-306.32</v>
      </c>
      <c r="BG36" s="81" t="s">
        <v>431</v>
      </c>
      <c r="BH36" s="81" t="s">
        <v>388</v>
      </c>
      <c r="BL36" s="168"/>
      <c r="BM36" s="168"/>
      <c r="BN36" s="168"/>
      <c r="BO36" s="169"/>
      <c r="BP36" s="162"/>
      <c r="BQ36" s="168"/>
      <c r="BS36" s="81" t="s">
        <v>412</v>
      </c>
      <c r="BT36" s="167">
        <v>-6.24</v>
      </c>
      <c r="BU36" s="167">
        <v>2.3300000000000001E-2</v>
      </c>
      <c r="BV36" s="81">
        <v>-267.83999999999997</v>
      </c>
      <c r="BW36" s="81" t="s">
        <v>387</v>
      </c>
      <c r="BX36" s="167">
        <v>2E-16</v>
      </c>
      <c r="BY36" s="81" t="s">
        <v>388</v>
      </c>
      <c r="BZ36" s="174"/>
      <c r="CA36" s="174"/>
      <c r="CB36" s="174"/>
      <c r="CC36" s="174"/>
      <c r="CD36" s="173"/>
      <c r="CE36" s="174"/>
      <c r="CI36" s="81" t="s">
        <v>350</v>
      </c>
      <c r="CJ36" s="252">
        <f t="shared" si="0"/>
        <v>456.95763708980957</v>
      </c>
      <c r="CK36" s="252">
        <f t="shared" si="13"/>
        <v>1350</v>
      </c>
      <c r="CL36" s="252">
        <f t="shared" si="2"/>
        <v>459</v>
      </c>
      <c r="CO36" s="253" t="s">
        <v>429</v>
      </c>
      <c r="CP36" s="253" t="s">
        <v>301</v>
      </c>
      <c r="CQ36" s="254">
        <v>26300000</v>
      </c>
      <c r="CR36" s="254">
        <v>370000</v>
      </c>
      <c r="CS36" s="253">
        <v>71.150000000000006</v>
      </c>
      <c r="CT36" s="253" t="s">
        <v>387</v>
      </c>
      <c r="CU36" s="254">
        <v>2E-16</v>
      </c>
      <c r="CV36" s="81" t="s">
        <v>388</v>
      </c>
      <c r="CW36" s="255" t="s">
        <v>460</v>
      </c>
      <c r="CX36" s="261" t="s">
        <v>338</v>
      </c>
      <c r="CY36" s="256" t="s">
        <v>321</v>
      </c>
      <c r="CZ36" s="257">
        <f>CQ59</f>
        <v>254</v>
      </c>
      <c r="DA36" s="255" t="s">
        <v>320</v>
      </c>
    </row>
    <row r="37" spans="1:105" ht="15" customHeight="1" thickTop="1" thickBot="1" x14ac:dyDescent="0.3">
      <c r="K37" s="81"/>
      <c r="L37" s="81"/>
      <c r="M37" s="81" t="s">
        <v>120</v>
      </c>
      <c r="N37" s="153">
        <f>'Verwarming Tabula'!B60</f>
        <v>138.03320000000002</v>
      </c>
      <c r="P37" s="81"/>
      <c r="Q37" s="81"/>
      <c r="W37" s="225" t="s">
        <v>115</v>
      </c>
      <c r="X37" s="226"/>
      <c r="Y37" s="227" t="s">
        <v>21</v>
      </c>
      <c r="Z37" s="207">
        <v>2</v>
      </c>
      <c r="AA37" s="226" t="s">
        <v>5</v>
      </c>
      <c r="AB37" s="226"/>
      <c r="AC37" s="226" t="s">
        <v>22</v>
      </c>
      <c r="AD37" s="229">
        <f>SUM(AD38:AD39)</f>
        <v>0</v>
      </c>
      <c r="AE37" s="14" t="s">
        <v>23</v>
      </c>
      <c r="AF37" s="14">
        <f>SUM(AD39:AD40)</f>
        <v>0</v>
      </c>
      <c r="AG37" s="14"/>
      <c r="AL37" s="159" t="s">
        <v>317</v>
      </c>
      <c r="AM37" s="81" t="s">
        <v>318</v>
      </c>
      <c r="AN37" s="81" t="s">
        <v>350</v>
      </c>
      <c r="AO37" s="81">
        <f>SUM(N17:N20)*(1/(SUM(AC18:AC19)*0.5+1/8))+N25*(1/(SUM(AC9:AC10)*0.5+1/8))</f>
        <v>456.95763708980957</v>
      </c>
      <c r="AP37" s="81" t="s">
        <v>320</v>
      </c>
      <c r="AQ37" s="81" t="s">
        <v>351</v>
      </c>
      <c r="AU37" s="168" t="s">
        <v>317</v>
      </c>
      <c r="AV37" s="168" t="s">
        <v>318</v>
      </c>
      <c r="AW37" s="168" t="s">
        <v>350</v>
      </c>
      <c r="AX37" s="169" t="s">
        <v>321</v>
      </c>
      <c r="AY37" s="162">
        <f>AO37</f>
        <v>456.95763708980957</v>
      </c>
      <c r="AZ37" s="168" t="s">
        <v>320</v>
      </c>
      <c r="BC37" s="81" t="s">
        <v>413</v>
      </c>
      <c r="BD37" s="167">
        <v>-9.25</v>
      </c>
      <c r="BE37" s="167">
        <v>0.191</v>
      </c>
      <c r="BF37" s="81">
        <v>-48.52</v>
      </c>
      <c r="BG37" s="81" t="s">
        <v>431</v>
      </c>
      <c r="BH37" s="81" t="s">
        <v>388</v>
      </c>
      <c r="BL37" s="168" t="s">
        <v>317</v>
      </c>
      <c r="BM37" s="168" t="s">
        <v>318</v>
      </c>
      <c r="BN37" s="168" t="s">
        <v>350</v>
      </c>
      <c r="BO37" s="169" t="s">
        <v>321</v>
      </c>
      <c r="BP37" s="162">
        <f>BD67</f>
        <v>1350</v>
      </c>
      <c r="BQ37" s="168" t="s">
        <v>320</v>
      </c>
      <c r="BS37" s="81" t="s">
        <v>413</v>
      </c>
      <c r="BT37" s="167">
        <v>-6.59</v>
      </c>
      <c r="BU37" s="167">
        <v>3.9800000000000002E-2</v>
      </c>
      <c r="BV37" s="81">
        <v>-165.7</v>
      </c>
      <c r="BW37" s="81" t="s">
        <v>387</v>
      </c>
      <c r="BX37" s="167">
        <v>2E-16</v>
      </c>
      <c r="BY37" s="81" t="s">
        <v>388</v>
      </c>
      <c r="BZ37" s="174" t="s">
        <v>317</v>
      </c>
      <c r="CA37" s="174" t="s">
        <v>318</v>
      </c>
      <c r="CB37" s="174" t="s">
        <v>350</v>
      </c>
      <c r="CC37" s="174" t="s">
        <v>321</v>
      </c>
      <c r="CD37" s="173">
        <f>BT69</f>
        <v>459</v>
      </c>
      <c r="CE37" s="174" t="s">
        <v>320</v>
      </c>
      <c r="CI37" s="81" t="s">
        <v>352</v>
      </c>
      <c r="CJ37" s="252">
        <f t="shared" si="0"/>
        <v>196.13311271975178</v>
      </c>
      <c r="CK37" s="252">
        <f t="shared" si="13"/>
        <v>372</v>
      </c>
      <c r="CL37" s="252">
        <f t="shared" si="2"/>
        <v>191</v>
      </c>
      <c r="CO37" s="253" t="s">
        <v>429</v>
      </c>
      <c r="CP37" s="253" t="s">
        <v>399</v>
      </c>
      <c r="CQ37" s="254">
        <v>-5.75</v>
      </c>
      <c r="CR37" s="254">
        <v>6.8500000000000005E-2</v>
      </c>
      <c r="CS37" s="253">
        <v>-83.95</v>
      </c>
      <c r="CT37" s="253" t="s">
        <v>387</v>
      </c>
      <c r="CU37" s="254">
        <v>2E-16</v>
      </c>
      <c r="CV37" s="81" t="s">
        <v>388</v>
      </c>
      <c r="CW37" s="255" t="s">
        <v>460</v>
      </c>
      <c r="CX37" s="261" t="s">
        <v>337</v>
      </c>
      <c r="CY37" s="256" t="s">
        <v>321</v>
      </c>
      <c r="CZ37" s="257">
        <f>1/CQ56</f>
        <v>735.29411764705878</v>
      </c>
      <c r="DA37" s="255" t="s">
        <v>320</v>
      </c>
    </row>
    <row r="38" spans="1:105" ht="15" customHeight="1" thickTop="1" thickBot="1" x14ac:dyDescent="0.3">
      <c r="B38" s="153"/>
      <c r="K38" s="81"/>
      <c r="L38" s="81"/>
      <c r="M38" s="81"/>
      <c r="N38" s="153"/>
      <c r="P38" s="81"/>
      <c r="Q38" s="81"/>
      <c r="W38" s="205"/>
      <c r="X38" s="206" t="s">
        <v>16</v>
      </c>
      <c r="Y38" s="206">
        <v>1.361</v>
      </c>
      <c r="Z38" s="206" t="s">
        <v>5</v>
      </c>
      <c r="AA38" s="206"/>
      <c r="AB38" s="206"/>
      <c r="AC38" s="206">
        <f>(Z37-(1-AC39)*Y38)/AC39</f>
        <v>3.9169999999999998</v>
      </c>
      <c r="AD38" s="238"/>
      <c r="AE38" s="14"/>
      <c r="AF38" s="14"/>
      <c r="AG38" s="14"/>
      <c r="AL38" s="159" t="s">
        <v>317</v>
      </c>
      <c r="AM38" s="81" t="s">
        <v>318</v>
      </c>
      <c r="AN38" s="81" t="s">
        <v>352</v>
      </c>
      <c r="AO38" s="81">
        <f>4*Z21*N28</f>
        <v>196.13311271975178</v>
      </c>
      <c r="AP38" s="81" t="s">
        <v>320</v>
      </c>
      <c r="AQ38" s="167">
        <v>85.692350000000005</v>
      </c>
      <c r="AU38" s="168" t="s">
        <v>317</v>
      </c>
      <c r="AV38" s="168" t="s">
        <v>318</v>
      </c>
      <c r="AW38" s="168" t="s">
        <v>352</v>
      </c>
      <c r="AX38" s="169" t="s">
        <v>321</v>
      </c>
      <c r="AY38" s="162">
        <f t="shared" ref="AY38:AY40" si="37">AO38</f>
        <v>196.13311271975178</v>
      </c>
      <c r="AZ38" s="168" t="s">
        <v>320</v>
      </c>
      <c r="BC38" s="81" t="s">
        <v>414</v>
      </c>
      <c r="BD38" s="167">
        <v>-6.11</v>
      </c>
      <c r="BE38" s="167">
        <v>2.2200000000000001E-2</v>
      </c>
      <c r="BF38" s="81">
        <v>-275.08</v>
      </c>
      <c r="BG38" s="81" t="s">
        <v>431</v>
      </c>
      <c r="BH38" s="81" t="s">
        <v>388</v>
      </c>
      <c r="BL38" s="168" t="s">
        <v>317</v>
      </c>
      <c r="BM38" s="168" t="s">
        <v>318</v>
      </c>
      <c r="BN38" s="168" t="s">
        <v>352</v>
      </c>
      <c r="BO38" s="169" t="s">
        <v>321</v>
      </c>
      <c r="BP38" s="162">
        <f t="shared" ref="BP38:BP39" si="38">BD68</f>
        <v>372</v>
      </c>
      <c r="BQ38" s="168" t="s">
        <v>320</v>
      </c>
      <c r="BS38" s="81" t="s">
        <v>414</v>
      </c>
      <c r="BT38" s="167">
        <v>-6.13</v>
      </c>
      <c r="BU38" s="167">
        <v>2.3300000000000001E-2</v>
      </c>
      <c r="BV38" s="81">
        <v>-263.20999999999998</v>
      </c>
      <c r="BW38" s="81" t="s">
        <v>387</v>
      </c>
      <c r="BX38" s="167">
        <v>2E-16</v>
      </c>
      <c r="BY38" s="81" t="s">
        <v>388</v>
      </c>
      <c r="BZ38" s="174" t="s">
        <v>317</v>
      </c>
      <c r="CA38" s="174" t="s">
        <v>318</v>
      </c>
      <c r="CB38" s="174" t="s">
        <v>352</v>
      </c>
      <c r="CC38" s="174" t="s">
        <v>321</v>
      </c>
      <c r="CD38" s="173">
        <f t="shared" ref="CD38:CD39" si="39">BT70</f>
        <v>191</v>
      </c>
      <c r="CE38" s="174" t="s">
        <v>320</v>
      </c>
      <c r="CI38" s="81" t="s">
        <v>353</v>
      </c>
      <c r="CJ38" s="252">
        <f t="shared" si="0"/>
        <v>70.42518463795372</v>
      </c>
      <c r="CK38" s="252">
        <f t="shared" si="13"/>
        <v>31.9</v>
      </c>
      <c r="CL38" s="252">
        <f t="shared" si="2"/>
        <v>2.0199999999999999E-19</v>
      </c>
      <c r="CO38" s="253" t="s">
        <v>429</v>
      </c>
      <c r="CP38" s="253" t="s">
        <v>400</v>
      </c>
      <c r="CQ38" s="254">
        <v>-16.3</v>
      </c>
      <c r="CR38" s="254">
        <v>336</v>
      </c>
      <c r="CS38" s="253">
        <v>-0.05</v>
      </c>
      <c r="CT38" s="253">
        <v>0.96099999999999997</v>
      </c>
      <c r="CW38" s="255" t="s">
        <v>460</v>
      </c>
      <c r="CX38" s="258" t="s">
        <v>329</v>
      </c>
      <c r="CY38" s="256" t="s">
        <v>321</v>
      </c>
      <c r="CZ38" s="257">
        <f>CQ42</f>
        <v>7.6999999999999999E-2</v>
      </c>
      <c r="DA38" s="255" t="s">
        <v>320</v>
      </c>
    </row>
    <row r="39" spans="1:105" ht="15" customHeight="1" thickTop="1" thickBot="1" x14ac:dyDescent="0.3">
      <c r="K39" s="81"/>
      <c r="L39" s="81"/>
      <c r="M39" s="81" t="s">
        <v>122</v>
      </c>
      <c r="N39" s="153">
        <f>B4*1.204*1012*5/1000000</f>
        <v>3.2392440080000005</v>
      </c>
      <c r="O39" s="81" t="s">
        <v>123</v>
      </c>
      <c r="Q39" s="81"/>
      <c r="W39" s="199"/>
      <c r="X39" s="181" t="s">
        <v>121</v>
      </c>
      <c r="Y39" s="181">
        <v>0.47</v>
      </c>
      <c r="Z39" s="181"/>
      <c r="AA39" s="181"/>
      <c r="AB39" s="181"/>
      <c r="AC39" s="181">
        <v>0.25</v>
      </c>
      <c r="AD39" s="204"/>
      <c r="AE39" s="149" t="s">
        <v>277</v>
      </c>
      <c r="AF39" s="14"/>
      <c r="AG39" s="14"/>
      <c r="AL39" s="159" t="s">
        <v>317</v>
      </c>
      <c r="AM39" s="81" t="s">
        <v>318</v>
      </c>
      <c r="AN39" s="81" t="s">
        <v>353</v>
      </c>
      <c r="AO39" s="153">
        <f>'Verwarming Tabula 2zone'!B139+SUM(Q21:Q24)</f>
        <v>70.42518463795372</v>
      </c>
      <c r="AP39" s="81" t="s">
        <v>320</v>
      </c>
      <c r="AQ39" s="81" t="s">
        <v>354</v>
      </c>
      <c r="AU39" s="168" t="s">
        <v>317</v>
      </c>
      <c r="AV39" s="168" t="s">
        <v>318</v>
      </c>
      <c r="AW39" s="168" t="s">
        <v>353</v>
      </c>
      <c r="AX39" s="169" t="s">
        <v>321</v>
      </c>
      <c r="AY39" s="162">
        <f t="shared" si="37"/>
        <v>70.42518463795372</v>
      </c>
      <c r="AZ39" s="168" t="s">
        <v>320</v>
      </c>
      <c r="BC39" s="81" t="s">
        <v>415</v>
      </c>
      <c r="BD39" s="167">
        <v>-6.37</v>
      </c>
      <c r="BE39" s="167">
        <v>2.1899999999999999E-2</v>
      </c>
      <c r="BF39" s="81">
        <v>-290.83</v>
      </c>
      <c r="BG39" s="81" t="s">
        <v>431</v>
      </c>
      <c r="BH39" s="81" t="s">
        <v>388</v>
      </c>
      <c r="BL39" s="168" t="s">
        <v>317</v>
      </c>
      <c r="BM39" s="168" t="s">
        <v>318</v>
      </c>
      <c r="BN39" s="168" t="s">
        <v>353</v>
      </c>
      <c r="BO39" s="169" t="s">
        <v>321</v>
      </c>
      <c r="BP39" s="162">
        <f t="shared" si="38"/>
        <v>31.9</v>
      </c>
      <c r="BQ39" s="168" t="s">
        <v>320</v>
      </c>
      <c r="BS39" s="81" t="s">
        <v>415</v>
      </c>
      <c r="BT39" s="167">
        <v>-6.14</v>
      </c>
      <c r="BU39" s="167">
        <v>2.3800000000000002E-2</v>
      </c>
      <c r="BV39" s="81">
        <v>-257.77999999999997</v>
      </c>
      <c r="BW39" s="81" t="s">
        <v>387</v>
      </c>
      <c r="BX39" s="167">
        <v>2E-16</v>
      </c>
      <c r="BY39" s="81" t="s">
        <v>388</v>
      </c>
      <c r="BZ39" s="174" t="s">
        <v>317</v>
      </c>
      <c r="CA39" s="174" t="s">
        <v>318</v>
      </c>
      <c r="CB39" s="174" t="s">
        <v>353</v>
      </c>
      <c r="CC39" s="174" t="s">
        <v>321</v>
      </c>
      <c r="CD39" s="173">
        <f t="shared" si="39"/>
        <v>2.0199999999999999E-19</v>
      </c>
      <c r="CE39" s="174" t="s">
        <v>320</v>
      </c>
      <c r="CI39" s="81" t="s">
        <v>355</v>
      </c>
      <c r="CJ39" s="252">
        <f t="shared" si="0"/>
        <v>56.343973348467813</v>
      </c>
      <c r="CK39" s="252">
        <f t="shared" si="13"/>
        <v>110.74197120708749</v>
      </c>
      <c r="CL39" s="252">
        <f t="shared" si="2"/>
        <v>813.00813008130081</v>
      </c>
      <c r="CO39" s="253" t="s">
        <v>429</v>
      </c>
      <c r="CP39" s="253" t="s">
        <v>401</v>
      </c>
      <c r="CQ39" s="254">
        <v>4.8600000000000003</v>
      </c>
      <c r="CR39" s="254">
        <v>0.25900000000000001</v>
      </c>
      <c r="CS39" s="253">
        <v>18.75</v>
      </c>
      <c r="CT39" s="253" t="s">
        <v>387</v>
      </c>
      <c r="CU39" s="254">
        <v>2E-16</v>
      </c>
      <c r="CV39" s="81" t="s">
        <v>388</v>
      </c>
      <c r="CW39" s="255" t="s">
        <v>460</v>
      </c>
      <c r="CX39" s="259" t="s">
        <v>330</v>
      </c>
      <c r="CY39" s="256" t="s">
        <v>321</v>
      </c>
      <c r="CZ39" s="257">
        <f t="shared" ref="CZ39:CZ42" si="40">CQ43</f>
        <v>0.14699999999999999</v>
      </c>
      <c r="DA39" s="255" t="s">
        <v>320</v>
      </c>
    </row>
    <row r="40" spans="1:105" ht="15" customHeight="1" thickTop="1" thickBot="1" x14ac:dyDescent="0.3">
      <c r="A40" s="81" t="s">
        <v>278</v>
      </c>
      <c r="K40" s="81"/>
      <c r="L40" s="81"/>
      <c r="M40" s="81" t="s">
        <v>124</v>
      </c>
      <c r="N40" s="153">
        <f>SUM(R6:R9,R15)/1000000</f>
        <v>29.404634124508792</v>
      </c>
      <c r="O40" s="81" t="s">
        <v>125</v>
      </c>
      <c r="P40" s="153">
        <f>SUM(T6:T9,T15)/1000000</f>
        <v>14.219713973112725</v>
      </c>
      <c r="Q40" s="81"/>
      <c r="W40" s="223"/>
      <c r="X40" s="223"/>
      <c r="Y40" s="223"/>
      <c r="Z40" s="223"/>
      <c r="AA40" s="223"/>
      <c r="AB40" s="223"/>
      <c r="AC40" s="223"/>
      <c r="AD40" s="223"/>
      <c r="AE40" s="14"/>
      <c r="AF40" s="14"/>
      <c r="AG40" s="14"/>
      <c r="AL40" s="159" t="s">
        <v>317</v>
      </c>
      <c r="AM40" s="81" t="s">
        <v>318</v>
      </c>
      <c r="AN40" s="81" t="s">
        <v>355</v>
      </c>
      <c r="AO40" s="81">
        <f>SUM(N17:N20)*1/(SUM(AC15:AC17)+0.5*SUM(AC18:AC19)+1/23)+N25*1/(SUM(AC7:AC9)+0.5*SUM(AC10)+1/23)</f>
        <v>56.343973348467813</v>
      </c>
      <c r="AP40" s="81" t="s">
        <v>320</v>
      </c>
      <c r="AQ40" s="81">
        <f>1/0.01634389</f>
        <v>61.184944343115376</v>
      </c>
      <c r="AU40" s="168" t="s">
        <v>317</v>
      </c>
      <c r="AV40" s="168" t="s">
        <v>318</v>
      </c>
      <c r="AW40" s="168" t="s">
        <v>355</v>
      </c>
      <c r="AX40" s="169" t="s">
        <v>321</v>
      </c>
      <c r="AY40" s="162">
        <f t="shared" si="37"/>
        <v>56.343973348467813</v>
      </c>
      <c r="AZ40" s="168" t="s">
        <v>320</v>
      </c>
      <c r="BC40" s="81" t="s">
        <v>416</v>
      </c>
      <c r="BD40" s="167">
        <v>1.1299999999999999E-3</v>
      </c>
      <c r="BE40" s="167">
        <v>9.9899999999999992E-6</v>
      </c>
      <c r="BF40" s="81">
        <v>113.15</v>
      </c>
      <c r="BG40" s="81" t="s">
        <v>431</v>
      </c>
      <c r="BH40" s="81" t="s">
        <v>388</v>
      </c>
      <c r="BL40" s="168" t="s">
        <v>317</v>
      </c>
      <c r="BM40" s="168" t="s">
        <v>318</v>
      </c>
      <c r="BN40" s="168" t="s">
        <v>355</v>
      </c>
      <c r="BO40" s="169" t="s">
        <v>321</v>
      </c>
      <c r="BP40" s="162">
        <f>1/BD74</f>
        <v>110.74197120708749</v>
      </c>
      <c r="BQ40" s="168" t="s">
        <v>320</v>
      </c>
      <c r="BS40" s="81" t="s">
        <v>416</v>
      </c>
      <c r="BT40" s="167">
        <v>1.3500000000000001E-3</v>
      </c>
      <c r="BU40" s="167">
        <v>2.23E-5</v>
      </c>
      <c r="BV40" s="81">
        <v>60.8</v>
      </c>
      <c r="BW40" s="81" t="s">
        <v>387</v>
      </c>
      <c r="BX40" s="167">
        <v>2E-16</v>
      </c>
      <c r="BY40" s="81" t="s">
        <v>388</v>
      </c>
      <c r="BZ40" s="174" t="s">
        <v>317</v>
      </c>
      <c r="CA40" s="174" t="s">
        <v>318</v>
      </c>
      <c r="CB40" s="174" t="s">
        <v>355</v>
      </c>
      <c r="CC40" s="174" t="s">
        <v>321</v>
      </c>
      <c r="CD40" s="173">
        <f>1/BT76</f>
        <v>813.00813008130081</v>
      </c>
      <c r="CE40" s="174" t="s">
        <v>320</v>
      </c>
      <c r="CJ40" s="250"/>
      <c r="CK40" s="250"/>
      <c r="CL40" s="250"/>
      <c r="CO40" s="253" t="s">
        <v>429</v>
      </c>
      <c r="CP40" s="253" t="s">
        <v>402</v>
      </c>
      <c r="CQ40" s="254">
        <v>-15.8</v>
      </c>
      <c r="CR40" s="254">
        <v>472</v>
      </c>
      <c r="CS40" s="253">
        <v>-0.03</v>
      </c>
      <c r="CT40" s="253">
        <v>0.97299999999999998</v>
      </c>
      <c r="CW40" s="255" t="s">
        <v>460</v>
      </c>
      <c r="CX40" s="259" t="s">
        <v>331</v>
      </c>
      <c r="CY40" s="256" t="s">
        <v>321</v>
      </c>
      <c r="CZ40" s="257">
        <f t="shared" si="40"/>
        <v>0.73299999999999998</v>
      </c>
      <c r="DA40" s="255" t="s">
        <v>320</v>
      </c>
    </row>
    <row r="41" spans="1:105" ht="15" customHeight="1" thickTop="1" thickBot="1" x14ac:dyDescent="0.3">
      <c r="A41" s="150" t="s">
        <v>279</v>
      </c>
      <c r="K41" s="81"/>
      <c r="L41" s="81"/>
      <c r="M41" s="81" t="s">
        <v>126</v>
      </c>
      <c r="N41" s="153">
        <f>SUM(R26:R27)/1000000</f>
        <v>62.390675478800418</v>
      </c>
      <c r="O41" s="81" t="s">
        <v>125</v>
      </c>
      <c r="P41" s="153">
        <f>SUM(T26:T27)/1000000</f>
        <v>62.390675478800418</v>
      </c>
      <c r="Q41" s="81"/>
      <c r="W41" s="223"/>
      <c r="X41" s="223"/>
      <c r="Y41" s="224" t="s">
        <v>4</v>
      </c>
      <c r="Z41" s="224">
        <v>0.85</v>
      </c>
      <c r="AA41" s="224" t="s">
        <v>5</v>
      </c>
      <c r="AB41" s="223"/>
      <c r="AC41" s="223"/>
      <c r="AD41" s="223"/>
      <c r="AE41" s="14"/>
      <c r="AF41" s="14"/>
      <c r="AG41" s="14"/>
      <c r="AP41" s="81" t="s">
        <v>320</v>
      </c>
      <c r="AU41" s="168"/>
      <c r="AV41" s="168"/>
      <c r="AW41" s="168"/>
      <c r="AX41" s="169"/>
      <c r="AZ41" s="168"/>
      <c r="BC41" s="81" t="s">
        <v>417</v>
      </c>
      <c r="BD41" s="167">
        <v>762</v>
      </c>
      <c r="BE41" s="167">
        <v>7.54</v>
      </c>
      <c r="BF41" s="81">
        <v>101.02</v>
      </c>
      <c r="BG41" s="81" t="s">
        <v>431</v>
      </c>
      <c r="BH41" s="81" t="s">
        <v>388</v>
      </c>
      <c r="BL41" s="168"/>
      <c r="BM41" s="168"/>
      <c r="BN41" s="168"/>
      <c r="BO41" s="169"/>
      <c r="BP41" s="162"/>
      <c r="BQ41" s="168"/>
      <c r="BS41" s="81" t="s">
        <v>417</v>
      </c>
      <c r="BT41" s="167">
        <v>133</v>
      </c>
      <c r="BU41" s="167">
        <v>1</v>
      </c>
      <c r="BV41" s="81">
        <v>133.13</v>
      </c>
      <c r="BW41" s="81" t="s">
        <v>387</v>
      </c>
      <c r="BX41" s="167">
        <v>2E-16</v>
      </c>
      <c r="BY41" s="81" t="s">
        <v>388</v>
      </c>
      <c r="BZ41" s="174"/>
      <c r="CA41" s="174"/>
      <c r="CB41" s="174"/>
      <c r="CC41" s="174"/>
      <c r="CD41" s="173"/>
      <c r="CE41" s="174"/>
      <c r="CI41" s="81" t="s">
        <v>356</v>
      </c>
      <c r="CJ41" s="249">
        <f t="shared" si="0"/>
        <v>0.29329646034891843</v>
      </c>
      <c r="CK41" s="249">
        <f t="shared" si="13"/>
        <v>2.8899999999999999E-2</v>
      </c>
      <c r="CL41" s="249">
        <f t="shared" si="2"/>
        <v>0.13200000000000001</v>
      </c>
      <c r="CO41" s="253" t="s">
        <v>429</v>
      </c>
      <c r="CP41" s="253" t="s">
        <v>403</v>
      </c>
      <c r="CQ41" s="254">
        <v>-12.7</v>
      </c>
      <c r="CR41" s="254">
        <v>261</v>
      </c>
      <c r="CS41" s="253">
        <v>-0.05</v>
      </c>
      <c r="CT41" s="253">
        <v>0.96099999999999997</v>
      </c>
      <c r="CW41" s="255" t="s">
        <v>460</v>
      </c>
      <c r="CX41" s="256" t="s">
        <v>332</v>
      </c>
      <c r="CY41" s="256" t="s">
        <v>321</v>
      </c>
      <c r="CZ41" s="257">
        <f t="shared" si="40"/>
        <v>6.1400000000000003E-2</v>
      </c>
      <c r="DA41" s="255" t="s">
        <v>320</v>
      </c>
    </row>
    <row r="42" spans="1:105" ht="15" customHeight="1" thickTop="1" thickBot="1" x14ac:dyDescent="0.3">
      <c r="A42" s="81" t="s">
        <v>280</v>
      </c>
      <c r="C42" s="81">
        <f>0.55</f>
        <v>0.55000000000000004</v>
      </c>
      <c r="K42" s="81"/>
      <c r="L42" s="81"/>
      <c r="M42" s="81" t="s">
        <v>127</v>
      </c>
      <c r="N42" s="153">
        <f>R14/1000000</f>
        <v>33.690426960000011</v>
      </c>
      <c r="P42" s="153">
        <f>T14/1000000</f>
        <v>9.8532480000000024</v>
      </c>
      <c r="Q42" s="81"/>
      <c r="W42" s="225" t="s">
        <v>63</v>
      </c>
      <c r="X42" s="226"/>
      <c r="Y42" s="227" t="s">
        <v>21</v>
      </c>
      <c r="Z42" s="228">
        <f>1/(1/10+SUM(AC44:AC48))</f>
        <v>0.26077238296287103</v>
      </c>
      <c r="AA42" s="226" t="s">
        <v>5</v>
      </c>
      <c r="AB42" s="226"/>
      <c r="AC42" s="226" t="s">
        <v>22</v>
      </c>
      <c r="AD42" s="229">
        <f>SUM(AD44:AD48)</f>
        <v>379396.7</v>
      </c>
      <c r="AE42" s="14" t="s">
        <v>23</v>
      </c>
      <c r="AF42" s="14">
        <f>SUM(AD44:AD45)</f>
        <v>110960</v>
      </c>
      <c r="AG42" s="14"/>
      <c r="AL42" s="159" t="s">
        <v>317</v>
      </c>
      <c r="AM42" s="81" t="s">
        <v>318</v>
      </c>
      <c r="AN42" s="81" t="s">
        <v>356</v>
      </c>
      <c r="AO42" s="81">
        <f>SUM(N26)/SUM(N6:N14,N26:N27)</f>
        <v>0.29329646034891843</v>
      </c>
      <c r="AP42" s="81" t="s">
        <v>320</v>
      </c>
      <c r="AQ42" s="81" t="s">
        <v>357</v>
      </c>
      <c r="AU42" s="168" t="s">
        <v>317</v>
      </c>
      <c r="AV42" s="168" t="s">
        <v>318</v>
      </c>
      <c r="AW42" s="168" t="s">
        <v>356</v>
      </c>
      <c r="AX42" s="169" t="s">
        <v>321</v>
      </c>
      <c r="AY42" s="162">
        <f>AO42</f>
        <v>0.29329646034891843</v>
      </c>
      <c r="AZ42" s="168" t="s">
        <v>320</v>
      </c>
      <c r="BC42" s="81" t="s">
        <v>418</v>
      </c>
      <c r="BD42" s="167">
        <v>660</v>
      </c>
      <c r="BE42" s="167">
        <v>5.62</v>
      </c>
      <c r="BF42" s="81">
        <v>117.56</v>
      </c>
      <c r="BG42" s="81" t="s">
        <v>431</v>
      </c>
      <c r="BH42" s="81" t="s">
        <v>388</v>
      </c>
      <c r="BL42" s="168" t="s">
        <v>317</v>
      </c>
      <c r="BM42" s="168" t="s">
        <v>318</v>
      </c>
      <c r="BN42" s="168" t="s">
        <v>356</v>
      </c>
      <c r="BO42" s="169" t="s">
        <v>321</v>
      </c>
      <c r="BP42" s="162">
        <f>BD15</f>
        <v>2.8899999999999999E-2</v>
      </c>
      <c r="BQ42" s="168" t="s">
        <v>320</v>
      </c>
      <c r="BS42" s="81" t="s">
        <v>418</v>
      </c>
      <c r="BT42" s="167">
        <v>1500</v>
      </c>
      <c r="BU42" s="167">
        <v>980</v>
      </c>
      <c r="BV42" s="81">
        <v>1.53</v>
      </c>
      <c r="BW42" s="81">
        <v>0.13</v>
      </c>
      <c r="BZ42" s="174" t="s">
        <v>317</v>
      </c>
      <c r="CA42" s="174" t="s">
        <v>318</v>
      </c>
      <c r="CB42" s="174" t="s">
        <v>356</v>
      </c>
      <c r="CC42" s="174" t="s">
        <v>321</v>
      </c>
      <c r="CD42" s="173">
        <f>BT14</f>
        <v>0.13200000000000001</v>
      </c>
      <c r="CE42" s="174" t="s">
        <v>320</v>
      </c>
      <c r="CI42" s="81" t="s">
        <v>358</v>
      </c>
      <c r="CJ42" s="249">
        <f t="shared" si="0"/>
        <v>0.27851425434611121</v>
      </c>
      <c r="CK42" s="249">
        <f t="shared" si="13"/>
        <v>9.7500000000000003E-2</v>
      </c>
      <c r="CL42" s="249">
        <f t="shared" si="2"/>
        <v>0.47699999999999998</v>
      </c>
      <c r="CO42" s="253" t="s">
        <v>429</v>
      </c>
      <c r="CP42" s="253" t="s">
        <v>404</v>
      </c>
      <c r="CQ42" s="254">
        <v>7.6999999999999999E-2</v>
      </c>
      <c r="CR42" s="254">
        <v>7.1900000000000002E-4</v>
      </c>
      <c r="CS42" s="253">
        <v>107.04</v>
      </c>
      <c r="CT42" s="253" t="s">
        <v>387</v>
      </c>
      <c r="CU42" s="254">
        <v>2E-16</v>
      </c>
      <c r="CV42" s="81" t="s">
        <v>388</v>
      </c>
      <c r="CW42" s="255" t="s">
        <v>460</v>
      </c>
      <c r="CX42" s="256" t="s">
        <v>434</v>
      </c>
      <c r="CY42" s="256" t="s">
        <v>321</v>
      </c>
      <c r="CZ42" s="257">
        <f t="shared" si="40"/>
        <v>5.0099999999999999E-2</v>
      </c>
      <c r="DA42" s="255" t="s">
        <v>320</v>
      </c>
    </row>
    <row r="43" spans="1:105" ht="15" customHeight="1" thickTop="1" thickBot="1" x14ac:dyDescent="0.3">
      <c r="A43" s="81" t="s">
        <v>281</v>
      </c>
      <c r="C43" s="81">
        <f>B7/B6</f>
        <v>0.45915201654601867</v>
      </c>
      <c r="D43" s="81" t="s">
        <v>282</v>
      </c>
      <c r="K43" s="81"/>
      <c r="L43" s="81"/>
      <c r="M43" s="81"/>
      <c r="P43" s="81"/>
      <c r="Q43" s="81"/>
      <c r="W43" s="230"/>
      <c r="X43" s="231" t="s">
        <v>27</v>
      </c>
      <c r="Y43" s="231" t="s">
        <v>28</v>
      </c>
      <c r="Z43" s="231" t="s">
        <v>29</v>
      </c>
      <c r="AA43" s="231" t="s">
        <v>30</v>
      </c>
      <c r="AB43" s="231" t="s">
        <v>31</v>
      </c>
      <c r="AC43" s="231" t="s">
        <v>32</v>
      </c>
      <c r="AD43" s="232" t="s">
        <v>33</v>
      </c>
      <c r="AE43" s="14"/>
      <c r="AF43" s="14"/>
      <c r="AG43" s="14"/>
      <c r="AL43" s="159" t="s">
        <v>317</v>
      </c>
      <c r="AM43" s="81" t="s">
        <v>318</v>
      </c>
      <c r="AN43" s="81" t="s">
        <v>358</v>
      </c>
      <c r="AO43" s="81">
        <f>SUM(N26)/SUM(N$17:N$25,N$28,N$26)</f>
        <v>0.27851425434611121</v>
      </c>
      <c r="AP43" s="81" t="s">
        <v>320</v>
      </c>
      <c r="AQ43" s="81" t="s">
        <v>359</v>
      </c>
      <c r="AU43" s="168" t="s">
        <v>317</v>
      </c>
      <c r="AV43" s="168" t="s">
        <v>318</v>
      </c>
      <c r="AW43" s="168" t="s">
        <v>358</v>
      </c>
      <c r="AX43" s="169" t="s">
        <v>321</v>
      </c>
      <c r="AY43" s="162">
        <f t="shared" ref="AY43:AY50" si="41">AO43</f>
        <v>0.27851425434611121</v>
      </c>
      <c r="AZ43" s="168" t="s">
        <v>320</v>
      </c>
      <c r="BC43" s="81" t="s">
        <v>419</v>
      </c>
      <c r="BD43" s="167">
        <v>301</v>
      </c>
      <c r="BE43" s="167">
        <v>3.03</v>
      </c>
      <c r="BF43" s="81">
        <v>99.4</v>
      </c>
      <c r="BG43" s="81" t="s">
        <v>431</v>
      </c>
      <c r="BH43" s="81" t="s">
        <v>388</v>
      </c>
      <c r="BL43" s="168" t="s">
        <v>317</v>
      </c>
      <c r="BM43" s="168" t="s">
        <v>318</v>
      </c>
      <c r="BN43" s="168" t="s">
        <v>358</v>
      </c>
      <c r="BO43" s="169" t="s">
        <v>321</v>
      </c>
      <c r="BP43" s="162">
        <f>BD54</f>
        <v>9.7500000000000003E-2</v>
      </c>
      <c r="BQ43" s="168" t="s">
        <v>320</v>
      </c>
      <c r="BS43" s="81" t="s">
        <v>419</v>
      </c>
      <c r="BT43" s="167">
        <v>334</v>
      </c>
      <c r="BU43" s="167">
        <v>261</v>
      </c>
      <c r="BV43" s="81">
        <v>1.28</v>
      </c>
      <c r="BW43" s="81">
        <v>0.2</v>
      </c>
      <c r="BZ43" s="174" t="s">
        <v>317</v>
      </c>
      <c r="CA43" s="174" t="s">
        <v>318</v>
      </c>
      <c r="CB43" s="174" t="s">
        <v>358</v>
      </c>
      <c r="CC43" s="174" t="s">
        <v>321</v>
      </c>
      <c r="CD43" s="173">
        <f>BT56</f>
        <v>0.47699999999999998</v>
      </c>
      <c r="CE43" s="174" t="s">
        <v>320</v>
      </c>
      <c r="CI43" s="81" t="s">
        <v>360</v>
      </c>
      <c r="CJ43" s="251">
        <f t="shared" si="0"/>
        <v>24347742</v>
      </c>
      <c r="CK43" s="251">
        <f t="shared" si="13"/>
        <v>248000</v>
      </c>
      <c r="CL43" s="251">
        <f t="shared" si="2"/>
        <v>25100000</v>
      </c>
      <c r="CO43" s="253" t="s">
        <v>429</v>
      </c>
      <c r="CP43" s="253" t="s">
        <v>405</v>
      </c>
      <c r="CQ43" s="254">
        <v>0.14699999999999999</v>
      </c>
      <c r="CR43" s="254">
        <v>9.3999999999999997E-4</v>
      </c>
      <c r="CS43" s="253">
        <v>156.41</v>
      </c>
      <c r="CT43" s="253" t="s">
        <v>387</v>
      </c>
      <c r="CU43" s="254">
        <v>2E-16</v>
      </c>
      <c r="CV43" s="81" t="s">
        <v>388</v>
      </c>
      <c r="CY43" s="256"/>
    </row>
    <row r="44" spans="1:105" ht="15" customHeight="1" thickTop="1" thickBot="1" x14ac:dyDescent="0.3">
      <c r="A44" s="81" t="s">
        <v>285</v>
      </c>
      <c r="C44" s="81">
        <v>0.7</v>
      </c>
      <c r="E44" s="79"/>
      <c r="K44" s="81"/>
      <c r="L44" s="81"/>
      <c r="M44" s="81"/>
      <c r="P44" s="81"/>
      <c r="Q44" s="81"/>
      <c r="W44" s="205"/>
      <c r="X44" s="206" t="s">
        <v>128</v>
      </c>
      <c r="Y44" s="206">
        <v>0.02</v>
      </c>
      <c r="Z44" s="206">
        <v>1.4</v>
      </c>
      <c r="AA44" s="206">
        <v>2100</v>
      </c>
      <c r="AB44" s="206">
        <v>840</v>
      </c>
      <c r="AC44" s="236">
        <f>Y44/Z44</f>
        <v>1.4285714285714287E-2</v>
      </c>
      <c r="AD44" s="237">
        <f>Y44*AA44*AB44</f>
        <v>35280</v>
      </c>
      <c r="AE44" s="14" t="s">
        <v>104</v>
      </c>
      <c r="AF44" s="14"/>
      <c r="AG44" s="14"/>
      <c r="AL44" s="159" t="s">
        <v>317</v>
      </c>
      <c r="AM44" s="81" t="s">
        <v>318</v>
      </c>
      <c r="AN44" s="81" t="s">
        <v>360</v>
      </c>
      <c r="AO44" s="81">
        <f>T26/2</f>
        <v>24347742</v>
      </c>
      <c r="AP44" s="81" t="s">
        <v>320</v>
      </c>
      <c r="AQ44" s="81" t="s">
        <v>361</v>
      </c>
      <c r="AU44" s="168" t="s">
        <v>317</v>
      </c>
      <c r="AV44" s="168" t="s">
        <v>318</v>
      </c>
      <c r="AW44" s="168" t="s">
        <v>360</v>
      </c>
      <c r="AX44" s="169" t="s">
        <v>321</v>
      </c>
      <c r="AY44" s="162">
        <f t="shared" si="41"/>
        <v>24347742</v>
      </c>
      <c r="AZ44" s="168" t="s">
        <v>320</v>
      </c>
      <c r="BL44" s="168" t="s">
        <v>317</v>
      </c>
      <c r="BM44" s="168" t="s">
        <v>318</v>
      </c>
      <c r="BN44" s="168" t="s">
        <v>360</v>
      </c>
      <c r="BO44" s="169" t="s">
        <v>321</v>
      </c>
      <c r="BP44" s="162">
        <f>BD84</f>
        <v>248000</v>
      </c>
      <c r="BQ44" s="168" t="s">
        <v>320</v>
      </c>
      <c r="BZ44" s="174" t="s">
        <v>317</v>
      </c>
      <c r="CA44" s="174" t="s">
        <v>318</v>
      </c>
      <c r="CB44" s="174" t="s">
        <v>360</v>
      </c>
      <c r="CC44" s="174" t="s">
        <v>321</v>
      </c>
      <c r="CD44" s="173">
        <f>BT88</f>
        <v>25100000</v>
      </c>
      <c r="CE44" s="174" t="s">
        <v>320</v>
      </c>
      <c r="CI44" s="81" t="s">
        <v>362</v>
      </c>
      <c r="CJ44" s="251">
        <f t="shared" si="0"/>
        <v>24347742</v>
      </c>
      <c r="CK44" s="251">
        <f t="shared" si="13"/>
        <v>6990000</v>
      </c>
      <c r="CL44" s="251">
        <f t="shared" si="2"/>
        <v>42200000</v>
      </c>
      <c r="CO44" s="253" t="s">
        <v>429</v>
      </c>
      <c r="CP44" s="253" t="s">
        <v>406</v>
      </c>
      <c r="CQ44" s="254">
        <v>0.73299999999999998</v>
      </c>
      <c r="CR44" s="254">
        <v>5.4799999999999996E-3</v>
      </c>
      <c r="CS44" s="253">
        <v>133.83000000000001</v>
      </c>
      <c r="CT44" s="253" t="s">
        <v>387</v>
      </c>
      <c r="CU44" s="254">
        <v>2E-16</v>
      </c>
      <c r="CV44" s="81" t="s">
        <v>388</v>
      </c>
      <c r="CW44" s="255" t="s">
        <v>460</v>
      </c>
      <c r="CX44" s="261" t="s">
        <v>482</v>
      </c>
      <c r="CY44" s="256" t="s">
        <v>321</v>
      </c>
      <c r="CZ44" s="257">
        <f>CQ69</f>
        <v>2.4900000000000001E-12</v>
      </c>
      <c r="DA44" s="255" t="s">
        <v>320</v>
      </c>
    </row>
    <row r="45" spans="1:105" ht="15" customHeight="1" thickTop="1" thickBot="1" x14ac:dyDescent="0.3">
      <c r="A45" s="81" t="s">
        <v>286</v>
      </c>
      <c r="C45" s="81">
        <f>0.8</f>
        <v>0.8</v>
      </c>
      <c r="E45" s="79"/>
      <c r="K45" s="81"/>
      <c r="L45" s="81"/>
      <c r="M45" s="81"/>
      <c r="P45" s="81"/>
      <c r="Q45" s="81"/>
      <c r="W45" s="182"/>
      <c r="X45" s="183" t="s">
        <v>129</v>
      </c>
      <c r="Y45" s="183">
        <v>0.08</v>
      </c>
      <c r="Z45" s="183">
        <v>0.6</v>
      </c>
      <c r="AA45" s="183">
        <v>1100</v>
      </c>
      <c r="AB45" s="183">
        <v>860</v>
      </c>
      <c r="AC45" s="233">
        <f>Y45/Z45</f>
        <v>0.13333333333333333</v>
      </c>
      <c r="AD45" s="184">
        <f>Y45*AA45*AB45</f>
        <v>75680</v>
      </c>
      <c r="AE45" s="14"/>
      <c r="AF45" s="14"/>
      <c r="AG45" s="14"/>
      <c r="AL45" s="159" t="s">
        <v>317</v>
      </c>
      <c r="AM45" s="81" t="s">
        <v>318</v>
      </c>
      <c r="AN45" s="81" t="s">
        <v>362</v>
      </c>
      <c r="AO45" s="81">
        <f>T26/2</f>
        <v>24347742</v>
      </c>
      <c r="AP45" s="81" t="s">
        <v>320</v>
      </c>
      <c r="AQ45" s="81" t="s">
        <v>363</v>
      </c>
      <c r="AU45" s="168" t="s">
        <v>317</v>
      </c>
      <c r="AV45" s="168" t="s">
        <v>318</v>
      </c>
      <c r="AW45" s="168" t="s">
        <v>362</v>
      </c>
      <c r="AX45" s="169" t="s">
        <v>321</v>
      </c>
      <c r="AY45" s="162">
        <f t="shared" si="41"/>
        <v>24347742</v>
      </c>
      <c r="AZ45" s="168" t="s">
        <v>320</v>
      </c>
      <c r="BL45" s="168" t="s">
        <v>317</v>
      </c>
      <c r="BM45" s="168" t="s">
        <v>318</v>
      </c>
      <c r="BN45" s="168" t="s">
        <v>362</v>
      </c>
      <c r="BO45" s="169" t="s">
        <v>321</v>
      </c>
      <c r="BP45" s="162">
        <f>BD85</f>
        <v>6990000</v>
      </c>
      <c r="BQ45" s="168" t="s">
        <v>320</v>
      </c>
      <c r="BZ45" s="174" t="s">
        <v>317</v>
      </c>
      <c r="CA45" s="174" t="s">
        <v>318</v>
      </c>
      <c r="CB45" s="174" t="s">
        <v>362</v>
      </c>
      <c r="CC45" s="174" t="s">
        <v>321</v>
      </c>
      <c r="CD45" s="173">
        <f>BT89</f>
        <v>42200000</v>
      </c>
      <c r="CE45" s="174" t="s">
        <v>320</v>
      </c>
      <c r="CI45" s="81" t="s">
        <v>364</v>
      </c>
      <c r="CJ45" s="249">
        <f t="shared" si="0"/>
        <v>8.7988938104675521E-2</v>
      </c>
      <c r="CK45" s="249">
        <f t="shared" si="13"/>
        <v>1.9E-2</v>
      </c>
      <c r="CL45" s="249">
        <f t="shared" si="2"/>
        <v>5.0099999999999999E-2</v>
      </c>
      <c r="CO45" s="253" t="s">
        <v>429</v>
      </c>
      <c r="CP45" s="253" t="s">
        <v>407</v>
      </c>
      <c r="CQ45" s="254">
        <v>6.1400000000000003E-2</v>
      </c>
      <c r="CR45" s="254">
        <v>3.2400000000000001E-4</v>
      </c>
      <c r="CS45" s="253">
        <v>189.39</v>
      </c>
      <c r="CT45" s="253" t="s">
        <v>387</v>
      </c>
      <c r="CU45" s="254">
        <v>2E-16</v>
      </c>
      <c r="CV45" s="81" t="s">
        <v>388</v>
      </c>
      <c r="CW45" s="255" t="s">
        <v>460</v>
      </c>
      <c r="CX45" s="261" t="s">
        <v>483</v>
      </c>
      <c r="CY45" s="256" t="s">
        <v>321</v>
      </c>
      <c r="CZ45" s="257">
        <f t="shared" ref="CZ45:CZ59" si="42">CQ70</f>
        <v>1.6E-11</v>
      </c>
      <c r="DA45" s="255" t="s">
        <v>320</v>
      </c>
    </row>
    <row r="46" spans="1:105" ht="15" customHeight="1" thickTop="1" thickBot="1" x14ac:dyDescent="0.3">
      <c r="K46" s="81"/>
      <c r="L46" s="81"/>
      <c r="M46" s="81"/>
      <c r="P46" s="81"/>
      <c r="Q46" s="81"/>
      <c r="W46" s="182"/>
      <c r="X46" s="183" t="s">
        <v>283</v>
      </c>
      <c r="Y46" s="286">
        <v>8.6999999999999994E-2</v>
      </c>
      <c r="Z46" s="183">
        <v>2.5000000000000001E-2</v>
      </c>
      <c r="AA46" s="183">
        <v>30</v>
      </c>
      <c r="AB46" s="183">
        <v>1470</v>
      </c>
      <c r="AC46" s="233">
        <f>Y46/Z46</f>
        <v>3.4799999999999995</v>
      </c>
      <c r="AD46" s="184">
        <f>Y46*AA46*AB46</f>
        <v>3836.7</v>
      </c>
      <c r="AE46" s="149" t="s">
        <v>284</v>
      </c>
      <c r="AF46" s="14"/>
      <c r="AG46" s="14"/>
      <c r="AL46" s="159" t="s">
        <v>317</v>
      </c>
      <c r="AM46" s="81" t="s">
        <v>318</v>
      </c>
      <c r="AN46" s="81" t="s">
        <v>364</v>
      </c>
      <c r="AO46" s="81">
        <f>AO42*0.3</f>
        <v>8.7988938104675521E-2</v>
      </c>
      <c r="AP46" s="81" t="s">
        <v>320</v>
      </c>
      <c r="AQ46" s="81" t="s">
        <v>365</v>
      </c>
      <c r="AU46" s="168" t="s">
        <v>317</v>
      </c>
      <c r="AV46" s="168" t="s">
        <v>318</v>
      </c>
      <c r="AW46" s="168" t="s">
        <v>364</v>
      </c>
      <c r="AX46" s="169" t="s">
        <v>321</v>
      </c>
      <c r="AY46" s="162">
        <f t="shared" si="41"/>
        <v>8.7988938104675521E-2</v>
      </c>
      <c r="AZ46" s="168" t="s">
        <v>320</v>
      </c>
      <c r="BC46" s="81" t="s">
        <v>380</v>
      </c>
      <c r="BD46" s="81" t="s">
        <v>381</v>
      </c>
      <c r="BE46" s="81" t="s">
        <v>382</v>
      </c>
      <c r="BF46" s="81" t="s">
        <v>383</v>
      </c>
      <c r="BG46" s="81" t="s">
        <v>384</v>
      </c>
      <c r="BH46" s="81" t="s">
        <v>385</v>
      </c>
      <c r="BL46" s="168" t="s">
        <v>317</v>
      </c>
      <c r="BM46" s="168" t="s">
        <v>318</v>
      </c>
      <c r="BN46" s="168" t="s">
        <v>364</v>
      </c>
      <c r="BO46" s="169" t="s">
        <v>321</v>
      </c>
      <c r="BP46" s="162">
        <f>BD30</f>
        <v>1.9E-2</v>
      </c>
      <c r="BQ46" s="168" t="s">
        <v>320</v>
      </c>
      <c r="BS46" s="81" t="s">
        <v>420</v>
      </c>
      <c r="BT46" s="81" t="s">
        <v>421</v>
      </c>
      <c r="BZ46" s="174" t="s">
        <v>317</v>
      </c>
      <c r="CA46" s="174" t="s">
        <v>318</v>
      </c>
      <c r="CB46" s="174" t="s">
        <v>364</v>
      </c>
      <c r="CC46" s="174" t="s">
        <v>321</v>
      </c>
      <c r="CD46" s="173">
        <f>BT30</f>
        <v>5.0099999999999999E-2</v>
      </c>
      <c r="CE46" s="174" t="s">
        <v>320</v>
      </c>
      <c r="CI46" s="81" t="s">
        <v>366</v>
      </c>
      <c r="CJ46" s="249">
        <f t="shared" si="0"/>
        <v>8.3554276303833358E-2</v>
      </c>
      <c r="CK46" s="249">
        <f t="shared" si="13"/>
        <v>0.184</v>
      </c>
      <c r="CL46" s="249">
        <f t="shared" si="2"/>
        <v>6.6400000000000002E-9</v>
      </c>
      <c r="CO46" s="253" t="s">
        <v>429</v>
      </c>
      <c r="CP46" s="253" t="s">
        <v>408</v>
      </c>
      <c r="CQ46" s="254">
        <v>5.0099999999999999E-2</v>
      </c>
      <c r="CR46" s="254">
        <v>2.4699999999999999E-4</v>
      </c>
      <c r="CS46" s="253">
        <v>202.31</v>
      </c>
      <c r="CT46" s="253" t="s">
        <v>387</v>
      </c>
      <c r="CU46" s="254">
        <v>2E-16</v>
      </c>
      <c r="CV46" s="81" t="s">
        <v>388</v>
      </c>
      <c r="CW46" s="255" t="s">
        <v>460</v>
      </c>
      <c r="CX46" s="261" t="s">
        <v>484</v>
      </c>
      <c r="CY46" s="256" t="s">
        <v>321</v>
      </c>
      <c r="CZ46" s="257">
        <f t="shared" si="42"/>
        <v>0.251</v>
      </c>
      <c r="DA46" s="255" t="s">
        <v>320</v>
      </c>
    </row>
    <row r="47" spans="1:105" ht="15" customHeight="1" thickTop="1" thickBot="1" x14ac:dyDescent="0.3">
      <c r="B47" s="153"/>
      <c r="K47" s="81"/>
      <c r="L47" s="81"/>
      <c r="M47" s="81"/>
      <c r="P47" s="81"/>
      <c r="Q47" s="81"/>
      <c r="W47" s="182"/>
      <c r="X47" s="183" t="s">
        <v>131</v>
      </c>
      <c r="Y47" s="183">
        <v>0.15</v>
      </c>
      <c r="Z47" s="183">
        <v>1.4</v>
      </c>
      <c r="AA47" s="183">
        <v>2100</v>
      </c>
      <c r="AB47" s="183">
        <v>840</v>
      </c>
      <c r="AC47" s="233">
        <f>Y47/Z47</f>
        <v>0.10714285714285715</v>
      </c>
      <c r="AD47" s="184">
        <f>Y47*AA47*AB47</f>
        <v>264600</v>
      </c>
      <c r="AE47" s="14"/>
      <c r="AF47" s="14"/>
      <c r="AG47" s="14"/>
      <c r="AL47" s="159" t="s">
        <v>317</v>
      </c>
      <c r="AM47" s="81" t="s">
        <v>318</v>
      </c>
      <c r="AN47" s="81" t="s">
        <v>366</v>
      </c>
      <c r="AO47" s="81">
        <f>AO43*0.3</f>
        <v>8.3554276303833358E-2</v>
      </c>
      <c r="AP47" s="81" t="s">
        <v>320</v>
      </c>
      <c r="AQ47" s="81" t="s">
        <v>367</v>
      </c>
      <c r="AU47" s="168" t="s">
        <v>317</v>
      </c>
      <c r="AV47" s="168" t="s">
        <v>318</v>
      </c>
      <c r="AW47" s="168" t="s">
        <v>366</v>
      </c>
      <c r="AX47" s="169" t="s">
        <v>321</v>
      </c>
      <c r="AY47" s="162">
        <f t="shared" si="41"/>
        <v>8.3554276303833358E-2</v>
      </c>
      <c r="AZ47" s="168" t="s">
        <v>320</v>
      </c>
      <c r="BC47" s="81" t="s">
        <v>386</v>
      </c>
      <c r="BD47" s="167">
        <v>288</v>
      </c>
      <c r="BE47" s="167">
        <v>2.2799999999999998</v>
      </c>
      <c r="BF47" s="81">
        <v>126.5</v>
      </c>
      <c r="BG47" s="81" t="s">
        <v>387</v>
      </c>
      <c r="BH47" s="167">
        <v>2E-16</v>
      </c>
      <c r="BI47" s="81" t="s">
        <v>388</v>
      </c>
      <c r="BL47" s="168" t="s">
        <v>317</v>
      </c>
      <c r="BM47" s="168" t="s">
        <v>318</v>
      </c>
      <c r="BN47" s="168" t="s">
        <v>366</v>
      </c>
      <c r="BO47" s="169" t="s">
        <v>321</v>
      </c>
      <c r="BP47" s="162">
        <f>BD66</f>
        <v>0.184</v>
      </c>
      <c r="BQ47" s="168" t="s">
        <v>320</v>
      </c>
      <c r="BS47" s="81" t="s">
        <v>379</v>
      </c>
      <c r="BZ47" s="174" t="s">
        <v>317</v>
      </c>
      <c r="CA47" s="174" t="s">
        <v>318</v>
      </c>
      <c r="CB47" s="174" t="s">
        <v>366</v>
      </c>
      <c r="CC47" s="174" t="s">
        <v>321</v>
      </c>
      <c r="CD47" s="173">
        <f>BT68</f>
        <v>6.6400000000000002E-9</v>
      </c>
      <c r="CE47" s="174" t="s">
        <v>320</v>
      </c>
      <c r="CI47" s="81" t="s">
        <v>368</v>
      </c>
      <c r="CJ47" s="252">
        <f t="shared" si="0"/>
        <v>251.03999999999996</v>
      </c>
      <c r="CK47" s="252">
        <f t="shared" si="13"/>
        <v>476</v>
      </c>
      <c r="CL47" s="252">
        <f t="shared" si="2"/>
        <v>246</v>
      </c>
      <c r="CO47" s="253" t="s">
        <v>429</v>
      </c>
      <c r="CP47" s="253" t="s">
        <v>409</v>
      </c>
      <c r="CQ47" s="254">
        <v>381</v>
      </c>
      <c r="CR47" s="254">
        <v>2.57</v>
      </c>
      <c r="CS47" s="253">
        <v>148.35</v>
      </c>
      <c r="CT47" s="253" t="s">
        <v>387</v>
      </c>
      <c r="CU47" s="254">
        <v>2E-16</v>
      </c>
      <c r="CV47" s="81" t="s">
        <v>388</v>
      </c>
      <c r="CW47" s="255" t="s">
        <v>460</v>
      </c>
      <c r="CX47" s="261" t="s">
        <v>485</v>
      </c>
      <c r="CY47" s="256" t="s">
        <v>321</v>
      </c>
      <c r="CZ47" s="257">
        <f t="shared" si="42"/>
        <v>0.91700000000000004</v>
      </c>
      <c r="DA47" s="255" t="s">
        <v>320</v>
      </c>
    </row>
    <row r="48" spans="1:105" ht="15" customHeight="1" thickTop="1" thickBot="1" x14ac:dyDescent="0.3">
      <c r="B48" s="153"/>
      <c r="K48" s="81"/>
      <c r="L48" s="81"/>
      <c r="M48" s="81"/>
      <c r="P48" s="81"/>
      <c r="Q48" s="81"/>
      <c r="W48" s="199"/>
      <c r="X48" s="181" t="s">
        <v>132</v>
      </c>
      <c r="Y48" s="181">
        <v>0</v>
      </c>
      <c r="Z48" s="181">
        <v>0.02</v>
      </c>
      <c r="AA48" s="181">
        <v>30</v>
      </c>
      <c r="AB48" s="181">
        <v>1470</v>
      </c>
      <c r="AC48" s="234">
        <f>Y48/Z48</f>
        <v>0</v>
      </c>
      <c r="AD48" s="204">
        <f>Y48*AA48*AB48</f>
        <v>0</v>
      </c>
      <c r="AE48" s="14"/>
      <c r="AF48" s="14"/>
      <c r="AG48" s="14"/>
      <c r="AL48" s="159" t="s">
        <v>317</v>
      </c>
      <c r="AM48" s="81" t="s">
        <v>318</v>
      </c>
      <c r="AN48" s="81" t="s">
        <v>368</v>
      </c>
      <c r="AO48" s="81">
        <f>Z27*4*N26</f>
        <v>251.03999999999996</v>
      </c>
      <c r="AP48" s="81" t="s">
        <v>320</v>
      </c>
      <c r="AQ48" s="81" t="s">
        <v>369</v>
      </c>
      <c r="AU48" s="168" t="s">
        <v>317</v>
      </c>
      <c r="AV48" s="168" t="s">
        <v>318</v>
      </c>
      <c r="AW48" s="168" t="s">
        <v>368</v>
      </c>
      <c r="AX48" s="169" t="s">
        <v>321</v>
      </c>
      <c r="AY48" s="162">
        <f t="shared" si="41"/>
        <v>251.03999999999996</v>
      </c>
      <c r="AZ48" s="168" t="s">
        <v>320</v>
      </c>
      <c r="BC48" s="81" t="s">
        <v>389</v>
      </c>
      <c r="BD48" s="167">
        <v>287</v>
      </c>
      <c r="BE48" s="167">
        <v>1.8</v>
      </c>
      <c r="BF48" s="81">
        <v>159.38999999999999</v>
      </c>
      <c r="BG48" s="81" t="s">
        <v>387</v>
      </c>
      <c r="BH48" s="167">
        <v>2E-16</v>
      </c>
      <c r="BI48" s="81" t="s">
        <v>388</v>
      </c>
      <c r="BL48" s="168" t="s">
        <v>317</v>
      </c>
      <c r="BM48" s="168" t="s">
        <v>318</v>
      </c>
      <c r="BN48" s="168" t="s">
        <v>368</v>
      </c>
      <c r="BO48" s="169" t="s">
        <v>321</v>
      </c>
      <c r="BP48" s="162">
        <f>BD92</f>
        <v>476</v>
      </c>
      <c r="BQ48" s="168" t="s">
        <v>320</v>
      </c>
      <c r="BS48" s="81" t="s">
        <v>380</v>
      </c>
      <c r="BT48" s="81" t="s">
        <v>381</v>
      </c>
      <c r="BU48" s="81" t="s">
        <v>382</v>
      </c>
      <c r="BV48" s="81" t="s">
        <v>383</v>
      </c>
      <c r="BW48" s="81" t="s">
        <v>384</v>
      </c>
      <c r="BX48" s="81" t="s">
        <v>385</v>
      </c>
      <c r="BZ48" s="174" t="s">
        <v>317</v>
      </c>
      <c r="CA48" s="174" t="s">
        <v>318</v>
      </c>
      <c r="CB48" s="174" t="s">
        <v>368</v>
      </c>
      <c r="CC48" s="174" t="s">
        <v>321</v>
      </c>
      <c r="CD48" s="173">
        <f>BT94</f>
        <v>246</v>
      </c>
      <c r="CE48" s="174" t="s">
        <v>320</v>
      </c>
      <c r="CI48" s="81" t="s">
        <v>370</v>
      </c>
      <c r="CJ48" s="252">
        <f t="shared" si="0"/>
        <v>125.51999999999998</v>
      </c>
      <c r="CK48" s="252">
        <f t="shared" si="13"/>
        <v>3410</v>
      </c>
      <c r="CL48" s="252">
        <f t="shared" si="2"/>
        <v>3.7399999999999998E-4</v>
      </c>
      <c r="CO48" s="253" t="s">
        <v>429</v>
      </c>
      <c r="CP48" s="253" t="s">
        <v>410</v>
      </c>
      <c r="CQ48" s="254">
        <v>174</v>
      </c>
      <c r="CR48" s="254">
        <v>1.1399999999999999</v>
      </c>
      <c r="CS48" s="253">
        <v>152.13</v>
      </c>
      <c r="CT48" s="253" t="s">
        <v>387</v>
      </c>
      <c r="CU48" s="254">
        <v>2E-16</v>
      </c>
      <c r="CV48" s="81" t="s">
        <v>388</v>
      </c>
      <c r="CW48" s="255" t="s">
        <v>460</v>
      </c>
      <c r="CX48" s="261" t="s">
        <v>486</v>
      </c>
      <c r="CY48" s="256" t="s">
        <v>321</v>
      </c>
      <c r="CZ48" s="257">
        <f t="shared" si="42"/>
        <v>0.41599999999999998</v>
      </c>
      <c r="DA48" s="255" t="s">
        <v>320</v>
      </c>
    </row>
    <row r="49" spans="2:105" ht="15" customHeight="1" thickTop="1" thickBot="1" x14ac:dyDescent="0.3">
      <c r="B49" s="153"/>
      <c r="K49" s="81"/>
      <c r="L49" s="81"/>
      <c r="M49" s="81"/>
      <c r="P49" s="81"/>
      <c r="Q49" s="81"/>
      <c r="W49" s="183"/>
      <c r="X49" s="183"/>
      <c r="Y49" s="183"/>
      <c r="Z49" s="183"/>
      <c r="AA49" s="183"/>
      <c r="AB49" s="183"/>
      <c r="AC49" s="233"/>
      <c r="AD49" s="183"/>
      <c r="AE49" s="14"/>
      <c r="AF49" s="14"/>
      <c r="AG49" s="14"/>
      <c r="AL49" s="159" t="s">
        <v>317</v>
      </c>
      <c r="AM49" s="81" t="s">
        <v>318</v>
      </c>
      <c r="AN49" s="81" t="s">
        <v>370</v>
      </c>
      <c r="AO49" s="81">
        <f>AO50/2</f>
        <v>125.51999999999998</v>
      </c>
      <c r="AP49" s="81" t="s">
        <v>320</v>
      </c>
      <c r="AQ49" s="81" t="s">
        <v>371</v>
      </c>
      <c r="AU49" s="168" t="s">
        <v>317</v>
      </c>
      <c r="AV49" s="168" t="s">
        <v>318</v>
      </c>
      <c r="AW49" s="168" t="s">
        <v>370</v>
      </c>
      <c r="AX49" s="169" t="s">
        <v>321</v>
      </c>
      <c r="AY49" s="162">
        <f t="shared" si="41"/>
        <v>125.51999999999998</v>
      </c>
      <c r="AZ49" s="168" t="s">
        <v>320</v>
      </c>
      <c r="BC49" s="81" t="s">
        <v>390</v>
      </c>
      <c r="BD49" s="167">
        <v>288</v>
      </c>
      <c r="BE49" s="167">
        <v>6.47</v>
      </c>
      <c r="BF49" s="81">
        <v>44.51</v>
      </c>
      <c r="BG49" s="81" t="s">
        <v>387</v>
      </c>
      <c r="BH49" s="167">
        <v>2E-16</v>
      </c>
      <c r="BI49" s="81" t="s">
        <v>388</v>
      </c>
      <c r="BL49" s="168" t="s">
        <v>317</v>
      </c>
      <c r="BM49" s="168" t="s">
        <v>318</v>
      </c>
      <c r="BN49" s="168" t="s">
        <v>370</v>
      </c>
      <c r="BO49" s="169" t="s">
        <v>321</v>
      </c>
      <c r="BP49" s="162">
        <f>BD93</f>
        <v>3410</v>
      </c>
      <c r="BQ49" s="168" t="s">
        <v>320</v>
      </c>
      <c r="BS49" s="81" t="s">
        <v>386</v>
      </c>
      <c r="BT49" s="167">
        <v>289</v>
      </c>
      <c r="BU49" s="167">
        <v>0.24299999999999999</v>
      </c>
      <c r="BV49" s="81">
        <v>1187.77</v>
      </c>
      <c r="BW49" s="81" t="s">
        <v>387</v>
      </c>
      <c r="BX49" s="167">
        <v>2E-16</v>
      </c>
      <c r="BY49" s="81" t="s">
        <v>388</v>
      </c>
      <c r="BZ49" s="174" t="s">
        <v>317</v>
      </c>
      <c r="CA49" s="174" t="s">
        <v>318</v>
      </c>
      <c r="CB49" s="174" t="s">
        <v>370</v>
      </c>
      <c r="CC49" s="174" t="s">
        <v>321</v>
      </c>
      <c r="CD49" s="173">
        <f t="shared" ref="CD49:CD50" si="43">BT95</f>
        <v>3.7399999999999998E-4</v>
      </c>
      <c r="CE49" s="174" t="s">
        <v>320</v>
      </c>
      <c r="CI49" s="81" t="s">
        <v>372</v>
      </c>
      <c r="CJ49" s="252">
        <f t="shared" si="0"/>
        <v>251.03999999999996</v>
      </c>
      <c r="CK49" s="252">
        <f t="shared" si="13"/>
        <v>989</v>
      </c>
      <c r="CL49" s="252">
        <f t="shared" si="2"/>
        <v>308</v>
      </c>
      <c r="CO49" s="253" t="s">
        <v>429</v>
      </c>
      <c r="CP49" s="253" t="s">
        <v>293</v>
      </c>
      <c r="CQ49" s="254">
        <v>516</v>
      </c>
      <c r="CR49" s="254">
        <v>3.29</v>
      </c>
      <c r="CS49" s="253">
        <v>156.82</v>
      </c>
      <c r="CT49" s="253" t="s">
        <v>387</v>
      </c>
      <c r="CU49" s="254">
        <v>2E-16</v>
      </c>
      <c r="CV49" s="81" t="s">
        <v>388</v>
      </c>
      <c r="CW49" s="255" t="s">
        <v>460</v>
      </c>
      <c r="CX49" s="261" t="s">
        <v>487</v>
      </c>
      <c r="CY49" s="256" t="s">
        <v>321</v>
      </c>
      <c r="CZ49" s="257">
        <f t="shared" si="42"/>
        <v>0.56999999999999995</v>
      </c>
      <c r="DA49" s="255" t="s">
        <v>320</v>
      </c>
    </row>
    <row r="50" spans="2:105" ht="15" customHeight="1" thickTop="1" thickBot="1" x14ac:dyDescent="0.3">
      <c r="K50" s="81"/>
      <c r="L50" s="81"/>
      <c r="M50" s="81"/>
      <c r="P50" s="81"/>
      <c r="Q50" s="81"/>
      <c r="W50" s="223"/>
      <c r="X50" s="223"/>
      <c r="Y50" s="239" t="s">
        <v>436</v>
      </c>
      <c r="Z50" s="239">
        <v>4</v>
      </c>
      <c r="AA50" s="239" t="s">
        <v>5</v>
      </c>
      <c r="AB50" s="223"/>
      <c r="AC50" s="223"/>
      <c r="AD50" s="223"/>
      <c r="AE50" s="14"/>
      <c r="AF50" s="14"/>
      <c r="AG50" s="14"/>
      <c r="AL50" s="159" t="s">
        <v>317</v>
      </c>
      <c r="AM50" s="81" t="s">
        <v>318</v>
      </c>
      <c r="AN50" s="81" t="s">
        <v>372</v>
      </c>
      <c r="AO50" s="81">
        <f>AO48</f>
        <v>251.03999999999996</v>
      </c>
      <c r="AP50" s="81" t="s">
        <v>320</v>
      </c>
      <c r="AQ50" s="81" t="s">
        <v>373</v>
      </c>
      <c r="AU50" s="168" t="s">
        <v>317</v>
      </c>
      <c r="AV50" s="168" t="s">
        <v>318</v>
      </c>
      <c r="AW50" s="168" t="s">
        <v>372</v>
      </c>
      <c r="AX50" s="169" t="s">
        <v>321</v>
      </c>
      <c r="AY50" s="162">
        <f t="shared" si="41"/>
        <v>251.03999999999996</v>
      </c>
      <c r="AZ50" s="168" t="s">
        <v>320</v>
      </c>
      <c r="BC50" s="81" t="s">
        <v>391</v>
      </c>
      <c r="BD50" s="167">
        <v>292</v>
      </c>
      <c r="BE50" s="167">
        <v>2.2999999999999998</v>
      </c>
      <c r="BF50" s="81">
        <v>126.59</v>
      </c>
      <c r="BG50" s="81" t="s">
        <v>387</v>
      </c>
      <c r="BH50" s="167">
        <v>2E-16</v>
      </c>
      <c r="BI50" s="81" t="s">
        <v>388</v>
      </c>
      <c r="BL50" s="168" t="s">
        <v>317</v>
      </c>
      <c r="BM50" s="168" t="s">
        <v>318</v>
      </c>
      <c r="BN50" s="168" t="s">
        <v>372</v>
      </c>
      <c r="BO50" s="169" t="s">
        <v>321</v>
      </c>
      <c r="BP50" s="162">
        <f>BD94</f>
        <v>989</v>
      </c>
      <c r="BQ50" s="168" t="s">
        <v>320</v>
      </c>
      <c r="BS50" s="81" t="s">
        <v>389</v>
      </c>
      <c r="BT50" s="167">
        <v>284</v>
      </c>
      <c r="BU50" s="167">
        <v>0.40899999999999997</v>
      </c>
      <c r="BV50" s="81">
        <v>695.07</v>
      </c>
      <c r="BW50" s="81" t="s">
        <v>387</v>
      </c>
      <c r="BX50" s="167">
        <v>2E-16</v>
      </c>
      <c r="BY50" s="81" t="s">
        <v>388</v>
      </c>
      <c r="BZ50" s="174" t="s">
        <v>317</v>
      </c>
      <c r="CA50" s="174" t="s">
        <v>318</v>
      </c>
      <c r="CB50" s="174" t="s">
        <v>372</v>
      </c>
      <c r="CC50" s="174" t="s">
        <v>321</v>
      </c>
      <c r="CD50" s="173">
        <f t="shared" si="43"/>
        <v>308</v>
      </c>
      <c r="CE50" s="174" t="s">
        <v>320</v>
      </c>
      <c r="CO50" s="253" t="s">
        <v>429</v>
      </c>
      <c r="CP50" s="253" t="s">
        <v>120</v>
      </c>
      <c r="CQ50" s="254">
        <v>254</v>
      </c>
      <c r="CR50" s="254">
        <v>2.98</v>
      </c>
      <c r="CS50" s="253">
        <v>85.35</v>
      </c>
      <c r="CT50" s="253" t="s">
        <v>387</v>
      </c>
      <c r="CU50" s="254">
        <v>2E-16</v>
      </c>
      <c r="CV50" s="81" t="s">
        <v>388</v>
      </c>
      <c r="CW50" s="255" t="s">
        <v>460</v>
      </c>
      <c r="CX50" s="261" t="s">
        <v>488</v>
      </c>
      <c r="CY50" s="256" t="s">
        <v>321</v>
      </c>
      <c r="CZ50" s="257">
        <f t="shared" si="42"/>
        <v>0.32</v>
      </c>
      <c r="DA50" s="255" t="s">
        <v>320</v>
      </c>
    </row>
    <row r="51" spans="2:105" ht="15" customHeight="1" thickTop="1" thickBot="1" x14ac:dyDescent="0.3">
      <c r="K51" s="81"/>
      <c r="L51" s="81"/>
      <c r="M51" s="81"/>
      <c r="P51" s="81"/>
      <c r="Q51" s="81"/>
      <c r="W51" s="240" t="s">
        <v>68</v>
      </c>
      <c r="X51" s="241"/>
      <c r="Y51" s="242" t="s">
        <v>21</v>
      </c>
      <c r="Z51" s="243">
        <v>4</v>
      </c>
      <c r="AA51" s="241" t="s">
        <v>5</v>
      </c>
      <c r="AB51" s="241"/>
      <c r="AC51" s="241" t="s">
        <v>22</v>
      </c>
      <c r="AD51" s="244">
        <f>0.04*550*1660</f>
        <v>36520</v>
      </c>
      <c r="AE51" s="14" t="s">
        <v>23</v>
      </c>
      <c r="AF51" s="14">
        <f>SUM(AD53:AD54)</f>
        <v>0</v>
      </c>
      <c r="AG51" s="14"/>
      <c r="BC51" s="81" t="s">
        <v>393</v>
      </c>
      <c r="BD51" s="167">
        <v>0.01</v>
      </c>
      <c r="BE51" s="167">
        <v>1.0200000000000001E-3</v>
      </c>
      <c r="BF51" s="81">
        <v>9.8000000000000007</v>
      </c>
      <c r="BG51" s="81" t="s">
        <v>387</v>
      </c>
      <c r="BH51" s="167">
        <v>2E-16</v>
      </c>
      <c r="BI51" s="81" t="s">
        <v>388</v>
      </c>
      <c r="BL51" s="161"/>
      <c r="BM51" s="161"/>
      <c r="BN51" s="161"/>
      <c r="BO51" s="161"/>
      <c r="BP51" s="162"/>
      <c r="BQ51" s="161"/>
      <c r="BS51" s="81" t="s">
        <v>390</v>
      </c>
      <c r="BT51" s="167">
        <v>290</v>
      </c>
      <c r="BU51" s="167">
        <v>8.72E-2</v>
      </c>
      <c r="BV51" s="81">
        <v>3328.46</v>
      </c>
      <c r="BW51" s="81" t="s">
        <v>387</v>
      </c>
      <c r="BX51" s="167">
        <v>2E-16</v>
      </c>
      <c r="BY51" s="81" t="s">
        <v>388</v>
      </c>
      <c r="CD51" s="173"/>
      <c r="CO51" s="253" t="s">
        <v>429</v>
      </c>
      <c r="CP51" s="253" t="s">
        <v>411</v>
      </c>
      <c r="CQ51" s="254">
        <v>-5.16</v>
      </c>
      <c r="CR51" s="254">
        <v>2.1899999999999999E-2</v>
      </c>
      <c r="CS51" s="253">
        <v>-235.07</v>
      </c>
      <c r="CT51" s="253" t="s">
        <v>387</v>
      </c>
      <c r="CU51" s="254">
        <v>2E-16</v>
      </c>
      <c r="CV51" s="81" t="s">
        <v>388</v>
      </c>
      <c r="CW51" s="255" t="s">
        <v>460</v>
      </c>
      <c r="CX51" s="261" t="s">
        <v>489</v>
      </c>
      <c r="CY51" s="256" t="s">
        <v>321</v>
      </c>
      <c r="CZ51" s="257">
        <f t="shared" si="42"/>
        <v>3.6400000000000002E-2</v>
      </c>
      <c r="DA51" s="255" t="s">
        <v>320</v>
      </c>
    </row>
    <row r="52" spans="2:105" thickTop="1" thickBot="1" x14ac:dyDescent="0.3">
      <c r="W52" s="245"/>
      <c r="X52" s="246" t="s">
        <v>16</v>
      </c>
      <c r="Y52" s="246">
        <v>4</v>
      </c>
      <c r="Z52" s="246" t="s">
        <v>5</v>
      </c>
      <c r="AA52" s="246"/>
      <c r="AB52" s="246" t="s">
        <v>311</v>
      </c>
      <c r="AC52" s="246">
        <f>0.11*(1/Z51-1/23-1/8)</f>
        <v>8.9673913043478264E-3</v>
      </c>
      <c r="AD52" s="247"/>
      <c r="AE52" s="14"/>
      <c r="AF52" s="14"/>
      <c r="BC52" s="81" t="s">
        <v>394</v>
      </c>
      <c r="BD52" s="167">
        <v>1.0200000000000001E-2</v>
      </c>
      <c r="BE52" s="167">
        <v>1.07E-3</v>
      </c>
      <c r="BF52" s="81">
        <v>9.57</v>
      </c>
      <c r="BG52" s="81" t="s">
        <v>387</v>
      </c>
      <c r="BH52" s="167">
        <v>2E-16</v>
      </c>
      <c r="BI52" s="81" t="s">
        <v>388</v>
      </c>
      <c r="BS52" s="81" t="s">
        <v>391</v>
      </c>
      <c r="BT52" s="167">
        <v>291</v>
      </c>
      <c r="BU52" s="167">
        <v>9.8900000000000002E-2</v>
      </c>
      <c r="BV52" s="81">
        <v>2945.6</v>
      </c>
      <c r="BW52" s="81" t="s">
        <v>387</v>
      </c>
      <c r="BX52" s="167">
        <v>2E-16</v>
      </c>
      <c r="BY52" s="81" t="s">
        <v>388</v>
      </c>
      <c r="CO52" s="253" t="s">
        <v>429</v>
      </c>
      <c r="CP52" s="253" t="s">
        <v>412</v>
      </c>
      <c r="CQ52" s="254">
        <v>-6.29</v>
      </c>
      <c r="CR52" s="254">
        <v>2.35E-2</v>
      </c>
      <c r="CS52" s="253">
        <v>-267.63</v>
      </c>
      <c r="CT52" s="253" t="s">
        <v>387</v>
      </c>
      <c r="CU52" s="254">
        <v>2E-16</v>
      </c>
      <c r="CV52" s="81" t="s">
        <v>388</v>
      </c>
      <c r="CW52" s="255" t="s">
        <v>460</v>
      </c>
      <c r="CX52" s="261" t="s">
        <v>490</v>
      </c>
      <c r="CY52" s="256" t="s">
        <v>321</v>
      </c>
      <c r="CZ52" s="257">
        <f t="shared" si="42"/>
        <v>7.1600000000000001E-6</v>
      </c>
      <c r="DA52" s="255" t="s">
        <v>320</v>
      </c>
    </row>
    <row r="53" spans="2:105" thickTop="1" thickBot="1" x14ac:dyDescent="0.3">
      <c r="BC53" s="81" t="s">
        <v>395</v>
      </c>
      <c r="BD53" s="167">
        <v>0.69799999999999995</v>
      </c>
      <c r="BE53" s="167">
        <v>0.156</v>
      </c>
      <c r="BF53" s="81">
        <v>4.47</v>
      </c>
      <c r="BG53" s="167">
        <v>8.1000000000000004E-6</v>
      </c>
      <c r="BH53" s="81" t="s">
        <v>388</v>
      </c>
      <c r="BS53" s="81" t="s">
        <v>393</v>
      </c>
      <c r="BT53" s="167">
        <v>0.27400000000000002</v>
      </c>
      <c r="BU53" s="167">
        <v>1.72E-2</v>
      </c>
      <c r="BV53" s="81">
        <v>15.95</v>
      </c>
      <c r="BW53" s="81" t="s">
        <v>387</v>
      </c>
      <c r="BX53" s="167">
        <v>2E-16</v>
      </c>
      <c r="BY53" s="81" t="s">
        <v>388</v>
      </c>
      <c r="CO53" s="253" t="s">
        <v>429</v>
      </c>
      <c r="CP53" s="253" t="s">
        <v>413</v>
      </c>
      <c r="CQ53" s="254">
        <v>-6.63</v>
      </c>
      <c r="CR53" s="254">
        <v>4.0300000000000002E-2</v>
      </c>
      <c r="CS53" s="253">
        <v>-164.68</v>
      </c>
      <c r="CT53" s="253" t="s">
        <v>387</v>
      </c>
      <c r="CU53" s="254">
        <v>2E-16</v>
      </c>
      <c r="CV53" s="81" t="s">
        <v>388</v>
      </c>
      <c r="CW53" s="255" t="s">
        <v>460</v>
      </c>
      <c r="CX53" s="261" t="s">
        <v>491</v>
      </c>
      <c r="CY53" s="256" t="s">
        <v>321</v>
      </c>
      <c r="CZ53" s="257">
        <f t="shared" si="42"/>
        <v>5.7599999999999998E-10</v>
      </c>
      <c r="DA53" s="255" t="s">
        <v>320</v>
      </c>
    </row>
    <row r="54" spans="2:105" thickTop="1" thickBot="1" x14ac:dyDescent="0.3">
      <c r="AN54" s="170" t="s">
        <v>374</v>
      </c>
      <c r="AO54" s="170">
        <f>SUM(AO42,AO4:AO7)</f>
        <v>1</v>
      </c>
      <c r="AP54" s="170"/>
      <c r="BC54" s="81" t="s">
        <v>396</v>
      </c>
      <c r="BD54" s="167">
        <v>9.7500000000000003E-2</v>
      </c>
      <c r="BE54" s="167">
        <v>9.8200000000000006E-3</v>
      </c>
      <c r="BF54" s="81">
        <v>9.93</v>
      </c>
      <c r="BG54" s="81" t="s">
        <v>387</v>
      </c>
      <c r="BH54" s="167">
        <v>2E-16</v>
      </c>
      <c r="BI54" s="81" t="s">
        <v>388</v>
      </c>
      <c r="BS54" s="81" t="s">
        <v>394</v>
      </c>
      <c r="BT54" s="167">
        <v>0.22700000000000001</v>
      </c>
      <c r="BU54" s="167">
        <v>4.6899999999999997E-3</v>
      </c>
      <c r="BV54" s="81">
        <v>48.5</v>
      </c>
      <c r="BW54" s="81" t="s">
        <v>387</v>
      </c>
      <c r="BX54" s="167">
        <v>2E-16</v>
      </c>
      <c r="BY54" s="81" t="s">
        <v>388</v>
      </c>
      <c r="CO54" s="253" t="s">
        <v>429</v>
      </c>
      <c r="CP54" s="253" t="s">
        <v>414</v>
      </c>
      <c r="CQ54" s="254">
        <v>-6.31</v>
      </c>
      <c r="CR54" s="254">
        <v>2.5399999999999999E-2</v>
      </c>
      <c r="CS54" s="253">
        <v>-248.63</v>
      </c>
      <c r="CT54" s="253" t="s">
        <v>387</v>
      </c>
      <c r="CU54" s="254">
        <v>2E-16</v>
      </c>
      <c r="CV54" s="81" t="s">
        <v>388</v>
      </c>
      <c r="CW54" s="255" t="s">
        <v>460</v>
      </c>
      <c r="CX54" s="261" t="s">
        <v>492</v>
      </c>
      <c r="CY54" s="256" t="s">
        <v>321</v>
      </c>
      <c r="CZ54" s="257">
        <f t="shared" si="42"/>
        <v>1.2099999999999999E-5</v>
      </c>
      <c r="DA54" s="255" t="s">
        <v>320</v>
      </c>
    </row>
    <row r="55" spans="2:105" thickTop="1" thickBot="1" x14ac:dyDescent="0.3">
      <c r="W55" s="271" t="s">
        <v>510</v>
      </c>
      <c r="X55" s="272"/>
      <c r="Y55" s="273" t="s">
        <v>21</v>
      </c>
      <c r="Z55" s="274">
        <f>(1/(1/8+SUM(AC57:AC59)+1/8))</f>
        <v>2.5352112676056335</v>
      </c>
      <c r="AA55" s="272" t="s">
        <v>5</v>
      </c>
      <c r="AB55" s="272"/>
      <c r="AC55" s="272" t="s">
        <v>22</v>
      </c>
      <c r="AD55" s="275">
        <f>SUM(AD54:AD54)</f>
        <v>0</v>
      </c>
      <c r="AE55" s="24"/>
      <c r="AN55" s="170" t="s">
        <v>374</v>
      </c>
      <c r="AO55" s="170">
        <f>SUM(AO43,AO26:AO28)</f>
        <v>0.99999999999999989</v>
      </c>
      <c r="AP55" s="170"/>
      <c r="BC55" s="81" t="s">
        <v>306</v>
      </c>
      <c r="BD55" s="167">
        <v>69800</v>
      </c>
      <c r="BE55" s="167">
        <v>108000</v>
      </c>
      <c r="BF55" s="81">
        <v>0.65</v>
      </c>
      <c r="BG55" s="81">
        <v>0.51685000000000003</v>
      </c>
      <c r="BS55" s="81" t="s">
        <v>395</v>
      </c>
      <c r="BT55" s="167">
        <v>7.7400000000000002E-7</v>
      </c>
      <c r="BU55" s="167">
        <v>4.1199999999999999E-5</v>
      </c>
      <c r="BV55" s="81">
        <v>0.02</v>
      </c>
      <c r="BW55" s="81">
        <v>0.98</v>
      </c>
      <c r="CO55" s="253" t="s">
        <v>429</v>
      </c>
      <c r="CP55" s="253" t="s">
        <v>415</v>
      </c>
      <c r="CQ55" s="254">
        <v>-6.26</v>
      </c>
      <c r="CR55" s="254">
        <v>2.47E-2</v>
      </c>
      <c r="CS55" s="253">
        <v>-253.93</v>
      </c>
      <c r="CT55" s="253" t="s">
        <v>387</v>
      </c>
      <c r="CU55" s="254">
        <v>2E-16</v>
      </c>
      <c r="CV55" s="81" t="s">
        <v>388</v>
      </c>
      <c r="CW55" s="255" t="s">
        <v>460</v>
      </c>
      <c r="CX55" s="261" t="s">
        <v>493</v>
      </c>
      <c r="CY55" s="256" t="s">
        <v>321</v>
      </c>
      <c r="CZ55" s="257">
        <f t="shared" si="42"/>
        <v>2.3700000000000001E-16</v>
      </c>
      <c r="DA55" s="255" t="s">
        <v>320</v>
      </c>
    </row>
    <row r="56" spans="2:105" thickTop="1" thickBot="1" x14ac:dyDescent="0.3">
      <c r="W56" s="276"/>
      <c r="X56" s="231" t="s">
        <v>27</v>
      </c>
      <c r="Y56" s="231" t="s">
        <v>28</v>
      </c>
      <c r="Z56" s="231" t="s">
        <v>29</v>
      </c>
      <c r="AA56" s="231" t="s">
        <v>30</v>
      </c>
      <c r="AB56" s="231" t="s">
        <v>31</v>
      </c>
      <c r="AC56" s="231" t="s">
        <v>32</v>
      </c>
      <c r="AD56" s="277" t="s">
        <v>33</v>
      </c>
      <c r="AE56" s="24"/>
      <c r="AN56" s="170" t="s">
        <v>375</v>
      </c>
      <c r="AO56" s="170">
        <f>SUM(AO46,AO14:AO17)</f>
        <v>0.99999999999999989</v>
      </c>
      <c r="AP56" s="170"/>
      <c r="BC56" s="81" t="s">
        <v>398</v>
      </c>
      <c r="BD56" s="167">
        <v>3800000</v>
      </c>
      <c r="BE56" s="167">
        <v>1390000</v>
      </c>
      <c r="BF56" s="81">
        <v>2.72</v>
      </c>
      <c r="BG56" s="81">
        <v>6.4799999999999996E-3</v>
      </c>
      <c r="BH56" s="81" t="s">
        <v>426</v>
      </c>
      <c r="BS56" s="81" t="s">
        <v>396</v>
      </c>
      <c r="BT56" s="167">
        <v>0.47699999999999998</v>
      </c>
      <c r="BU56" s="167">
        <v>9.8799999999999999E-3</v>
      </c>
      <c r="BV56" s="81">
        <v>48.23</v>
      </c>
      <c r="BW56" s="81" t="s">
        <v>387</v>
      </c>
      <c r="BX56" s="167">
        <v>2E-16</v>
      </c>
      <c r="BY56" s="81" t="s">
        <v>388</v>
      </c>
      <c r="CO56" s="253" t="s">
        <v>429</v>
      </c>
      <c r="CP56" s="253" t="s">
        <v>416</v>
      </c>
      <c r="CQ56" s="254">
        <v>1.3600000000000001E-3</v>
      </c>
      <c r="CR56" s="254">
        <v>2.1699999999999999E-5</v>
      </c>
      <c r="CS56" s="253">
        <v>62.73</v>
      </c>
      <c r="CT56" s="253" t="s">
        <v>387</v>
      </c>
      <c r="CU56" s="254">
        <v>2E-16</v>
      </c>
      <c r="CV56" s="81" t="s">
        <v>388</v>
      </c>
      <c r="CW56" s="255" t="s">
        <v>460</v>
      </c>
      <c r="CX56" s="261" t="s">
        <v>494</v>
      </c>
      <c r="CY56" s="256" t="s">
        <v>321</v>
      </c>
      <c r="CZ56" s="257">
        <f t="shared" si="42"/>
        <v>0.85399999999999998</v>
      </c>
      <c r="DA56" s="255" t="s">
        <v>320</v>
      </c>
    </row>
    <row r="57" spans="2:105" thickTop="1" thickBot="1" x14ac:dyDescent="0.3">
      <c r="W57" s="278"/>
      <c r="X57" s="183" t="s">
        <v>90</v>
      </c>
      <c r="Y57" s="183">
        <v>0.02</v>
      </c>
      <c r="Z57" s="183">
        <v>0.6</v>
      </c>
      <c r="AA57" s="183">
        <v>975</v>
      </c>
      <c r="AB57" s="183">
        <v>840</v>
      </c>
      <c r="AC57" s="233">
        <f>Y57/Z57</f>
        <v>3.3333333333333333E-2</v>
      </c>
      <c r="AD57" s="279">
        <f>Y57*AA57*AB57</f>
        <v>16380</v>
      </c>
      <c r="AN57" s="170" t="s">
        <v>375</v>
      </c>
      <c r="AO57" s="170">
        <f>SUM(AO47,AO33:AO35)</f>
        <v>0.99999999999999989</v>
      </c>
      <c r="AP57" s="170"/>
      <c r="BC57" s="81" t="s">
        <v>299</v>
      </c>
      <c r="BD57" s="167">
        <v>78400000</v>
      </c>
      <c r="BE57" s="167">
        <v>49600000</v>
      </c>
      <c r="BF57" s="81">
        <v>1.58</v>
      </c>
      <c r="BG57" s="81">
        <v>0.11389000000000001</v>
      </c>
      <c r="BS57" s="81" t="s">
        <v>306</v>
      </c>
      <c r="BT57" s="167">
        <v>995000000</v>
      </c>
      <c r="BU57" s="167">
        <v>24600000</v>
      </c>
      <c r="BV57" s="81">
        <v>40.5</v>
      </c>
      <c r="BW57" s="81" t="s">
        <v>387</v>
      </c>
      <c r="BX57" s="167">
        <v>2E-16</v>
      </c>
      <c r="BY57" s="81" t="s">
        <v>388</v>
      </c>
      <c r="CO57" s="253" t="s">
        <v>429</v>
      </c>
      <c r="CP57" s="253" t="s">
        <v>417</v>
      </c>
      <c r="CQ57" s="254">
        <v>134</v>
      </c>
      <c r="CR57" s="254">
        <v>0.86899999999999999</v>
      </c>
      <c r="CS57" s="253">
        <v>154.47</v>
      </c>
      <c r="CT57" s="253" t="s">
        <v>387</v>
      </c>
      <c r="CU57" s="254">
        <v>2E-16</v>
      </c>
      <c r="CV57" s="81" t="s">
        <v>388</v>
      </c>
      <c r="CW57" s="255" t="s">
        <v>460</v>
      </c>
      <c r="CX57" s="261" t="s">
        <v>495</v>
      </c>
      <c r="CY57" s="256" t="s">
        <v>321</v>
      </c>
      <c r="CZ57" s="257">
        <f t="shared" si="42"/>
        <v>1.94</v>
      </c>
      <c r="DA57" s="255" t="s">
        <v>320</v>
      </c>
    </row>
    <row r="58" spans="2:105" thickTop="1" thickBot="1" x14ac:dyDescent="0.3">
      <c r="W58" s="278"/>
      <c r="X58" s="183" t="s">
        <v>376</v>
      </c>
      <c r="Y58" s="183">
        <v>0.1</v>
      </c>
      <c r="Z58" s="183">
        <v>0.9</v>
      </c>
      <c r="AA58" s="183">
        <v>1850</v>
      </c>
      <c r="AB58" s="183">
        <v>840</v>
      </c>
      <c r="AC58" s="233">
        <f>Y58/Z58</f>
        <v>0.11111111111111112</v>
      </c>
      <c r="AD58" s="279">
        <f>Y58*AA58*AB58</f>
        <v>155400</v>
      </c>
      <c r="BC58" s="81" t="s">
        <v>301</v>
      </c>
      <c r="BD58" s="167">
        <v>12500000</v>
      </c>
      <c r="BE58" s="167">
        <v>17900000</v>
      </c>
      <c r="BF58" s="81">
        <v>0.7</v>
      </c>
      <c r="BG58" s="81">
        <v>0.48460999999999999</v>
      </c>
      <c r="BS58" s="81" t="s">
        <v>398</v>
      </c>
      <c r="BT58" s="167">
        <v>721000</v>
      </c>
      <c r="BU58" s="167">
        <v>21100</v>
      </c>
      <c r="BV58" s="81">
        <v>34.119999999999997</v>
      </c>
      <c r="BW58" s="81" t="s">
        <v>387</v>
      </c>
      <c r="BX58" s="167">
        <v>2E-16</v>
      </c>
      <c r="BY58" s="81" t="s">
        <v>388</v>
      </c>
      <c r="CO58" s="253" t="s">
        <v>429</v>
      </c>
      <c r="CP58" s="253" t="s">
        <v>418</v>
      </c>
      <c r="CQ58" s="254">
        <v>4520</v>
      </c>
      <c r="CR58" s="254">
        <v>1820</v>
      </c>
      <c r="CS58" s="253">
        <v>2.4900000000000002</v>
      </c>
      <c r="CT58" s="253">
        <v>1.2999999999999999E-2</v>
      </c>
      <c r="CU58" s="253" t="s">
        <v>432</v>
      </c>
      <c r="CW58" s="255" t="s">
        <v>460</v>
      </c>
      <c r="CX58" s="261" t="s">
        <v>496</v>
      </c>
      <c r="CY58" s="256" t="s">
        <v>321</v>
      </c>
      <c r="CZ58" s="257">
        <f t="shared" si="42"/>
        <v>0.65800000000000003</v>
      </c>
      <c r="DA58" s="255" t="s">
        <v>320</v>
      </c>
    </row>
    <row r="59" spans="2:105" thickTop="1" thickBot="1" x14ac:dyDescent="0.3">
      <c r="W59" s="280"/>
      <c r="X59" s="281" t="s">
        <v>272</v>
      </c>
      <c r="Y59" s="282">
        <v>0</v>
      </c>
      <c r="Z59" s="282">
        <v>3.5999999999999997E-2</v>
      </c>
      <c r="AA59" s="282">
        <v>26</v>
      </c>
      <c r="AB59" s="282">
        <v>1470</v>
      </c>
      <c r="AC59" s="283">
        <f>Y59/Z59</f>
        <v>0</v>
      </c>
      <c r="AD59" s="284">
        <f>Y59*AA59*AB59</f>
        <v>0</v>
      </c>
      <c r="BC59" s="81" t="s">
        <v>399</v>
      </c>
      <c r="BD59" s="167">
        <v>-13.2</v>
      </c>
      <c r="BE59" s="167">
        <v>3.9</v>
      </c>
      <c r="BF59" s="81">
        <v>-3.38</v>
      </c>
      <c r="BG59" s="81">
        <v>7.3999999999999999E-4</v>
      </c>
      <c r="BH59" s="81" t="s">
        <v>388</v>
      </c>
      <c r="BS59" s="81" t="s">
        <v>299</v>
      </c>
      <c r="BT59" s="167">
        <v>37600000</v>
      </c>
      <c r="BU59" s="167">
        <v>8090000</v>
      </c>
      <c r="BV59" s="81">
        <v>4.6500000000000004</v>
      </c>
      <c r="BW59" s="167">
        <v>3.4999999999999999E-6</v>
      </c>
      <c r="BX59" s="81" t="s">
        <v>388</v>
      </c>
      <c r="CO59" s="253" t="s">
        <v>429</v>
      </c>
      <c r="CP59" s="253" t="s">
        <v>419</v>
      </c>
      <c r="CQ59" s="254">
        <v>254</v>
      </c>
      <c r="CR59" s="254">
        <v>250</v>
      </c>
      <c r="CS59" s="253">
        <v>1.01</v>
      </c>
      <c r="CT59" s="253">
        <v>0.31</v>
      </c>
      <c r="CW59" s="255" t="s">
        <v>460</v>
      </c>
      <c r="CX59" s="261" t="s">
        <v>497</v>
      </c>
      <c r="CY59" s="256" t="s">
        <v>321</v>
      </c>
      <c r="CZ59" s="257">
        <f t="shared" si="42"/>
        <v>2.4400000000000001E-12</v>
      </c>
      <c r="DA59" s="255" t="s">
        <v>320</v>
      </c>
    </row>
    <row r="60" spans="2:105" thickTop="1" thickBot="1" x14ac:dyDescent="0.3">
      <c r="BC60" s="81" t="s">
        <v>400</v>
      </c>
      <c r="BD60" s="167">
        <v>-1</v>
      </c>
      <c r="BE60" s="167">
        <v>0.91300000000000003</v>
      </c>
      <c r="BF60" s="81">
        <v>-1.1000000000000001</v>
      </c>
      <c r="BG60" s="81">
        <v>0.27290999999999999</v>
      </c>
      <c r="BS60" s="81" t="s">
        <v>301</v>
      </c>
      <c r="BT60" s="167">
        <v>6950000</v>
      </c>
      <c r="BU60" s="167">
        <v>225000</v>
      </c>
      <c r="BV60" s="81">
        <v>30.92</v>
      </c>
      <c r="BW60" s="81" t="s">
        <v>387</v>
      </c>
      <c r="BX60" s="167">
        <v>2E-16</v>
      </c>
      <c r="BY60" s="81" t="s">
        <v>388</v>
      </c>
      <c r="CX60" s="261"/>
      <c r="CY60" s="256"/>
      <c r="CZ60" s="257"/>
    </row>
    <row r="61" spans="2:105" thickTop="1" thickBot="1" x14ac:dyDescent="0.3">
      <c r="BC61" s="81" t="s">
        <v>401</v>
      </c>
      <c r="BD61" s="167">
        <v>-1.02</v>
      </c>
      <c r="BE61" s="167">
        <v>0.91400000000000003</v>
      </c>
      <c r="BF61" s="81">
        <v>-1.1100000000000001</v>
      </c>
      <c r="BG61" s="81">
        <v>0.26651000000000002</v>
      </c>
      <c r="BS61" s="81" t="s">
        <v>399</v>
      </c>
      <c r="BT61" s="167">
        <v>-1.61</v>
      </c>
      <c r="BU61" s="167">
        <v>4.7199999999999999E-2</v>
      </c>
      <c r="BV61" s="81">
        <v>-34.119999999999997</v>
      </c>
      <c r="BW61" s="81" t="s">
        <v>387</v>
      </c>
      <c r="BX61" s="167">
        <v>2E-16</v>
      </c>
      <c r="BY61" s="81" t="s">
        <v>388</v>
      </c>
      <c r="CW61" s="255" t="s">
        <v>460</v>
      </c>
      <c r="CX61" s="261" t="s">
        <v>342</v>
      </c>
      <c r="CY61" s="256" t="s">
        <v>321</v>
      </c>
      <c r="CZ61" s="257">
        <f>CQ86</f>
        <v>708000</v>
      </c>
      <c r="DA61" s="255" t="s">
        <v>320</v>
      </c>
    </row>
    <row r="62" spans="2:105" thickTop="1" thickBot="1" x14ac:dyDescent="0.3">
      <c r="BC62" s="81" t="s">
        <v>402</v>
      </c>
      <c r="BD62" s="167">
        <v>-1</v>
      </c>
      <c r="BE62" s="167">
        <v>0.91300000000000003</v>
      </c>
      <c r="BF62" s="81">
        <v>-1.0900000000000001</v>
      </c>
      <c r="BG62" s="81">
        <v>0.27359</v>
      </c>
      <c r="BS62" s="81" t="s">
        <v>400</v>
      </c>
      <c r="BT62" s="167">
        <v>-3.82</v>
      </c>
      <c r="BU62" s="167">
        <v>0.53100000000000003</v>
      </c>
      <c r="BV62" s="81">
        <v>-7.19</v>
      </c>
      <c r="BW62" s="167">
        <v>7.3999999999999998E-13</v>
      </c>
      <c r="BX62" s="81" t="s">
        <v>388</v>
      </c>
      <c r="CO62" s="253" t="s">
        <v>429</v>
      </c>
      <c r="CP62" s="253" t="s">
        <v>420</v>
      </c>
      <c r="CQ62" s="253" t="s">
        <v>458</v>
      </c>
      <c r="CW62" s="255" t="s">
        <v>460</v>
      </c>
      <c r="CX62" s="261" t="s">
        <v>343</v>
      </c>
      <c r="CY62" s="256" t="s">
        <v>321</v>
      </c>
      <c r="CZ62" s="257">
        <f t="shared" ref="CZ62:CZ63" si="44">CQ87</f>
        <v>31600000</v>
      </c>
      <c r="DA62" s="255" t="s">
        <v>320</v>
      </c>
    </row>
    <row r="63" spans="2:105" thickTop="1" thickBot="1" x14ac:dyDescent="0.3">
      <c r="BC63" s="81" t="s">
        <v>404</v>
      </c>
      <c r="BD63" s="167">
        <v>1.6E-2</v>
      </c>
      <c r="BE63" s="167">
        <v>6.1700000000000001E-3</v>
      </c>
      <c r="BF63" s="81">
        <v>2.6</v>
      </c>
      <c r="BG63" s="81">
        <v>9.41E-3</v>
      </c>
      <c r="BH63" s="81" t="s">
        <v>426</v>
      </c>
      <c r="BS63" s="81" t="s">
        <v>401</v>
      </c>
      <c r="BT63" s="167">
        <v>-40.799999999999997</v>
      </c>
      <c r="BU63" s="167">
        <v>86.2</v>
      </c>
      <c r="BV63" s="81">
        <v>-0.47</v>
      </c>
      <c r="BW63" s="81">
        <v>0.64</v>
      </c>
      <c r="CO63" s="253" t="s">
        <v>429</v>
      </c>
      <c r="CP63" s="253" t="s">
        <v>379</v>
      </c>
      <c r="CW63" s="255" t="s">
        <v>460</v>
      </c>
      <c r="CX63" s="261" t="s">
        <v>344</v>
      </c>
      <c r="CY63" s="256" t="s">
        <v>321</v>
      </c>
      <c r="CZ63" s="257">
        <f t="shared" si="44"/>
        <v>6440000</v>
      </c>
      <c r="DA63" s="255" t="s">
        <v>320</v>
      </c>
    </row>
    <row r="64" spans="2:105" thickTop="1" thickBot="1" x14ac:dyDescent="0.3">
      <c r="BC64" s="81" t="s">
        <v>405</v>
      </c>
      <c r="BD64" s="167">
        <v>4.2999999999999997E-2</v>
      </c>
      <c r="BE64" s="167">
        <v>6.2700000000000006E-2</v>
      </c>
      <c r="BF64" s="81">
        <v>0.69</v>
      </c>
      <c r="BG64" s="81">
        <v>0.49241000000000001</v>
      </c>
      <c r="BS64" s="81" t="s">
        <v>402</v>
      </c>
      <c r="BT64" s="167">
        <v>-41.3</v>
      </c>
      <c r="BU64" s="167">
        <v>96.2</v>
      </c>
      <c r="BV64" s="81">
        <v>-0.43</v>
      </c>
      <c r="BW64" s="81">
        <v>0.67</v>
      </c>
      <c r="CO64" s="253" t="s">
        <v>429</v>
      </c>
      <c r="CP64" s="253" t="s">
        <v>380</v>
      </c>
      <c r="CQ64" s="253" t="s">
        <v>381</v>
      </c>
      <c r="CR64" s="253" t="s">
        <v>382</v>
      </c>
      <c r="CS64" s="253" t="s">
        <v>383</v>
      </c>
      <c r="CT64" s="253" t="s">
        <v>384</v>
      </c>
      <c r="CU64" s="253" t="s">
        <v>385</v>
      </c>
      <c r="CY64" s="256"/>
    </row>
    <row r="65" spans="54:105" thickTop="1" thickBot="1" x14ac:dyDescent="0.3">
      <c r="BC65" s="81" t="s">
        <v>406</v>
      </c>
      <c r="BD65" s="167">
        <v>0.73</v>
      </c>
      <c r="BE65" s="167">
        <v>3.09E-2</v>
      </c>
      <c r="BF65" s="81">
        <v>23.6</v>
      </c>
      <c r="BG65" s="81" t="s">
        <v>387</v>
      </c>
      <c r="BH65" s="167">
        <v>2E-16</v>
      </c>
      <c r="BI65" s="81" t="s">
        <v>388</v>
      </c>
      <c r="BS65" s="81" t="s">
        <v>404</v>
      </c>
      <c r="BT65" s="167">
        <v>9.9500000000000005E-2</v>
      </c>
      <c r="BU65" s="167">
        <v>6.43E-3</v>
      </c>
      <c r="BV65" s="81">
        <v>15.47</v>
      </c>
      <c r="BW65" s="81" t="s">
        <v>387</v>
      </c>
      <c r="BX65" s="167">
        <v>2E-16</v>
      </c>
      <c r="BY65" s="81" t="s">
        <v>388</v>
      </c>
      <c r="CO65" s="253" t="s">
        <v>429</v>
      </c>
      <c r="CP65" s="253" t="s">
        <v>386</v>
      </c>
      <c r="CQ65" s="254">
        <v>289</v>
      </c>
      <c r="CR65" s="254">
        <v>0.21299999999999999</v>
      </c>
      <c r="CS65" s="253">
        <v>1357.3</v>
      </c>
      <c r="CT65" s="253" t="s">
        <v>387</v>
      </c>
      <c r="CU65" s="254">
        <v>2E-16</v>
      </c>
      <c r="CV65" s="81" t="s">
        <v>388</v>
      </c>
      <c r="CW65" s="255" t="s">
        <v>460</v>
      </c>
      <c r="CX65" s="261" t="s">
        <v>345</v>
      </c>
      <c r="CY65" s="256" t="s">
        <v>321</v>
      </c>
      <c r="CZ65" s="257">
        <f>CQ93</f>
        <v>9.4299999999999995E-2</v>
      </c>
      <c r="DA65" s="255" t="s">
        <v>320</v>
      </c>
    </row>
    <row r="66" spans="54:105" thickTop="1" thickBot="1" x14ac:dyDescent="0.3">
      <c r="BC66" s="81" t="s">
        <v>407</v>
      </c>
      <c r="BD66" s="167">
        <v>0.184</v>
      </c>
      <c r="BE66" s="167">
        <v>5.0500000000000003E-2</v>
      </c>
      <c r="BF66" s="81">
        <v>3.64</v>
      </c>
      <c r="BG66" s="81">
        <v>2.7E-4</v>
      </c>
      <c r="BH66" s="81" t="s">
        <v>388</v>
      </c>
      <c r="BS66" s="81" t="s">
        <v>405</v>
      </c>
      <c r="BT66" s="167">
        <v>7.8100000000000001E-3</v>
      </c>
      <c r="BU66" s="167">
        <v>2.9500000000000001E-4</v>
      </c>
      <c r="BV66" s="81">
        <v>26.43</v>
      </c>
      <c r="BW66" s="81" t="s">
        <v>387</v>
      </c>
      <c r="BX66" s="167">
        <v>2E-16</v>
      </c>
      <c r="BY66" s="81" t="s">
        <v>388</v>
      </c>
      <c r="CO66" s="253" t="s">
        <v>429</v>
      </c>
      <c r="CP66" s="253" t="s">
        <v>389</v>
      </c>
      <c r="CQ66" s="254">
        <v>284</v>
      </c>
      <c r="CR66" s="254">
        <v>0.33200000000000002</v>
      </c>
      <c r="CS66" s="253">
        <v>856.05</v>
      </c>
      <c r="CT66" s="253" t="s">
        <v>387</v>
      </c>
      <c r="CU66" s="254">
        <v>2E-16</v>
      </c>
      <c r="CV66" s="81" t="s">
        <v>388</v>
      </c>
      <c r="CW66" s="255" t="s">
        <v>460</v>
      </c>
      <c r="CX66" s="261" t="s">
        <v>346</v>
      </c>
      <c r="CY66" s="256" t="s">
        <v>321</v>
      </c>
      <c r="CZ66" s="257">
        <f t="shared" ref="CZ66:CZ68" si="45">CQ94</f>
        <v>7.45E-3</v>
      </c>
      <c r="DA66" s="255" t="s">
        <v>320</v>
      </c>
    </row>
    <row r="67" spans="54:105" thickTop="1" thickBot="1" x14ac:dyDescent="0.3">
      <c r="BC67" s="81" t="s">
        <v>409</v>
      </c>
      <c r="BD67" s="167">
        <v>1350</v>
      </c>
      <c r="BE67" s="167">
        <v>248</v>
      </c>
      <c r="BF67" s="81">
        <v>5.42</v>
      </c>
      <c r="BG67" s="167">
        <v>6.1000000000000004E-8</v>
      </c>
      <c r="BH67" s="81" t="s">
        <v>388</v>
      </c>
      <c r="BS67" s="81" t="s">
        <v>406</v>
      </c>
      <c r="BT67" s="167">
        <v>0.69199999999999995</v>
      </c>
      <c r="BU67" s="167">
        <v>6.7400000000000003E-3</v>
      </c>
      <c r="BV67" s="81">
        <v>102.62</v>
      </c>
      <c r="BW67" s="81" t="s">
        <v>387</v>
      </c>
      <c r="BX67" s="167">
        <v>2E-16</v>
      </c>
      <c r="BY67" s="81" t="s">
        <v>388</v>
      </c>
      <c r="CO67" s="253" t="s">
        <v>429</v>
      </c>
      <c r="CP67" s="253" t="s">
        <v>390</v>
      </c>
      <c r="CQ67" s="254">
        <v>290</v>
      </c>
      <c r="CR67" s="254">
        <v>8.3699999999999997E-2</v>
      </c>
      <c r="CS67" s="253">
        <v>3467.87</v>
      </c>
      <c r="CT67" s="253" t="s">
        <v>387</v>
      </c>
      <c r="CU67" s="254">
        <v>2E-16</v>
      </c>
      <c r="CV67" s="81" t="s">
        <v>388</v>
      </c>
      <c r="CW67" s="255" t="s">
        <v>460</v>
      </c>
      <c r="CX67" s="261" t="s">
        <v>348</v>
      </c>
      <c r="CY67" s="256" t="s">
        <v>321</v>
      </c>
      <c r="CZ67" s="257">
        <f t="shared" si="45"/>
        <v>0.69499999999999995</v>
      </c>
      <c r="DA67" s="255" t="s">
        <v>320</v>
      </c>
    </row>
    <row r="68" spans="54:105" thickTop="1" thickBot="1" x14ac:dyDescent="0.3">
      <c r="BC68" s="81" t="s">
        <v>293</v>
      </c>
      <c r="BD68" s="167">
        <v>372</v>
      </c>
      <c r="BE68" s="167">
        <v>148</v>
      </c>
      <c r="BF68" s="81">
        <v>2.5099999999999998</v>
      </c>
      <c r="BG68" s="81">
        <v>1.21E-2</v>
      </c>
      <c r="BH68" s="81" t="s">
        <v>432</v>
      </c>
      <c r="BS68" s="81" t="s">
        <v>407</v>
      </c>
      <c r="BT68" s="167">
        <v>6.6400000000000002E-9</v>
      </c>
      <c r="BU68" s="167">
        <v>3.2899999999999999E-7</v>
      </c>
      <c r="BV68" s="81">
        <v>0.02</v>
      </c>
      <c r="BW68" s="81">
        <v>0.98</v>
      </c>
      <c r="CO68" s="253" t="s">
        <v>429</v>
      </c>
      <c r="CP68" s="253" t="s">
        <v>391</v>
      </c>
      <c r="CQ68" s="254">
        <v>291</v>
      </c>
      <c r="CR68" s="254">
        <v>9.0200000000000002E-2</v>
      </c>
      <c r="CS68" s="253">
        <v>3230.43</v>
      </c>
      <c r="CT68" s="253" t="s">
        <v>387</v>
      </c>
      <c r="CU68" s="254">
        <v>2E-16</v>
      </c>
      <c r="CV68" s="81" t="s">
        <v>388</v>
      </c>
      <c r="CW68" s="255" t="s">
        <v>460</v>
      </c>
      <c r="CX68" s="261" t="s">
        <v>435</v>
      </c>
      <c r="CY68" s="256" t="s">
        <v>321</v>
      </c>
      <c r="CZ68" s="257">
        <f t="shared" si="45"/>
        <v>5.01E-11</v>
      </c>
      <c r="DA68" s="255" t="s">
        <v>320</v>
      </c>
    </row>
    <row r="69" spans="54:105" thickTop="1" thickBot="1" x14ac:dyDescent="0.3">
      <c r="BC69" s="81" t="s">
        <v>120</v>
      </c>
      <c r="BD69" s="167">
        <v>31.9</v>
      </c>
      <c r="BE69" s="167">
        <v>23.8</v>
      </c>
      <c r="BF69" s="81">
        <v>1.34</v>
      </c>
      <c r="BG69" s="81">
        <v>0.18071999999999999</v>
      </c>
      <c r="BS69" s="81" t="s">
        <v>409</v>
      </c>
      <c r="BT69" s="167">
        <v>459</v>
      </c>
      <c r="BU69" s="167">
        <v>19.3</v>
      </c>
      <c r="BV69" s="81">
        <v>23.82</v>
      </c>
      <c r="BW69" s="81" t="s">
        <v>387</v>
      </c>
      <c r="BX69" s="167">
        <v>2E-16</v>
      </c>
      <c r="BY69" s="81" t="s">
        <v>388</v>
      </c>
      <c r="CO69" s="253" t="s">
        <v>429</v>
      </c>
      <c r="CP69" s="253" t="s">
        <v>442</v>
      </c>
      <c r="CQ69" s="254">
        <v>2.4900000000000001E-12</v>
      </c>
      <c r="CR69" s="254">
        <v>1.19E-10</v>
      </c>
      <c r="CS69" s="253">
        <v>0.02</v>
      </c>
      <c r="CT69" s="253">
        <v>0.98</v>
      </c>
      <c r="CY69" s="256"/>
    </row>
    <row r="70" spans="54:105" thickTop="1" thickBot="1" x14ac:dyDescent="0.3">
      <c r="BC70" s="81" t="s">
        <v>411</v>
      </c>
      <c r="BD70" s="167">
        <v>-6.79</v>
      </c>
      <c r="BE70" s="167">
        <v>0.47699999999999998</v>
      </c>
      <c r="BF70" s="81">
        <v>-14.23</v>
      </c>
      <c r="BG70" s="81" t="s">
        <v>387</v>
      </c>
      <c r="BH70" s="167">
        <v>2E-16</v>
      </c>
      <c r="BI70" s="81" t="s">
        <v>388</v>
      </c>
      <c r="BS70" s="81" t="s">
        <v>293</v>
      </c>
      <c r="BT70" s="167">
        <v>191</v>
      </c>
      <c r="BU70" s="167">
        <v>3.38</v>
      </c>
      <c r="BV70" s="81">
        <v>56.36</v>
      </c>
      <c r="BW70" s="81" t="s">
        <v>387</v>
      </c>
      <c r="BX70" s="167">
        <v>2E-16</v>
      </c>
      <c r="BY70" s="81" t="s">
        <v>388</v>
      </c>
      <c r="CO70" s="253" t="s">
        <v>429</v>
      </c>
      <c r="CP70" s="253" t="s">
        <v>339</v>
      </c>
      <c r="CQ70" s="254">
        <v>1.6E-11</v>
      </c>
      <c r="CR70" s="254">
        <v>6.8200000000000002E-10</v>
      </c>
      <c r="CS70" s="253">
        <v>0.02</v>
      </c>
      <c r="CT70" s="253">
        <v>0.98</v>
      </c>
      <c r="CW70" s="255" t="s">
        <v>460</v>
      </c>
      <c r="CX70" s="261" t="s">
        <v>350</v>
      </c>
      <c r="CY70" s="256" t="s">
        <v>321</v>
      </c>
      <c r="CZ70" s="257">
        <f>CQ97</f>
        <v>463</v>
      </c>
      <c r="DA70" s="255" t="s">
        <v>320</v>
      </c>
    </row>
    <row r="71" spans="54:105" thickTop="1" thickBot="1" x14ac:dyDescent="0.3">
      <c r="BC71" s="81" t="s">
        <v>412</v>
      </c>
      <c r="BD71" s="167">
        <v>-4.62</v>
      </c>
      <c r="BE71" s="167">
        <v>0.26700000000000002</v>
      </c>
      <c r="BF71" s="81">
        <v>-17.32</v>
      </c>
      <c r="BG71" s="81" t="s">
        <v>387</v>
      </c>
      <c r="BH71" s="167">
        <v>2E-16</v>
      </c>
      <c r="BI71" s="81" t="s">
        <v>388</v>
      </c>
      <c r="BS71" s="81" t="s">
        <v>120</v>
      </c>
      <c r="BT71" s="167">
        <v>2.0199999999999999E-19</v>
      </c>
      <c r="BU71" s="167">
        <v>3.2300000000000002E-17</v>
      </c>
      <c r="BV71" s="81">
        <v>0.01</v>
      </c>
      <c r="BW71" s="81">
        <v>1</v>
      </c>
      <c r="CO71" s="253" t="s">
        <v>429</v>
      </c>
      <c r="CP71" s="253" t="s">
        <v>443</v>
      </c>
      <c r="CQ71" s="254">
        <v>0.251</v>
      </c>
      <c r="CR71" s="254">
        <v>5.0299999999999997E-2</v>
      </c>
      <c r="CS71" s="253">
        <v>4.99</v>
      </c>
      <c r="CT71" s="254">
        <v>6.1999999999999999E-7</v>
      </c>
      <c r="CU71" s="253" t="s">
        <v>388</v>
      </c>
      <c r="CW71" s="255" t="s">
        <v>460</v>
      </c>
      <c r="CX71" s="261" t="s">
        <v>352</v>
      </c>
      <c r="CY71" s="256" t="s">
        <v>321</v>
      </c>
      <c r="CZ71" s="257">
        <f t="shared" ref="CZ71:CZ72" si="46">CQ98</f>
        <v>185</v>
      </c>
      <c r="DA71" s="255" t="s">
        <v>320</v>
      </c>
    </row>
    <row r="72" spans="54:105" thickTop="1" thickBot="1" x14ac:dyDescent="0.3">
      <c r="BC72" s="81" t="s">
        <v>413</v>
      </c>
      <c r="BD72" s="167">
        <v>-4.95</v>
      </c>
      <c r="BE72" s="167">
        <v>0.26600000000000001</v>
      </c>
      <c r="BF72" s="81">
        <v>-18.59</v>
      </c>
      <c r="BG72" s="81" t="s">
        <v>387</v>
      </c>
      <c r="BH72" s="167">
        <v>2E-16</v>
      </c>
      <c r="BI72" s="81" t="s">
        <v>388</v>
      </c>
      <c r="BS72" s="81" t="s">
        <v>411</v>
      </c>
      <c r="BT72" s="167">
        <v>-4.5999999999999996</v>
      </c>
      <c r="BU72" s="167">
        <v>2.9600000000000001E-2</v>
      </c>
      <c r="BV72" s="81">
        <v>-155.41999999999999</v>
      </c>
      <c r="BW72" s="81" t="s">
        <v>387</v>
      </c>
      <c r="BX72" s="167">
        <v>2E-16</v>
      </c>
      <c r="BY72" s="81" t="s">
        <v>388</v>
      </c>
      <c r="CO72" s="253" t="s">
        <v>429</v>
      </c>
      <c r="CP72" s="253" t="s">
        <v>444</v>
      </c>
      <c r="CQ72" s="254">
        <v>0.91700000000000004</v>
      </c>
      <c r="CR72" s="254">
        <v>0.10100000000000001</v>
      </c>
      <c r="CS72" s="253">
        <v>9.11</v>
      </c>
      <c r="CT72" s="253" t="s">
        <v>387</v>
      </c>
      <c r="CU72" s="254">
        <v>2E-16</v>
      </c>
      <c r="CV72" s="81" t="s">
        <v>388</v>
      </c>
      <c r="CW72" s="255" t="s">
        <v>460</v>
      </c>
      <c r="CX72" s="261" t="s">
        <v>353</v>
      </c>
      <c r="CY72" s="256" t="s">
        <v>321</v>
      </c>
      <c r="CZ72" s="257">
        <f t="shared" si="46"/>
        <v>1.5399999999999999E-16</v>
      </c>
      <c r="DA72" s="255" t="s">
        <v>320</v>
      </c>
    </row>
    <row r="73" spans="54:105" thickTop="1" thickBot="1" x14ac:dyDescent="0.3">
      <c r="BC73" s="81" t="s">
        <v>414</v>
      </c>
      <c r="BD73" s="167">
        <v>-1.07</v>
      </c>
      <c r="BE73" s="167">
        <v>0.64</v>
      </c>
      <c r="BF73" s="81">
        <v>-1.68</v>
      </c>
      <c r="BG73" s="81">
        <v>9.3189999999999995E-2</v>
      </c>
      <c r="BH73" s="81" t="s">
        <v>433</v>
      </c>
      <c r="BS73" s="81" t="s">
        <v>412</v>
      </c>
      <c r="BT73" s="167">
        <v>-4.75</v>
      </c>
      <c r="BU73" s="167">
        <v>3.7699999999999997E-2</v>
      </c>
      <c r="BV73" s="81">
        <v>-126.09</v>
      </c>
      <c r="BW73" s="81" t="s">
        <v>387</v>
      </c>
      <c r="BX73" s="167">
        <v>2E-16</v>
      </c>
      <c r="BY73" s="81" t="s">
        <v>388</v>
      </c>
      <c r="CO73" s="253" t="s">
        <v>429</v>
      </c>
      <c r="CP73" s="253" t="s">
        <v>445</v>
      </c>
      <c r="CQ73" s="254">
        <v>0.41599999999999998</v>
      </c>
      <c r="CR73" s="254">
        <v>2.7E-2</v>
      </c>
      <c r="CS73" s="253">
        <v>15.4</v>
      </c>
      <c r="CT73" s="253" t="s">
        <v>387</v>
      </c>
      <c r="CU73" s="254">
        <v>2E-16</v>
      </c>
      <c r="CV73" s="81" t="s">
        <v>388</v>
      </c>
      <c r="CW73" s="255" t="s">
        <v>460</v>
      </c>
      <c r="CX73" s="261" t="s">
        <v>355</v>
      </c>
      <c r="CY73" s="256" t="s">
        <v>321</v>
      </c>
      <c r="CZ73" s="257">
        <f>1/CQ104</f>
        <v>787.40157480314951</v>
      </c>
      <c r="DA73" s="255" t="s">
        <v>320</v>
      </c>
    </row>
    <row r="74" spans="54:105" thickTop="1" thickBot="1" x14ac:dyDescent="0.3">
      <c r="BC74" s="81" t="s">
        <v>416</v>
      </c>
      <c r="BD74" s="167">
        <v>9.0299999999999998E-3</v>
      </c>
      <c r="BE74" s="167">
        <v>1.08E-3</v>
      </c>
      <c r="BF74" s="81">
        <v>8.4</v>
      </c>
      <c r="BG74" s="81" t="s">
        <v>387</v>
      </c>
      <c r="BH74" s="167">
        <v>2E-16</v>
      </c>
      <c r="BI74" s="81" t="s">
        <v>388</v>
      </c>
      <c r="BS74" s="81" t="s">
        <v>413</v>
      </c>
      <c r="BT74" s="167">
        <v>-7.88</v>
      </c>
      <c r="BU74" s="167">
        <v>6.25E-2</v>
      </c>
      <c r="BV74" s="81">
        <v>-126.09</v>
      </c>
      <c r="BW74" s="81" t="s">
        <v>387</v>
      </c>
      <c r="BX74" s="167">
        <v>2E-16</v>
      </c>
      <c r="BY74" s="81" t="s">
        <v>388</v>
      </c>
      <c r="CO74" s="253" t="s">
        <v>429</v>
      </c>
      <c r="CP74" s="253" t="s">
        <v>340</v>
      </c>
      <c r="CQ74" s="254">
        <v>0.56999999999999995</v>
      </c>
      <c r="CR74" s="254">
        <v>6.4899999999999999E-2</v>
      </c>
      <c r="CS74" s="253">
        <v>8.7899999999999991</v>
      </c>
      <c r="CT74" s="253" t="s">
        <v>387</v>
      </c>
      <c r="CU74" s="254">
        <v>2E-16</v>
      </c>
      <c r="CV74" s="81" t="s">
        <v>388</v>
      </c>
      <c r="CY74" s="256"/>
    </row>
    <row r="75" spans="54:105" thickTop="1" thickBot="1" x14ac:dyDescent="0.3">
      <c r="BC75" s="81" t="s">
        <v>417</v>
      </c>
      <c r="BD75" s="167">
        <v>531</v>
      </c>
      <c r="BE75" s="167">
        <v>102</v>
      </c>
      <c r="BF75" s="81">
        <v>5.22</v>
      </c>
      <c r="BG75" s="167">
        <v>1.9000000000000001E-7</v>
      </c>
      <c r="BH75" s="81" t="s">
        <v>388</v>
      </c>
      <c r="BS75" s="81" t="s">
        <v>414</v>
      </c>
      <c r="BT75" s="167">
        <v>-7.03</v>
      </c>
      <c r="BU75" s="167">
        <v>3.2000000000000001E-2</v>
      </c>
      <c r="BV75" s="81">
        <v>-219.87</v>
      </c>
      <c r="BW75" s="81" t="s">
        <v>387</v>
      </c>
      <c r="BX75" s="167">
        <v>2E-16</v>
      </c>
      <c r="BY75" s="81" t="s">
        <v>388</v>
      </c>
      <c r="CO75" s="253" t="s">
        <v>429</v>
      </c>
      <c r="CP75" s="253" t="s">
        <v>446</v>
      </c>
      <c r="CQ75" s="254">
        <v>0.32</v>
      </c>
      <c r="CR75" s="254">
        <v>1.41E-2</v>
      </c>
      <c r="CS75" s="253">
        <v>22.69</v>
      </c>
      <c r="CT75" s="253" t="s">
        <v>387</v>
      </c>
      <c r="CU75" s="254">
        <v>2E-16</v>
      </c>
      <c r="CV75" s="81" t="s">
        <v>388</v>
      </c>
      <c r="CW75" s="255" t="s">
        <v>460</v>
      </c>
      <c r="CX75" s="261" t="s">
        <v>425</v>
      </c>
      <c r="CY75" s="256" t="s">
        <v>321</v>
      </c>
      <c r="CZ75" s="257">
        <f>CQ115</f>
        <v>25100000</v>
      </c>
      <c r="DA75" s="255" t="s">
        <v>320</v>
      </c>
    </row>
    <row r="76" spans="54:105" thickTop="1" thickBot="1" x14ac:dyDescent="0.3">
      <c r="BC76" s="81" t="s">
        <v>418</v>
      </c>
      <c r="BD76" s="167">
        <v>697</v>
      </c>
      <c r="BE76" s="167">
        <v>233</v>
      </c>
      <c r="BF76" s="81">
        <v>2.99</v>
      </c>
      <c r="BG76" s="81">
        <v>2.7799999999999999E-3</v>
      </c>
      <c r="BH76" s="81" t="s">
        <v>426</v>
      </c>
      <c r="BS76" s="81" t="s">
        <v>416</v>
      </c>
      <c r="BT76" s="167">
        <v>1.23E-3</v>
      </c>
      <c r="BU76" s="167">
        <v>9.7600000000000001E-5</v>
      </c>
      <c r="BV76" s="81">
        <v>12.65</v>
      </c>
      <c r="BW76" s="81" t="s">
        <v>387</v>
      </c>
      <c r="BX76" s="167">
        <v>2E-16</v>
      </c>
      <c r="BY76" s="81" t="s">
        <v>388</v>
      </c>
      <c r="CO76" s="253" t="s">
        <v>429</v>
      </c>
      <c r="CP76" s="253" t="s">
        <v>447</v>
      </c>
      <c r="CQ76" s="254">
        <v>3.6400000000000002E-2</v>
      </c>
      <c r="CR76" s="254">
        <v>6.1500000000000001E-3</v>
      </c>
      <c r="CS76" s="253">
        <v>5.92</v>
      </c>
      <c r="CT76" s="254">
        <v>3.3999999999999998E-9</v>
      </c>
      <c r="CU76" s="253" t="s">
        <v>388</v>
      </c>
      <c r="CW76" s="255" t="s">
        <v>460</v>
      </c>
      <c r="CX76" s="261" t="s">
        <v>362</v>
      </c>
      <c r="CY76" s="256" t="s">
        <v>321</v>
      </c>
      <c r="CZ76" s="257">
        <f>CQ116</f>
        <v>42200000</v>
      </c>
      <c r="DA76" s="255" t="s">
        <v>320</v>
      </c>
    </row>
    <row r="77" spans="54:105" thickTop="1" thickBot="1" x14ac:dyDescent="0.3">
      <c r="BS77" s="81" t="s">
        <v>417</v>
      </c>
      <c r="BT77" s="167">
        <v>399</v>
      </c>
      <c r="BU77" s="167">
        <v>7.06</v>
      </c>
      <c r="BV77" s="81">
        <v>56.49</v>
      </c>
      <c r="BW77" s="81" t="s">
        <v>387</v>
      </c>
      <c r="BX77" s="167">
        <v>2E-16</v>
      </c>
      <c r="BY77" s="81" t="s">
        <v>388</v>
      </c>
      <c r="CO77" s="253" t="s">
        <v>429</v>
      </c>
      <c r="CP77" s="253" t="s">
        <v>448</v>
      </c>
      <c r="CQ77" s="254">
        <v>7.1600000000000001E-6</v>
      </c>
      <c r="CR77" s="254">
        <v>5.1799999999999999E-5</v>
      </c>
      <c r="CS77" s="253">
        <v>0.14000000000000001</v>
      </c>
      <c r="CT77" s="253">
        <v>0.89</v>
      </c>
      <c r="CW77" s="255" t="s">
        <v>460</v>
      </c>
      <c r="CX77" s="261" t="s">
        <v>368</v>
      </c>
      <c r="CY77" s="256" t="s">
        <v>321</v>
      </c>
      <c r="CZ77" s="257">
        <f>CQ121</f>
        <v>246</v>
      </c>
      <c r="DA77" s="255" t="s">
        <v>320</v>
      </c>
    </row>
    <row r="78" spans="54:105" thickTop="1" thickBot="1" x14ac:dyDescent="0.3">
      <c r="BS78" s="81" t="s">
        <v>418</v>
      </c>
      <c r="BT78" s="167">
        <v>2310</v>
      </c>
      <c r="BU78" s="167">
        <v>108</v>
      </c>
      <c r="BV78" s="81">
        <v>21.36</v>
      </c>
      <c r="BW78" s="81" t="s">
        <v>387</v>
      </c>
      <c r="BX78" s="167">
        <v>2E-16</v>
      </c>
      <c r="BY78" s="81" t="s">
        <v>388</v>
      </c>
      <c r="CO78" s="253" t="s">
        <v>429</v>
      </c>
      <c r="CP78" s="253" t="s">
        <v>341</v>
      </c>
      <c r="CQ78" s="254">
        <v>5.7599999999999998E-10</v>
      </c>
      <c r="CR78" s="254">
        <v>1.9499999999999999E-8</v>
      </c>
      <c r="CS78" s="253">
        <v>0.03</v>
      </c>
      <c r="CT78" s="253">
        <v>0.98</v>
      </c>
      <c r="CW78" s="255" t="s">
        <v>460</v>
      </c>
      <c r="CX78" s="261" t="s">
        <v>370</v>
      </c>
      <c r="CY78" s="256" t="s">
        <v>321</v>
      </c>
      <c r="CZ78" s="257">
        <f t="shared" ref="CZ78:CZ79" si="47">CQ122</f>
        <v>3.7399999999999998E-4</v>
      </c>
      <c r="DA78" s="255" t="s">
        <v>320</v>
      </c>
    </row>
    <row r="79" spans="54:105" thickTop="1" thickBot="1" x14ac:dyDescent="0.3">
      <c r="BB79" s="81" t="s">
        <v>429</v>
      </c>
      <c r="BC79" s="81" t="s">
        <v>380</v>
      </c>
      <c r="BD79" s="81" t="s">
        <v>381</v>
      </c>
      <c r="BE79" s="81" t="s">
        <v>382</v>
      </c>
      <c r="BF79" s="81" t="s">
        <v>383</v>
      </c>
      <c r="BG79" s="81" t="s">
        <v>384</v>
      </c>
      <c r="BH79" s="81" t="s">
        <v>385</v>
      </c>
      <c r="CO79" s="253" t="s">
        <v>429</v>
      </c>
      <c r="CP79" s="253" t="s">
        <v>449</v>
      </c>
      <c r="CQ79" s="254">
        <v>1.2099999999999999E-5</v>
      </c>
      <c r="CR79" s="254">
        <v>1.8900000000000001E-4</v>
      </c>
      <c r="CS79" s="253">
        <v>0.06</v>
      </c>
      <c r="CT79" s="253">
        <v>0.95</v>
      </c>
      <c r="CW79" s="255" t="s">
        <v>460</v>
      </c>
      <c r="CX79" s="261" t="s">
        <v>372</v>
      </c>
      <c r="CY79" s="256" t="s">
        <v>321</v>
      </c>
      <c r="CZ79" s="257">
        <f t="shared" si="47"/>
        <v>308</v>
      </c>
      <c r="DA79" s="255" t="s">
        <v>320</v>
      </c>
    </row>
    <row r="80" spans="54:105" thickTop="1" thickBot="1" x14ac:dyDescent="0.3">
      <c r="BB80" s="81" t="s">
        <v>429</v>
      </c>
      <c r="BC80" s="81" t="s">
        <v>423</v>
      </c>
      <c r="BD80" s="167">
        <v>291</v>
      </c>
      <c r="BE80" s="167">
        <v>0.112</v>
      </c>
      <c r="BF80" s="81">
        <v>2609.3000000000002</v>
      </c>
      <c r="BG80" s="81" t="s">
        <v>387</v>
      </c>
      <c r="BH80" s="167">
        <v>2E-16</v>
      </c>
      <c r="BI80" s="81" t="s">
        <v>388</v>
      </c>
      <c r="CO80" s="253" t="s">
        <v>429</v>
      </c>
      <c r="CP80" s="253" t="s">
        <v>450</v>
      </c>
      <c r="CQ80" s="254">
        <v>2.3700000000000001E-16</v>
      </c>
      <c r="CR80" s="254">
        <v>1.7E-14</v>
      </c>
      <c r="CS80" s="253">
        <v>0.01</v>
      </c>
      <c r="CT80" s="253">
        <v>0.99</v>
      </c>
    </row>
    <row r="81" spans="54:100" thickTop="1" thickBot="1" x14ac:dyDescent="0.3">
      <c r="BB81" s="81" t="s">
        <v>429</v>
      </c>
      <c r="BC81" s="81" t="s">
        <v>424</v>
      </c>
      <c r="BD81" s="167">
        <v>291</v>
      </c>
      <c r="BE81" s="167">
        <v>3.9800000000000002E-2</v>
      </c>
      <c r="BF81" s="81">
        <v>7295.15</v>
      </c>
      <c r="BG81" s="81" t="s">
        <v>387</v>
      </c>
      <c r="BH81" s="167">
        <v>2E-16</v>
      </c>
      <c r="BI81" s="81" t="s">
        <v>388</v>
      </c>
      <c r="BS81" s="81" t="s">
        <v>422</v>
      </c>
      <c r="CO81" s="253" t="s">
        <v>429</v>
      </c>
      <c r="CP81" s="253" t="s">
        <v>451</v>
      </c>
      <c r="CQ81" s="254">
        <v>0.85399999999999998</v>
      </c>
      <c r="CR81" s="254">
        <v>5.6099999999999997E-2</v>
      </c>
      <c r="CS81" s="253">
        <v>15.22</v>
      </c>
      <c r="CT81" s="253" t="s">
        <v>387</v>
      </c>
      <c r="CU81" s="254">
        <v>2E-16</v>
      </c>
      <c r="CV81" s="81" t="s">
        <v>388</v>
      </c>
    </row>
    <row r="82" spans="54:100" thickTop="1" thickBot="1" x14ac:dyDescent="0.3">
      <c r="BB82" s="81" t="s">
        <v>429</v>
      </c>
      <c r="BC82" s="81" t="s">
        <v>356</v>
      </c>
      <c r="BD82" s="167">
        <v>6.6500000000000004E-2</v>
      </c>
      <c r="BE82" s="167">
        <v>1.2700000000000001E-3</v>
      </c>
      <c r="BF82" s="81">
        <v>52.59</v>
      </c>
      <c r="BG82" s="81" t="s">
        <v>387</v>
      </c>
      <c r="BH82" s="167">
        <v>2E-16</v>
      </c>
      <c r="BI82" s="81" t="s">
        <v>388</v>
      </c>
      <c r="BS82" s="81" t="s">
        <v>379</v>
      </c>
      <c r="CO82" s="253" t="s">
        <v>429</v>
      </c>
      <c r="CP82" s="253" t="s">
        <v>452</v>
      </c>
      <c r="CQ82" s="254">
        <v>1.94</v>
      </c>
      <c r="CR82" s="254">
        <v>0.14000000000000001</v>
      </c>
      <c r="CS82" s="253">
        <v>13.86</v>
      </c>
      <c r="CT82" s="253" t="s">
        <v>387</v>
      </c>
      <c r="CU82" s="254">
        <v>2E-16</v>
      </c>
      <c r="CV82" s="81" t="s">
        <v>388</v>
      </c>
    </row>
    <row r="83" spans="54:100" thickTop="1" thickBot="1" x14ac:dyDescent="0.3">
      <c r="BB83" s="81" t="s">
        <v>429</v>
      </c>
      <c r="BC83" s="81" t="s">
        <v>358</v>
      </c>
      <c r="BD83" s="167">
        <v>0.246</v>
      </c>
      <c r="BE83" s="167">
        <v>7.6600000000000001E-3</v>
      </c>
      <c r="BF83" s="81">
        <v>32.04</v>
      </c>
      <c r="BG83" s="81" t="s">
        <v>387</v>
      </c>
      <c r="BH83" s="167">
        <v>2E-16</v>
      </c>
      <c r="BI83" s="81" t="s">
        <v>388</v>
      </c>
      <c r="BS83" s="81" t="s">
        <v>380</v>
      </c>
      <c r="BT83" s="81" t="s">
        <v>381</v>
      </c>
      <c r="BU83" s="81" t="s">
        <v>382</v>
      </c>
      <c r="BV83" s="81" t="s">
        <v>383</v>
      </c>
      <c r="BW83" s="81" t="s">
        <v>384</v>
      </c>
      <c r="BX83" s="81" t="s">
        <v>385</v>
      </c>
      <c r="CO83" s="253" t="s">
        <v>429</v>
      </c>
      <c r="CP83" s="253" t="s">
        <v>453</v>
      </c>
      <c r="CQ83" s="254">
        <v>0.65800000000000003</v>
      </c>
      <c r="CR83" s="254">
        <v>2.9499999999999998E-2</v>
      </c>
      <c r="CS83" s="253">
        <v>22.28</v>
      </c>
      <c r="CT83" s="253" t="s">
        <v>387</v>
      </c>
      <c r="CU83" s="254">
        <v>2E-16</v>
      </c>
      <c r="CV83" s="81" t="s">
        <v>388</v>
      </c>
    </row>
    <row r="84" spans="54:100" thickTop="1" thickBot="1" x14ac:dyDescent="0.3">
      <c r="BB84" s="81" t="s">
        <v>429</v>
      </c>
      <c r="BC84" s="81" t="s">
        <v>425</v>
      </c>
      <c r="BD84" s="167">
        <v>248000</v>
      </c>
      <c r="BE84" s="167">
        <v>22200</v>
      </c>
      <c r="BF84" s="81">
        <v>11.17</v>
      </c>
      <c r="BG84" s="81" t="s">
        <v>387</v>
      </c>
      <c r="BH84" s="167">
        <v>2E-16</v>
      </c>
      <c r="BI84" s="81" t="s">
        <v>388</v>
      </c>
      <c r="BS84" s="81" t="s">
        <v>423</v>
      </c>
      <c r="BT84" s="167">
        <v>290</v>
      </c>
      <c r="BU84" s="167">
        <v>0.34799999999999998</v>
      </c>
      <c r="BV84" s="81">
        <v>833.57</v>
      </c>
      <c r="BW84" s="81" t="s">
        <v>387</v>
      </c>
      <c r="BX84" s="167">
        <v>2E-16</v>
      </c>
      <c r="BY84" s="81" t="s">
        <v>388</v>
      </c>
      <c r="CO84" s="253" t="s">
        <v>429</v>
      </c>
      <c r="CP84" s="253" t="s">
        <v>454</v>
      </c>
      <c r="CQ84" s="254">
        <v>2.4400000000000001E-12</v>
      </c>
      <c r="CR84" s="254">
        <v>1.1800000000000001E-10</v>
      </c>
      <c r="CS84" s="253">
        <v>0.02</v>
      </c>
      <c r="CT84" s="253">
        <v>0.98</v>
      </c>
    </row>
    <row r="85" spans="54:100" thickTop="1" thickBot="1" x14ac:dyDescent="0.3">
      <c r="BB85" s="81" t="s">
        <v>429</v>
      </c>
      <c r="BC85" s="81" t="s">
        <v>362</v>
      </c>
      <c r="BD85" s="167">
        <v>6990000</v>
      </c>
      <c r="BE85" s="167">
        <v>43300</v>
      </c>
      <c r="BF85" s="81">
        <v>161.22</v>
      </c>
      <c r="BG85" s="81" t="s">
        <v>387</v>
      </c>
      <c r="BH85" s="167">
        <v>2E-16</v>
      </c>
      <c r="BI85" s="81" t="s">
        <v>388</v>
      </c>
      <c r="BS85" s="81" t="s">
        <v>424</v>
      </c>
      <c r="BT85" s="167">
        <v>292</v>
      </c>
      <c r="BU85" s="167">
        <v>0.40400000000000003</v>
      </c>
      <c r="BV85" s="81">
        <v>723.61</v>
      </c>
      <c r="BW85" s="81" t="s">
        <v>387</v>
      </c>
      <c r="BX85" s="167">
        <v>2E-16</v>
      </c>
      <c r="BY85" s="81" t="s">
        <v>388</v>
      </c>
      <c r="CO85" s="253" t="s">
        <v>429</v>
      </c>
      <c r="CP85" s="253" t="s">
        <v>306</v>
      </c>
      <c r="CQ85" s="254">
        <v>996000000</v>
      </c>
      <c r="CR85" s="254">
        <v>169000</v>
      </c>
      <c r="CS85" s="253">
        <v>5907.37</v>
      </c>
      <c r="CT85" s="253" t="s">
        <v>387</v>
      </c>
      <c r="CU85" s="254">
        <v>2E-16</v>
      </c>
      <c r="CV85" s="81" t="s">
        <v>388</v>
      </c>
    </row>
    <row r="86" spans="54:100" thickTop="1" thickBot="1" x14ac:dyDescent="0.3">
      <c r="BB86" s="81" t="s">
        <v>429</v>
      </c>
      <c r="BC86" s="81" t="s">
        <v>403</v>
      </c>
      <c r="BD86" s="167">
        <v>3.27</v>
      </c>
      <c r="BE86" s="167">
        <v>0.71599999999999997</v>
      </c>
      <c r="BF86" s="81">
        <v>4.57</v>
      </c>
      <c r="BG86" s="167">
        <v>5.2000000000000002E-6</v>
      </c>
      <c r="BH86" s="81" t="s">
        <v>388</v>
      </c>
      <c r="BS86" s="81" t="s">
        <v>356</v>
      </c>
      <c r="BT86" s="167">
        <v>3.0199999999999999E-9</v>
      </c>
      <c r="BU86" s="167">
        <v>1.24E-7</v>
      </c>
      <c r="BV86" s="81">
        <v>0.02</v>
      </c>
      <c r="BW86" s="81">
        <v>0.98050000000000004</v>
      </c>
      <c r="CO86" s="253" t="s">
        <v>429</v>
      </c>
      <c r="CP86" s="253" t="s">
        <v>398</v>
      </c>
      <c r="CQ86" s="254">
        <v>708000</v>
      </c>
      <c r="CR86" s="254">
        <v>10200</v>
      </c>
      <c r="CS86" s="253">
        <v>69.400000000000006</v>
      </c>
      <c r="CT86" s="253" t="s">
        <v>387</v>
      </c>
      <c r="CU86" s="254">
        <v>2E-16</v>
      </c>
      <c r="CV86" s="81" t="s">
        <v>388</v>
      </c>
    </row>
    <row r="87" spans="54:100" thickTop="1" thickBot="1" x14ac:dyDescent="0.3">
      <c r="BB87" s="81" t="s">
        <v>429</v>
      </c>
      <c r="BC87" s="81" t="s">
        <v>427</v>
      </c>
      <c r="BD87" s="167">
        <v>-1.33</v>
      </c>
      <c r="BE87" s="167">
        <v>0.96699999999999997</v>
      </c>
      <c r="BF87" s="81">
        <v>-1.38</v>
      </c>
      <c r="BG87" s="81">
        <v>0.17</v>
      </c>
      <c r="BS87" s="81" t="s">
        <v>358</v>
      </c>
      <c r="BT87" s="167">
        <v>3.7999999999999998E-11</v>
      </c>
      <c r="BU87" s="167">
        <v>1.9500000000000001E-9</v>
      </c>
      <c r="BV87" s="81">
        <v>0.02</v>
      </c>
      <c r="BW87" s="81">
        <v>0.98440000000000005</v>
      </c>
      <c r="CO87" s="253" t="s">
        <v>429</v>
      </c>
      <c r="CP87" s="253" t="s">
        <v>299</v>
      </c>
      <c r="CQ87" s="254">
        <v>31600000</v>
      </c>
      <c r="CR87" s="254">
        <v>5160000</v>
      </c>
      <c r="CS87" s="253">
        <v>6.13</v>
      </c>
      <c r="CT87" s="254">
        <v>9.5999999999999999E-10</v>
      </c>
      <c r="CU87" s="253" t="s">
        <v>388</v>
      </c>
    </row>
    <row r="88" spans="54:100" thickTop="1" thickBot="1" x14ac:dyDescent="0.3">
      <c r="BB88" s="81" t="s">
        <v>429</v>
      </c>
      <c r="BC88" s="81" t="s">
        <v>434</v>
      </c>
      <c r="BD88" s="167">
        <v>5.4399999999999997E-2</v>
      </c>
      <c r="BE88" s="167">
        <v>1.76E-4</v>
      </c>
      <c r="BF88" s="81">
        <v>309.37</v>
      </c>
      <c r="BG88" s="81" t="s">
        <v>387</v>
      </c>
      <c r="BH88" s="167">
        <v>2E-16</v>
      </c>
      <c r="BI88" s="81" t="s">
        <v>388</v>
      </c>
      <c r="BS88" s="81" t="s">
        <v>425</v>
      </c>
      <c r="BT88" s="167">
        <v>25100000</v>
      </c>
      <c r="BU88" s="167">
        <v>3300000</v>
      </c>
      <c r="BV88" s="81">
        <v>7.62</v>
      </c>
      <c r="BW88" s="167">
        <v>3.7E-14</v>
      </c>
      <c r="BX88" s="81" t="s">
        <v>388</v>
      </c>
      <c r="CO88" s="253" t="s">
        <v>429</v>
      </c>
      <c r="CP88" s="253" t="s">
        <v>301</v>
      </c>
      <c r="CQ88" s="254">
        <v>6440000</v>
      </c>
      <c r="CR88" s="254">
        <v>127000</v>
      </c>
      <c r="CS88" s="253">
        <v>50.85</v>
      </c>
      <c r="CT88" s="253" t="s">
        <v>387</v>
      </c>
      <c r="CU88" s="254">
        <v>2E-16</v>
      </c>
      <c r="CV88" s="81" t="s">
        <v>388</v>
      </c>
    </row>
    <row r="89" spans="54:100" thickTop="1" thickBot="1" x14ac:dyDescent="0.3">
      <c r="BB89" s="81" t="s">
        <v>429</v>
      </c>
      <c r="BC89" s="81" t="s">
        <v>435</v>
      </c>
      <c r="BD89" s="167">
        <v>0.16</v>
      </c>
      <c r="BE89" s="167">
        <v>5.0500000000000002E-4</v>
      </c>
      <c r="BF89" s="81">
        <v>315.95999999999998</v>
      </c>
      <c r="BG89" s="81" t="s">
        <v>387</v>
      </c>
      <c r="BH89" s="167">
        <v>2E-16</v>
      </c>
      <c r="BI89" s="81" t="s">
        <v>388</v>
      </c>
      <c r="BS89" s="81" t="s">
        <v>362</v>
      </c>
      <c r="BT89" s="167">
        <v>42200000</v>
      </c>
      <c r="BU89" s="167">
        <v>13300000</v>
      </c>
      <c r="BV89" s="81">
        <v>3.17</v>
      </c>
      <c r="BW89" s="81">
        <v>1.5E-3</v>
      </c>
      <c r="BX89" s="81" t="s">
        <v>426</v>
      </c>
      <c r="CO89" s="253" t="s">
        <v>429</v>
      </c>
      <c r="CP89" s="253" t="s">
        <v>399</v>
      </c>
      <c r="CQ89" s="254">
        <v>-1.81</v>
      </c>
      <c r="CR89" s="254">
        <v>3.32E-2</v>
      </c>
      <c r="CS89" s="253">
        <v>-54.6</v>
      </c>
      <c r="CT89" s="253" t="s">
        <v>387</v>
      </c>
      <c r="CU89" s="254">
        <v>2E-16</v>
      </c>
      <c r="CV89" s="81" t="s">
        <v>388</v>
      </c>
    </row>
    <row r="90" spans="54:100" thickTop="1" thickBot="1" x14ac:dyDescent="0.3">
      <c r="BB90" s="81" t="s">
        <v>429</v>
      </c>
      <c r="BC90" s="81" t="s">
        <v>415</v>
      </c>
      <c r="BD90" s="167">
        <v>-6.96</v>
      </c>
      <c r="BE90" s="167">
        <v>3.44E-2</v>
      </c>
      <c r="BF90" s="81">
        <v>-202.39</v>
      </c>
      <c r="BG90" s="81" t="s">
        <v>387</v>
      </c>
      <c r="BH90" s="167">
        <v>2E-16</v>
      </c>
      <c r="BI90" s="81" t="s">
        <v>388</v>
      </c>
      <c r="BS90" s="81" t="s">
        <v>403</v>
      </c>
      <c r="BT90" s="167">
        <v>8.73</v>
      </c>
      <c r="BU90" s="167">
        <v>6.3299999999999995E-2</v>
      </c>
      <c r="BV90" s="81">
        <v>137.88999999999999</v>
      </c>
      <c r="BW90" s="81" t="s">
        <v>387</v>
      </c>
      <c r="BX90" s="167">
        <v>2E-16</v>
      </c>
      <c r="BY90" s="81" t="s">
        <v>388</v>
      </c>
      <c r="CO90" s="253" t="s">
        <v>429</v>
      </c>
      <c r="CP90" s="253" t="s">
        <v>400</v>
      </c>
      <c r="CQ90" s="254">
        <v>-23</v>
      </c>
      <c r="CR90" s="254">
        <v>2.1999999999999999E-2</v>
      </c>
      <c r="CS90" s="253">
        <v>-1044.5999999999999</v>
      </c>
      <c r="CT90" s="253" t="s">
        <v>387</v>
      </c>
      <c r="CU90" s="254">
        <v>2E-16</v>
      </c>
      <c r="CV90" s="81" t="s">
        <v>388</v>
      </c>
    </row>
    <row r="91" spans="54:100" thickTop="1" thickBot="1" x14ac:dyDescent="0.3">
      <c r="BB91" s="81" t="s">
        <v>429</v>
      </c>
      <c r="BC91" s="81" t="s">
        <v>428</v>
      </c>
      <c r="BD91" s="167">
        <v>-3.98</v>
      </c>
      <c r="BE91" s="167">
        <v>4.7100000000000003E-2</v>
      </c>
      <c r="BF91" s="81">
        <v>-84.36</v>
      </c>
      <c r="BG91" s="81" t="s">
        <v>387</v>
      </c>
      <c r="BH91" s="167">
        <v>2E-16</v>
      </c>
      <c r="BI91" s="81" t="s">
        <v>388</v>
      </c>
      <c r="BS91" s="81" t="s">
        <v>427</v>
      </c>
      <c r="BT91" s="167">
        <v>8.16</v>
      </c>
      <c r="BU91" s="167">
        <v>0.12</v>
      </c>
      <c r="BV91" s="81">
        <v>67.790000000000006</v>
      </c>
      <c r="BW91" s="81" t="s">
        <v>387</v>
      </c>
      <c r="BX91" s="167">
        <v>2E-16</v>
      </c>
      <c r="BY91" s="81" t="s">
        <v>388</v>
      </c>
      <c r="CO91" s="253" t="s">
        <v>429</v>
      </c>
      <c r="CP91" s="253" t="s">
        <v>401</v>
      </c>
      <c r="CQ91" s="254">
        <v>-25.8</v>
      </c>
      <c r="CR91" s="254">
        <v>9.0900000000000009E-3</v>
      </c>
      <c r="CS91" s="253">
        <v>-2836.26</v>
      </c>
      <c r="CT91" s="253" t="s">
        <v>387</v>
      </c>
      <c r="CU91" s="254">
        <v>2E-16</v>
      </c>
      <c r="CV91" s="81" t="s">
        <v>388</v>
      </c>
    </row>
    <row r="92" spans="54:100" thickTop="1" thickBot="1" x14ac:dyDescent="0.3">
      <c r="BB92" s="81" t="s">
        <v>429</v>
      </c>
      <c r="BC92" s="81" t="s">
        <v>368</v>
      </c>
      <c r="BD92" s="167">
        <v>476</v>
      </c>
      <c r="BE92" s="167">
        <v>0.70699999999999996</v>
      </c>
      <c r="BF92" s="81">
        <v>673.36</v>
      </c>
      <c r="BG92" s="81" t="s">
        <v>387</v>
      </c>
      <c r="BH92" s="167">
        <v>2E-16</v>
      </c>
      <c r="BI92" s="81" t="s">
        <v>388</v>
      </c>
      <c r="BS92" s="81" t="s">
        <v>415</v>
      </c>
      <c r="BT92" s="167">
        <v>-5.0999999999999996</v>
      </c>
      <c r="BU92" s="167">
        <v>5.1200000000000002E-2</v>
      </c>
      <c r="BV92" s="81">
        <v>-99.56</v>
      </c>
      <c r="BW92" s="81" t="s">
        <v>387</v>
      </c>
      <c r="BX92" s="167">
        <v>2E-16</v>
      </c>
      <c r="BY92" s="81" t="s">
        <v>388</v>
      </c>
      <c r="CO92" s="253" t="s">
        <v>429</v>
      </c>
      <c r="CP92" s="253" t="s">
        <v>402</v>
      </c>
      <c r="CQ92" s="254">
        <v>-28.1</v>
      </c>
      <c r="CR92" s="254">
        <v>1.8800000000000001E-2</v>
      </c>
      <c r="CS92" s="253">
        <v>-1494.4</v>
      </c>
      <c r="CT92" s="253" t="s">
        <v>387</v>
      </c>
      <c r="CU92" s="254">
        <v>2E-16</v>
      </c>
      <c r="CV92" s="81" t="s">
        <v>388</v>
      </c>
    </row>
    <row r="93" spans="54:100" thickTop="1" thickBot="1" x14ac:dyDescent="0.3">
      <c r="BB93" s="81" t="s">
        <v>429</v>
      </c>
      <c r="BC93" s="81" t="s">
        <v>370</v>
      </c>
      <c r="BD93" s="167">
        <v>3410</v>
      </c>
      <c r="BE93" s="167">
        <v>3.6</v>
      </c>
      <c r="BF93" s="81">
        <v>945.88</v>
      </c>
      <c r="BG93" s="81" t="s">
        <v>387</v>
      </c>
      <c r="BH93" s="167">
        <v>2E-16</v>
      </c>
      <c r="BI93" s="81" t="s">
        <v>388</v>
      </c>
      <c r="BS93" s="81" t="s">
        <v>428</v>
      </c>
      <c r="BT93" s="167">
        <v>-4.79</v>
      </c>
      <c r="BU93" s="167">
        <v>3.9399999999999998E-2</v>
      </c>
      <c r="BV93" s="81">
        <v>-121.46</v>
      </c>
      <c r="BW93" s="81" t="s">
        <v>387</v>
      </c>
      <c r="BX93" s="167">
        <v>2E-16</v>
      </c>
      <c r="BY93" s="81" t="s">
        <v>388</v>
      </c>
      <c r="CO93" s="253" t="s">
        <v>429</v>
      </c>
      <c r="CP93" s="253" t="s">
        <v>404</v>
      </c>
      <c r="CQ93" s="254">
        <v>9.4299999999999995E-2</v>
      </c>
      <c r="CR93" s="254">
        <v>4.2300000000000003E-3</v>
      </c>
      <c r="CS93" s="253">
        <v>22.29</v>
      </c>
      <c r="CT93" s="253" t="s">
        <v>387</v>
      </c>
      <c r="CU93" s="254">
        <v>2E-16</v>
      </c>
      <c r="CV93" s="81" t="s">
        <v>388</v>
      </c>
    </row>
    <row r="94" spans="54:100" thickTop="1" thickBot="1" x14ac:dyDescent="0.3">
      <c r="BB94" s="81" t="s">
        <v>429</v>
      </c>
      <c r="BC94" s="81" t="s">
        <v>372</v>
      </c>
      <c r="BD94" s="167">
        <v>989</v>
      </c>
      <c r="BE94" s="167">
        <v>2.68</v>
      </c>
      <c r="BF94" s="81">
        <v>369.05</v>
      </c>
      <c r="BG94" s="81" t="s">
        <v>387</v>
      </c>
      <c r="BH94" s="167">
        <v>2E-16</v>
      </c>
      <c r="BI94" s="81" t="s">
        <v>388</v>
      </c>
      <c r="BS94" s="81" t="s">
        <v>368</v>
      </c>
      <c r="BT94" s="167">
        <v>246</v>
      </c>
      <c r="BU94" s="167">
        <v>4.6100000000000003</v>
      </c>
      <c r="BV94" s="81">
        <v>53.3</v>
      </c>
      <c r="BW94" s="81" t="s">
        <v>387</v>
      </c>
      <c r="BX94" s="167">
        <v>2E-16</v>
      </c>
      <c r="BY94" s="81" t="s">
        <v>388</v>
      </c>
      <c r="CO94" s="253" t="s">
        <v>429</v>
      </c>
      <c r="CP94" s="253" t="s">
        <v>405</v>
      </c>
      <c r="CQ94" s="254">
        <v>7.45E-3</v>
      </c>
      <c r="CR94" s="254">
        <v>2.5399999999999999E-4</v>
      </c>
      <c r="CS94" s="253">
        <v>29.32</v>
      </c>
      <c r="CT94" s="253" t="s">
        <v>387</v>
      </c>
      <c r="CU94" s="254">
        <v>2E-16</v>
      </c>
      <c r="CV94" s="81" t="s">
        <v>388</v>
      </c>
    </row>
    <row r="95" spans="54:100" thickTop="1" thickBot="1" x14ac:dyDescent="0.3">
      <c r="BS95" s="81" t="s">
        <v>370</v>
      </c>
      <c r="BT95" s="167">
        <v>3.7399999999999998E-4</v>
      </c>
      <c r="BU95" s="167">
        <v>1.9E-2</v>
      </c>
      <c r="BV95" s="81">
        <v>0.02</v>
      </c>
      <c r="BW95" s="81">
        <v>0.98429999999999995</v>
      </c>
      <c r="CO95" s="253" t="s">
        <v>429</v>
      </c>
      <c r="CP95" s="253" t="s">
        <v>406</v>
      </c>
      <c r="CQ95" s="254">
        <v>0.69499999999999995</v>
      </c>
      <c r="CR95" s="254">
        <v>4.5799999999999999E-3</v>
      </c>
      <c r="CS95" s="253">
        <v>151.77000000000001</v>
      </c>
      <c r="CT95" s="253" t="s">
        <v>387</v>
      </c>
      <c r="CU95" s="254">
        <v>2E-16</v>
      </c>
      <c r="CV95" s="81" t="s">
        <v>388</v>
      </c>
    </row>
    <row r="96" spans="54:100" thickTop="1" thickBot="1" x14ac:dyDescent="0.3">
      <c r="BS96" s="81" t="s">
        <v>372</v>
      </c>
      <c r="BT96" s="167">
        <v>308</v>
      </c>
      <c r="BU96" s="167">
        <v>6.33</v>
      </c>
      <c r="BV96" s="81">
        <v>48.59</v>
      </c>
      <c r="BW96" s="81" t="s">
        <v>387</v>
      </c>
      <c r="BX96" s="167">
        <v>2E-16</v>
      </c>
      <c r="BY96" s="81" t="s">
        <v>388</v>
      </c>
      <c r="CO96" s="253" t="s">
        <v>429</v>
      </c>
      <c r="CP96" s="253" t="s">
        <v>407</v>
      </c>
      <c r="CQ96" s="254">
        <v>5.01E-11</v>
      </c>
      <c r="CR96" s="254">
        <v>1.4100000000000001E-9</v>
      </c>
      <c r="CS96" s="253">
        <v>0.04</v>
      </c>
      <c r="CT96" s="253">
        <v>0.97</v>
      </c>
    </row>
    <row r="97" spans="93:100" thickTop="1" thickBot="1" x14ac:dyDescent="0.3">
      <c r="CO97" s="253" t="s">
        <v>429</v>
      </c>
      <c r="CP97" s="253" t="s">
        <v>409</v>
      </c>
      <c r="CQ97" s="254">
        <v>463</v>
      </c>
      <c r="CR97" s="254">
        <v>7.79</v>
      </c>
      <c r="CS97" s="253">
        <v>59.43</v>
      </c>
      <c r="CT97" s="253" t="s">
        <v>387</v>
      </c>
      <c r="CU97" s="254">
        <v>2E-16</v>
      </c>
      <c r="CV97" s="81" t="s">
        <v>388</v>
      </c>
    </row>
    <row r="98" spans="93:100" thickTop="1" thickBot="1" x14ac:dyDescent="0.3">
      <c r="CO98" s="253" t="s">
        <v>429</v>
      </c>
      <c r="CP98" s="253" t="s">
        <v>293</v>
      </c>
      <c r="CQ98" s="254">
        <v>185</v>
      </c>
      <c r="CR98" s="254">
        <v>2.06</v>
      </c>
      <c r="CS98" s="253">
        <v>89.9</v>
      </c>
      <c r="CT98" s="253" t="s">
        <v>387</v>
      </c>
      <c r="CU98" s="254">
        <v>2E-16</v>
      </c>
      <c r="CV98" s="81" t="s">
        <v>388</v>
      </c>
    </row>
    <row r="99" spans="93:100" thickTop="1" thickBot="1" x14ac:dyDescent="0.3">
      <c r="CO99" s="253" t="s">
        <v>429</v>
      </c>
      <c r="CP99" s="253" t="s">
        <v>120</v>
      </c>
      <c r="CQ99" s="254">
        <v>1.5399999999999999E-16</v>
      </c>
      <c r="CR99" s="254">
        <v>8.3600000000000002E-15</v>
      </c>
      <c r="CS99" s="253">
        <v>0.02</v>
      </c>
      <c r="CT99" s="253">
        <v>0.99</v>
      </c>
    </row>
    <row r="100" spans="93:100" thickTop="1" thickBot="1" x14ac:dyDescent="0.3">
      <c r="CO100" s="253" t="s">
        <v>429</v>
      </c>
      <c r="CP100" s="253" t="s">
        <v>411</v>
      </c>
      <c r="CQ100" s="254">
        <v>-4.53</v>
      </c>
      <c r="CR100" s="254">
        <v>1.7399999999999999E-2</v>
      </c>
      <c r="CS100" s="253">
        <v>-260.18</v>
      </c>
      <c r="CT100" s="253" t="s">
        <v>387</v>
      </c>
      <c r="CU100" s="254">
        <v>2E-16</v>
      </c>
      <c r="CV100" s="81" t="s">
        <v>388</v>
      </c>
    </row>
    <row r="101" spans="93:100" thickTop="1" thickBot="1" x14ac:dyDescent="0.3">
      <c r="CO101" s="253" t="s">
        <v>429</v>
      </c>
      <c r="CP101" s="253" t="s">
        <v>412</v>
      </c>
      <c r="CQ101" s="254">
        <v>-4.75</v>
      </c>
      <c r="CR101" s="254">
        <v>2.07E-2</v>
      </c>
      <c r="CS101" s="253">
        <v>-229.24</v>
      </c>
      <c r="CT101" s="253" t="s">
        <v>387</v>
      </c>
      <c r="CU101" s="254">
        <v>2E-16</v>
      </c>
      <c r="CV101" s="81" t="s">
        <v>388</v>
      </c>
    </row>
    <row r="102" spans="93:100" thickTop="1" thickBot="1" x14ac:dyDescent="0.3">
      <c r="CO102" s="253" t="s">
        <v>429</v>
      </c>
      <c r="CP102" s="253" t="s">
        <v>413</v>
      </c>
      <c r="CQ102" s="254">
        <v>-7.82</v>
      </c>
      <c r="CR102" s="254">
        <v>3.1899999999999998E-2</v>
      </c>
      <c r="CS102" s="253">
        <v>-245.39</v>
      </c>
      <c r="CT102" s="253" t="s">
        <v>387</v>
      </c>
      <c r="CU102" s="254">
        <v>2E-16</v>
      </c>
      <c r="CV102" s="81" t="s">
        <v>388</v>
      </c>
    </row>
    <row r="103" spans="93:100" thickTop="1" thickBot="1" x14ac:dyDescent="0.3">
      <c r="CO103" s="253" t="s">
        <v>429</v>
      </c>
      <c r="CP103" s="253" t="s">
        <v>414</v>
      </c>
      <c r="CQ103" s="254">
        <v>-7.09</v>
      </c>
      <c r="CR103" s="254">
        <v>2.4299999999999999E-2</v>
      </c>
      <c r="CS103" s="253">
        <v>-291.55</v>
      </c>
      <c r="CT103" s="253" t="s">
        <v>387</v>
      </c>
      <c r="CU103" s="254">
        <v>2E-16</v>
      </c>
      <c r="CV103" s="81" t="s">
        <v>388</v>
      </c>
    </row>
    <row r="104" spans="93:100" thickTop="1" thickBot="1" x14ac:dyDescent="0.3">
      <c r="CO104" s="253" t="s">
        <v>429</v>
      </c>
      <c r="CP104" s="253" t="s">
        <v>416</v>
      </c>
      <c r="CQ104" s="254">
        <v>1.2700000000000001E-3</v>
      </c>
      <c r="CR104" s="254">
        <v>4.0200000000000001E-5</v>
      </c>
      <c r="CS104" s="253">
        <v>31.65</v>
      </c>
      <c r="CT104" s="253" t="s">
        <v>387</v>
      </c>
      <c r="CU104" s="254">
        <v>2E-16</v>
      </c>
      <c r="CV104" s="81" t="s">
        <v>388</v>
      </c>
    </row>
    <row r="105" spans="93:100" thickTop="1" thickBot="1" x14ac:dyDescent="0.3">
      <c r="CO105" s="253" t="s">
        <v>429</v>
      </c>
      <c r="CP105" s="253" t="s">
        <v>417</v>
      </c>
      <c r="CQ105" s="254">
        <v>387</v>
      </c>
      <c r="CR105" s="254">
        <v>4.18</v>
      </c>
      <c r="CS105" s="253">
        <v>92.37</v>
      </c>
      <c r="CT105" s="253" t="s">
        <v>387</v>
      </c>
      <c r="CU105" s="254">
        <v>2E-16</v>
      </c>
      <c r="CV105" s="81" t="s">
        <v>388</v>
      </c>
    </row>
    <row r="106" spans="93:100" thickTop="1" thickBot="1" x14ac:dyDescent="0.3">
      <c r="CO106" s="253" t="s">
        <v>429</v>
      </c>
      <c r="CP106" s="253" t="s">
        <v>418</v>
      </c>
      <c r="CQ106" s="254">
        <v>1920</v>
      </c>
      <c r="CR106" s="254">
        <v>3.74</v>
      </c>
      <c r="CS106" s="253">
        <v>512.21</v>
      </c>
      <c r="CT106" s="253" t="s">
        <v>387</v>
      </c>
      <c r="CU106" s="254">
        <v>2E-16</v>
      </c>
      <c r="CV106" s="81" t="s">
        <v>388</v>
      </c>
    </row>
    <row r="108" spans="93:100" thickTop="1" thickBot="1" x14ac:dyDescent="0.3">
      <c r="CO108" s="253" t="s">
        <v>429</v>
      </c>
      <c r="CP108" s="253" t="s">
        <v>420</v>
      </c>
      <c r="CQ108" s="253" t="s">
        <v>422</v>
      </c>
    </row>
    <row r="109" spans="93:100" thickTop="1" thickBot="1" x14ac:dyDescent="0.3">
      <c r="CO109" s="253" t="s">
        <v>429</v>
      </c>
      <c r="CP109" s="253" t="s">
        <v>379</v>
      </c>
    </row>
    <row r="110" spans="93:100" thickTop="1" thickBot="1" x14ac:dyDescent="0.3">
      <c r="CO110" s="253" t="s">
        <v>429</v>
      </c>
      <c r="CP110" s="253" t="s">
        <v>380</v>
      </c>
      <c r="CQ110" s="253" t="s">
        <v>381</v>
      </c>
      <c r="CR110" s="253" t="s">
        <v>382</v>
      </c>
      <c r="CS110" s="253" t="s">
        <v>383</v>
      </c>
      <c r="CT110" s="253" t="s">
        <v>384</v>
      </c>
      <c r="CU110" s="253" t="s">
        <v>385</v>
      </c>
    </row>
    <row r="111" spans="93:100" thickTop="1" thickBot="1" x14ac:dyDescent="0.3">
      <c r="CO111" s="253" t="s">
        <v>429</v>
      </c>
      <c r="CP111" s="253" t="s">
        <v>423</v>
      </c>
      <c r="CQ111" s="254">
        <v>290</v>
      </c>
      <c r="CR111" s="254">
        <v>0.34799999999999998</v>
      </c>
      <c r="CS111" s="253">
        <v>833.57</v>
      </c>
      <c r="CT111" s="253" t="s">
        <v>387</v>
      </c>
      <c r="CU111" s="254">
        <v>2E-16</v>
      </c>
      <c r="CV111" s="81" t="s">
        <v>388</v>
      </c>
    </row>
    <row r="112" spans="93:100" thickTop="1" thickBot="1" x14ac:dyDescent="0.3">
      <c r="CO112" s="253" t="s">
        <v>429</v>
      </c>
      <c r="CP112" s="253" t="s">
        <v>424</v>
      </c>
      <c r="CQ112" s="254">
        <v>292</v>
      </c>
      <c r="CR112" s="254">
        <v>0.40400000000000003</v>
      </c>
      <c r="CS112" s="253">
        <v>723.61</v>
      </c>
      <c r="CT112" s="253" t="s">
        <v>387</v>
      </c>
      <c r="CU112" s="254">
        <v>2E-16</v>
      </c>
      <c r="CV112" s="81" t="s">
        <v>388</v>
      </c>
    </row>
    <row r="113" spans="93:100" thickTop="1" thickBot="1" x14ac:dyDescent="0.3">
      <c r="CO113" s="253" t="s">
        <v>429</v>
      </c>
      <c r="CP113" s="253" t="s">
        <v>356</v>
      </c>
      <c r="CQ113" s="254">
        <v>3.0199999999999999E-9</v>
      </c>
      <c r="CR113" s="254">
        <v>1.24E-7</v>
      </c>
      <c r="CS113" s="253">
        <v>0.02</v>
      </c>
      <c r="CT113" s="253">
        <v>0.98050000000000004</v>
      </c>
    </row>
    <row r="114" spans="93:100" thickTop="1" thickBot="1" x14ac:dyDescent="0.3">
      <c r="CO114" s="253" t="s">
        <v>429</v>
      </c>
      <c r="CP114" s="253" t="s">
        <v>358</v>
      </c>
      <c r="CQ114" s="254">
        <v>3.7999999999999998E-11</v>
      </c>
      <c r="CR114" s="254">
        <v>1.9500000000000001E-9</v>
      </c>
      <c r="CS114" s="253">
        <v>0.02</v>
      </c>
      <c r="CT114" s="253">
        <v>0.98440000000000005</v>
      </c>
    </row>
    <row r="115" spans="93:100" thickTop="1" thickBot="1" x14ac:dyDescent="0.3">
      <c r="CO115" s="253" t="s">
        <v>429</v>
      </c>
      <c r="CP115" s="253" t="s">
        <v>425</v>
      </c>
      <c r="CQ115" s="254">
        <v>25100000</v>
      </c>
      <c r="CR115" s="254">
        <v>3300000</v>
      </c>
      <c r="CS115" s="253">
        <v>7.62</v>
      </c>
      <c r="CT115" s="254">
        <v>3.7E-14</v>
      </c>
      <c r="CU115" s="253" t="s">
        <v>388</v>
      </c>
    </row>
    <row r="116" spans="93:100" thickTop="1" thickBot="1" x14ac:dyDescent="0.3">
      <c r="CO116" s="253" t="s">
        <v>429</v>
      </c>
      <c r="CP116" s="253" t="s">
        <v>362</v>
      </c>
      <c r="CQ116" s="254">
        <v>42200000</v>
      </c>
      <c r="CR116" s="254">
        <v>13300000</v>
      </c>
      <c r="CS116" s="253">
        <v>3.17</v>
      </c>
      <c r="CT116" s="253">
        <v>1.5E-3</v>
      </c>
      <c r="CU116" s="253" t="s">
        <v>426</v>
      </c>
    </row>
    <row r="117" spans="93:100" thickTop="1" thickBot="1" x14ac:dyDescent="0.3">
      <c r="CO117" s="253" t="s">
        <v>429</v>
      </c>
      <c r="CP117" s="253" t="s">
        <v>403</v>
      </c>
      <c r="CQ117" s="254">
        <v>8.73</v>
      </c>
      <c r="CR117" s="254">
        <v>6.3299999999999995E-2</v>
      </c>
      <c r="CS117" s="253">
        <v>137.88999999999999</v>
      </c>
      <c r="CT117" s="253" t="s">
        <v>387</v>
      </c>
      <c r="CU117" s="254">
        <v>2E-16</v>
      </c>
      <c r="CV117" s="81" t="s">
        <v>388</v>
      </c>
    </row>
    <row r="118" spans="93:100" thickTop="1" thickBot="1" x14ac:dyDescent="0.3">
      <c r="CO118" s="253" t="s">
        <v>429</v>
      </c>
      <c r="CP118" s="253" t="s">
        <v>427</v>
      </c>
      <c r="CQ118" s="254">
        <v>8.16</v>
      </c>
      <c r="CR118" s="254">
        <v>0.12</v>
      </c>
      <c r="CS118" s="253">
        <v>67.790000000000006</v>
      </c>
      <c r="CT118" s="253" t="s">
        <v>387</v>
      </c>
      <c r="CU118" s="254">
        <v>2E-16</v>
      </c>
      <c r="CV118" s="81" t="s">
        <v>388</v>
      </c>
    </row>
    <row r="119" spans="93:100" thickTop="1" thickBot="1" x14ac:dyDescent="0.3">
      <c r="CO119" s="253" t="s">
        <v>429</v>
      </c>
      <c r="CP119" s="253" t="s">
        <v>415</v>
      </c>
      <c r="CQ119" s="254">
        <v>-5.0999999999999996</v>
      </c>
      <c r="CR119" s="254">
        <v>5.1200000000000002E-2</v>
      </c>
      <c r="CS119" s="253">
        <v>-99.56</v>
      </c>
      <c r="CT119" s="253" t="s">
        <v>387</v>
      </c>
      <c r="CU119" s="254">
        <v>2E-16</v>
      </c>
      <c r="CV119" s="81" t="s">
        <v>388</v>
      </c>
    </row>
    <row r="120" spans="93:100" thickTop="1" thickBot="1" x14ac:dyDescent="0.3">
      <c r="CO120" s="253" t="s">
        <v>429</v>
      </c>
      <c r="CP120" s="253" t="s">
        <v>428</v>
      </c>
      <c r="CQ120" s="254">
        <v>-4.79</v>
      </c>
      <c r="CR120" s="254">
        <v>3.9399999999999998E-2</v>
      </c>
      <c r="CS120" s="253">
        <v>-121.46</v>
      </c>
      <c r="CT120" s="253" t="s">
        <v>387</v>
      </c>
      <c r="CU120" s="254">
        <v>2E-16</v>
      </c>
      <c r="CV120" s="81" t="s">
        <v>388</v>
      </c>
    </row>
    <row r="121" spans="93:100" thickTop="1" thickBot="1" x14ac:dyDescent="0.3">
      <c r="CO121" s="253" t="s">
        <v>429</v>
      </c>
      <c r="CP121" s="253" t="s">
        <v>368</v>
      </c>
      <c r="CQ121" s="254">
        <v>246</v>
      </c>
      <c r="CR121" s="254">
        <v>4.6100000000000003</v>
      </c>
      <c r="CS121" s="253">
        <v>53.3</v>
      </c>
      <c r="CT121" s="253" t="s">
        <v>387</v>
      </c>
      <c r="CU121" s="254">
        <v>2E-16</v>
      </c>
      <c r="CV121" s="81" t="s">
        <v>388</v>
      </c>
    </row>
    <row r="122" spans="93:100" thickTop="1" thickBot="1" x14ac:dyDescent="0.3">
      <c r="CO122" s="253" t="s">
        <v>429</v>
      </c>
      <c r="CP122" s="253" t="s">
        <v>370</v>
      </c>
      <c r="CQ122" s="254">
        <v>3.7399999999999998E-4</v>
      </c>
      <c r="CR122" s="254">
        <v>1.9E-2</v>
      </c>
      <c r="CS122" s="253">
        <v>0.02</v>
      </c>
      <c r="CT122" s="253">
        <v>0.98429999999999995</v>
      </c>
    </row>
    <row r="123" spans="93:100" thickTop="1" thickBot="1" x14ac:dyDescent="0.3">
      <c r="CO123" s="253" t="s">
        <v>429</v>
      </c>
      <c r="CP123" s="253" t="s">
        <v>372</v>
      </c>
      <c r="CQ123" s="254">
        <v>308</v>
      </c>
      <c r="CR123" s="254">
        <v>6.33</v>
      </c>
      <c r="CS123" s="253">
        <v>48.59</v>
      </c>
      <c r="CT123" s="253" t="s">
        <v>387</v>
      </c>
      <c r="CU123" s="254">
        <v>2E-16</v>
      </c>
      <c r="CV123" s="81" t="s">
        <v>388</v>
      </c>
    </row>
  </sheetData>
  <mergeCells count="8">
    <mergeCell ref="E36:F36"/>
    <mergeCell ref="A1:G1"/>
    <mergeCell ref="A3:H3"/>
    <mergeCell ref="J3:T3"/>
    <mergeCell ref="V3:AG3"/>
    <mergeCell ref="K4:O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123"/>
  <sheetViews>
    <sheetView topLeftCell="N1" zoomScale="70" zoomScaleNormal="70" workbookViewId="0">
      <selection activeCell="W37" sqref="W37:AG39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153"/>
    <col min="18" max="20" width="9.140625" style="81"/>
    <col min="21" max="21" width="9.140625" style="1"/>
    <col min="22" max="34" width="9.140625" style="81"/>
    <col min="35" max="36" width="9.140625" style="158"/>
    <col min="37" max="37" width="9.140625" style="159"/>
    <col min="38" max="38" width="10.28515625" style="159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61"/>
    <col min="51" max="51" width="14.7109375" style="162" bestFit="1" customWidth="1"/>
    <col min="52" max="52" width="9.140625" style="161"/>
    <col min="53" max="53" width="9.140625" style="171"/>
    <col min="54" max="67" width="9.140625" style="81"/>
    <col min="68" max="68" width="13.5703125" style="81" bestFit="1" customWidth="1"/>
    <col min="69" max="69" width="9.140625" style="81"/>
    <col min="70" max="70" width="9.140625" style="171"/>
    <col min="71" max="71" width="9.140625" style="81"/>
    <col min="72" max="72" width="11.7109375" style="81" customWidth="1"/>
    <col min="73" max="77" width="9.140625" style="81"/>
    <col min="78" max="81" width="9.140625" style="172"/>
    <col min="82" max="82" width="16.5703125" style="172" customWidth="1"/>
    <col min="83" max="83" width="9.140625" style="172"/>
    <col min="84" max="84" width="9.140625" style="81"/>
    <col min="85" max="86" width="9.140625" style="248"/>
    <col min="87" max="87" width="15" style="81" customWidth="1"/>
    <col min="88" max="88" width="12.140625" style="79" customWidth="1"/>
    <col min="89" max="90" width="11.28515625" style="79" customWidth="1"/>
    <col min="91" max="92" width="9.140625" style="81"/>
    <col min="93" max="99" width="9.140625" style="253"/>
    <col min="100" max="100" width="9.140625" style="81"/>
    <col min="101" max="101" width="15.5703125" style="255" bestFit="1" customWidth="1"/>
    <col min="102" max="105" width="9.140625" style="255"/>
    <col min="106" max="16384" width="9.140625" style="81"/>
  </cols>
  <sheetData>
    <row r="1" spans="1:105" ht="20.25" customHeight="1" thickTop="1" thickBot="1" x14ac:dyDescent="0.35">
      <c r="A1" s="309" t="s">
        <v>310</v>
      </c>
      <c r="B1" s="309"/>
      <c r="C1" s="309"/>
      <c r="D1" s="309"/>
      <c r="E1" s="309"/>
      <c r="F1" s="309"/>
      <c r="G1" s="309"/>
      <c r="AN1" s="160" t="s">
        <v>312</v>
      </c>
      <c r="BB1" s="81" t="s">
        <v>377</v>
      </c>
      <c r="BS1" s="81" t="s">
        <v>378</v>
      </c>
    </row>
    <row r="2" spans="1:105" thickTop="1" thickBot="1" x14ac:dyDescent="0.3">
      <c r="AN2" s="81" t="s">
        <v>313</v>
      </c>
      <c r="CI2" s="81" t="s">
        <v>314</v>
      </c>
      <c r="CJ2" s="79" t="s">
        <v>437</v>
      </c>
      <c r="CK2" s="79" t="s">
        <v>438</v>
      </c>
      <c r="CL2" s="79" t="s">
        <v>439</v>
      </c>
      <c r="CO2" s="253" t="s">
        <v>440</v>
      </c>
    </row>
    <row r="3" spans="1:105" thickTop="1" thickBot="1" x14ac:dyDescent="0.3">
      <c r="A3" s="312" t="s">
        <v>1</v>
      </c>
      <c r="B3" s="313"/>
      <c r="C3" s="313"/>
      <c r="D3" s="313"/>
      <c r="E3" s="313"/>
      <c r="F3" s="313"/>
      <c r="G3" s="313"/>
      <c r="H3" s="314"/>
      <c r="J3" s="306" t="s">
        <v>2</v>
      </c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4"/>
      <c r="V3" s="306" t="s">
        <v>3</v>
      </c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N3" s="163" t="s">
        <v>314</v>
      </c>
      <c r="AO3" s="164" t="s">
        <v>315</v>
      </c>
      <c r="AP3" s="164"/>
      <c r="AQ3" s="165"/>
      <c r="AR3" s="165"/>
      <c r="AS3" s="165"/>
      <c r="AU3" s="166" t="s">
        <v>316</v>
      </c>
      <c r="BC3" s="81" t="s">
        <v>420</v>
      </c>
      <c r="BD3" s="81" t="s">
        <v>430</v>
      </c>
      <c r="BL3" s="166" t="s">
        <v>316</v>
      </c>
      <c r="BM3" s="161"/>
      <c r="BN3" s="161"/>
      <c r="BO3" s="161"/>
      <c r="BP3" s="162"/>
      <c r="BQ3" s="161"/>
      <c r="BS3" s="81" t="s">
        <v>379</v>
      </c>
      <c r="BZ3" s="172" t="s">
        <v>316</v>
      </c>
      <c r="CD3" s="173"/>
      <c r="CI3" s="81" t="s">
        <v>319</v>
      </c>
      <c r="CJ3" s="249">
        <f>AY4</f>
        <v>0.19453426012991223</v>
      </c>
      <c r="CK3" s="249">
        <f>BP4</f>
        <v>0.18</v>
      </c>
      <c r="CL3" s="249">
        <f>CD4</f>
        <v>0.20100000000000001</v>
      </c>
      <c r="CW3" s="255" t="s">
        <v>459</v>
      </c>
    </row>
    <row r="4" spans="1:105" ht="15.75" customHeight="1" thickTop="1" thickBot="1" x14ac:dyDescent="0.3">
      <c r="A4" s="176" t="s">
        <v>6</v>
      </c>
      <c r="B4" s="177">
        <f>'Tabula data'!B5</f>
        <v>531.70000000000005</v>
      </c>
      <c r="C4" s="177" t="s">
        <v>7</v>
      </c>
      <c r="D4" s="176" t="s">
        <v>8</v>
      </c>
      <c r="E4" s="177"/>
      <c r="F4" s="177"/>
      <c r="G4" s="178">
        <f>SUM(H6:H13)</f>
        <v>30.600000000000005</v>
      </c>
      <c r="H4" s="179" t="s">
        <v>9</v>
      </c>
      <c r="K4" s="315" t="s">
        <v>2</v>
      </c>
      <c r="L4" s="316"/>
      <c r="M4" s="316"/>
      <c r="N4" s="316"/>
      <c r="O4" s="317"/>
      <c r="W4" s="223"/>
      <c r="X4" s="223"/>
      <c r="Y4" s="224" t="s">
        <v>4</v>
      </c>
      <c r="Z4" s="224">
        <v>1.9</v>
      </c>
      <c r="AA4" s="224" t="s">
        <v>5</v>
      </c>
      <c r="AB4" s="223"/>
      <c r="AC4" s="223"/>
      <c r="AD4" s="223"/>
      <c r="AL4" s="159" t="s">
        <v>317</v>
      </c>
      <c r="AM4" s="81" t="s">
        <v>318</v>
      </c>
      <c r="AN4" s="81" t="s">
        <v>319</v>
      </c>
      <c r="AO4" s="81">
        <f>SUM(N6:N9)/SUM($N$6:$N$14,$N$26:$N$27)</f>
        <v>0.19453426012991223</v>
      </c>
      <c r="AP4" s="81" t="s">
        <v>320</v>
      </c>
      <c r="AQ4" s="167">
        <v>0.1641929</v>
      </c>
      <c r="AU4" s="168" t="s">
        <v>317</v>
      </c>
      <c r="AV4" s="168" t="s">
        <v>318</v>
      </c>
      <c r="AW4" s="168" t="s">
        <v>319</v>
      </c>
      <c r="AX4" s="169" t="s">
        <v>321</v>
      </c>
      <c r="AY4" s="162">
        <f>AO4</f>
        <v>0.19453426012991223</v>
      </c>
      <c r="AZ4" s="168" t="s">
        <v>320</v>
      </c>
      <c r="BC4" s="81" t="s">
        <v>379</v>
      </c>
      <c r="BL4" s="168" t="s">
        <v>317</v>
      </c>
      <c r="BM4" s="168" t="s">
        <v>318</v>
      </c>
      <c r="BN4" s="168" t="s">
        <v>319</v>
      </c>
      <c r="BO4" s="169" t="s">
        <v>321</v>
      </c>
      <c r="BP4" s="162">
        <f>BD11</f>
        <v>0.18</v>
      </c>
      <c r="BQ4" s="168" t="s">
        <v>320</v>
      </c>
      <c r="BS4" s="81" t="s">
        <v>380</v>
      </c>
      <c r="BT4" s="81" t="s">
        <v>381</v>
      </c>
      <c r="BU4" s="81" t="s">
        <v>382</v>
      </c>
      <c r="BV4" s="81" t="s">
        <v>383</v>
      </c>
      <c r="BW4" s="81" t="s">
        <v>384</v>
      </c>
      <c r="BX4" s="81" t="s">
        <v>385</v>
      </c>
      <c r="BZ4" s="174" t="s">
        <v>317</v>
      </c>
      <c r="CA4" s="174" t="s">
        <v>318</v>
      </c>
      <c r="CB4" s="174" t="s">
        <v>319</v>
      </c>
      <c r="CC4" s="174" t="s">
        <v>321</v>
      </c>
      <c r="CD4" s="173">
        <f>BT10</f>
        <v>0.20100000000000001</v>
      </c>
      <c r="CE4" s="174" t="s">
        <v>320</v>
      </c>
      <c r="CI4" s="81" t="s">
        <v>322</v>
      </c>
      <c r="CJ4" s="249">
        <f t="shared" ref="CJ4:CJ49" si="0">AY5</f>
        <v>0.19453426012991223</v>
      </c>
      <c r="CK4" s="249">
        <f t="shared" ref="CK4:CK6" si="1">BP5</f>
        <v>0.33600000000000002</v>
      </c>
      <c r="CL4" s="249">
        <f t="shared" ref="CL4:CL49" si="2">CD5</f>
        <v>0.39800000000000002</v>
      </c>
      <c r="CO4" s="253" t="s">
        <v>429</v>
      </c>
      <c r="CP4" s="253" t="s">
        <v>420</v>
      </c>
      <c r="CQ4" s="253" t="s">
        <v>441</v>
      </c>
    </row>
    <row r="5" spans="1:105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J5" s="81" t="s">
        <v>10</v>
      </c>
      <c r="K5" s="208" t="s">
        <v>11</v>
      </c>
      <c r="L5" s="209" t="s">
        <v>12</v>
      </c>
      <c r="M5" s="209" t="s">
        <v>13</v>
      </c>
      <c r="N5" s="209" t="s">
        <v>14</v>
      </c>
      <c r="O5" s="210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25" t="s">
        <v>20</v>
      </c>
      <c r="X5" s="226"/>
      <c r="Y5" s="227" t="s">
        <v>21</v>
      </c>
      <c r="Z5" s="228">
        <f>1/(1/10+SUM(AC7:AC10)+1/23)</f>
        <v>0.13970867289220834</v>
      </c>
      <c r="AA5" s="226" t="s">
        <v>5</v>
      </c>
      <c r="AB5" s="226"/>
      <c r="AC5" s="226" t="s">
        <v>22</v>
      </c>
      <c r="AD5" s="229">
        <f>SUM(AD7:AD10)</f>
        <v>61404</v>
      </c>
      <c r="AE5" s="14" t="s">
        <v>23</v>
      </c>
      <c r="AF5" s="14">
        <f>AD10</f>
        <v>16380</v>
      </c>
      <c r="AG5" s="14"/>
      <c r="AL5" s="159" t="s">
        <v>317</v>
      </c>
      <c r="AM5" s="81" t="s">
        <v>318</v>
      </c>
      <c r="AN5" s="81" t="s">
        <v>322</v>
      </c>
      <c r="AO5" s="81">
        <f>SUM(N27)/SUM($N$6:$N$14,$N$26:$N$27)</f>
        <v>0.19453426012991223</v>
      </c>
      <c r="AP5" s="81" t="s">
        <v>320</v>
      </c>
      <c r="AQ5" s="167">
        <v>0.42146270000000002</v>
      </c>
      <c r="AU5" s="168" t="s">
        <v>317</v>
      </c>
      <c r="AV5" s="168" t="s">
        <v>318</v>
      </c>
      <c r="AW5" s="168" t="s">
        <v>322</v>
      </c>
      <c r="AX5" s="169" t="s">
        <v>321</v>
      </c>
      <c r="AY5" s="162">
        <f t="shared" ref="AY5:AY7" si="3">AO5</f>
        <v>0.19453426012991223</v>
      </c>
      <c r="AZ5" s="168" t="s">
        <v>320</v>
      </c>
      <c r="BC5" s="81" t="s">
        <v>380</v>
      </c>
      <c r="BD5" s="81" t="s">
        <v>381</v>
      </c>
      <c r="BE5" s="81" t="s">
        <v>382</v>
      </c>
      <c r="BF5" s="81" t="s">
        <v>383</v>
      </c>
      <c r="BG5" s="81" t="s">
        <v>384</v>
      </c>
      <c r="BH5" s="81" t="s">
        <v>385</v>
      </c>
      <c r="BL5" s="168" t="s">
        <v>317</v>
      </c>
      <c r="BM5" s="168" t="s">
        <v>318</v>
      </c>
      <c r="BN5" s="168" t="s">
        <v>322</v>
      </c>
      <c r="BO5" s="169" t="s">
        <v>321</v>
      </c>
      <c r="BP5" s="162">
        <f t="shared" ref="BP5:BP7" si="4">BD12</f>
        <v>0.33600000000000002</v>
      </c>
      <c r="BQ5" s="168" t="s">
        <v>320</v>
      </c>
      <c r="BS5" s="81" t="s">
        <v>386</v>
      </c>
      <c r="BT5" s="167">
        <v>290</v>
      </c>
      <c r="BU5" s="167">
        <v>0.17599999999999999</v>
      </c>
      <c r="BV5" s="81">
        <v>1648.59</v>
      </c>
      <c r="BW5" s="81" t="s">
        <v>387</v>
      </c>
      <c r="BX5" s="167">
        <v>2E-16</v>
      </c>
      <c r="BY5" s="81" t="s">
        <v>388</v>
      </c>
      <c r="BZ5" s="174" t="s">
        <v>317</v>
      </c>
      <c r="CA5" s="174" t="s">
        <v>318</v>
      </c>
      <c r="CB5" s="174" t="s">
        <v>322</v>
      </c>
      <c r="CC5" s="174" t="s">
        <v>321</v>
      </c>
      <c r="CD5" s="173">
        <f t="shared" ref="CD5:CD7" si="5">BT11</f>
        <v>0.39800000000000002</v>
      </c>
      <c r="CE5" s="174" t="s">
        <v>320</v>
      </c>
      <c r="CI5" s="81" t="s">
        <v>323</v>
      </c>
      <c r="CJ5" s="249">
        <f t="shared" si="0"/>
        <v>6.8641466054890299E-2</v>
      </c>
      <c r="CK5" s="249">
        <f t="shared" si="1"/>
        <v>0.33700000000000002</v>
      </c>
      <c r="CL5" s="249">
        <f t="shared" si="2"/>
        <v>5.96E-2</v>
      </c>
      <c r="CO5" s="253" t="s">
        <v>429</v>
      </c>
      <c r="CP5" s="253" t="s">
        <v>379</v>
      </c>
      <c r="CW5" s="255" t="s">
        <v>460</v>
      </c>
      <c r="CX5" s="256" t="s">
        <v>461</v>
      </c>
      <c r="CY5" s="256" t="s">
        <v>321</v>
      </c>
      <c r="CZ5" s="257">
        <f>CQ12</f>
        <v>0.96099999999999997</v>
      </c>
      <c r="DA5" s="255" t="s">
        <v>320</v>
      </c>
    </row>
    <row r="6" spans="1:105" ht="15" customHeight="1" thickTop="1" thickBot="1" x14ac:dyDescent="0.3">
      <c r="A6" s="185" t="s">
        <v>34</v>
      </c>
      <c r="B6" s="186">
        <f>'Tabula data'!B4</f>
        <v>193.4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0.19346405228758171</v>
      </c>
      <c r="G6" s="183"/>
      <c r="H6" s="190">
        <f>'Tabula data'!B22*'Tabula Ref2'!C45</f>
        <v>5.9200000000000008</v>
      </c>
      <c r="J6" s="81" t="s">
        <v>24</v>
      </c>
      <c r="K6" s="211">
        <v>0</v>
      </c>
      <c r="L6" s="212">
        <v>1</v>
      </c>
      <c r="M6" s="212" t="s">
        <v>25</v>
      </c>
      <c r="N6" s="213">
        <f>'Tabula data'!B19*C43</f>
        <v>16.822408211117601</v>
      </c>
      <c r="O6" s="214" t="s">
        <v>26</v>
      </c>
      <c r="P6" s="30">
        <f t="shared" ref="P6:P31" si="7">VLOOKUP(M6,$W$5:$Z$391,4,0)</f>
        <v>0.17756435050594532</v>
      </c>
      <c r="Q6" s="30">
        <f t="shared" ref="Q6:Q31" si="8">P6*N6</f>
        <v>2.9870599879529784</v>
      </c>
      <c r="R6" s="30">
        <f t="shared" ref="R6:R14" si="9">VLOOKUP(M6,$W$5:$AD$391,8,0)*N6</f>
        <v>5136554.1231826479</v>
      </c>
      <c r="S6" s="30">
        <f t="shared" ref="S6:S14" si="10">R6/N6</f>
        <v>305340</v>
      </c>
      <c r="T6" s="30">
        <f t="shared" ref="T6:T14" si="11">VLOOKUP(M6,$W$5:$AF$391,10,0)*N6</f>
        <v>3045192.3343765088</v>
      </c>
      <c r="U6" s="31"/>
      <c r="V6" s="153"/>
      <c r="W6" s="230"/>
      <c r="X6" s="231" t="s">
        <v>27</v>
      </c>
      <c r="Y6" s="231" t="s">
        <v>28</v>
      </c>
      <c r="Z6" s="231" t="s">
        <v>29</v>
      </c>
      <c r="AA6" s="231" t="s">
        <v>30</v>
      </c>
      <c r="AB6" s="231" t="s">
        <v>31</v>
      </c>
      <c r="AC6" s="231" t="s">
        <v>32</v>
      </c>
      <c r="AD6" s="232" t="s">
        <v>33</v>
      </c>
      <c r="AE6" s="14"/>
      <c r="AF6" s="14"/>
      <c r="AG6" s="14"/>
      <c r="AL6" s="159" t="s">
        <v>317</v>
      </c>
      <c r="AM6" s="81" t="s">
        <v>318</v>
      </c>
      <c r="AN6" s="81" t="s">
        <v>323</v>
      </c>
      <c r="AO6" s="81">
        <f>SUM(N10:N13)/SUM($N$6:$N$14,$N$26:$N$27)</f>
        <v>6.8641466054890299E-2</v>
      </c>
      <c r="AP6" s="81" t="s">
        <v>320</v>
      </c>
      <c r="AQ6" s="167">
        <v>0.13510150000000001</v>
      </c>
      <c r="AU6" s="168" t="s">
        <v>317</v>
      </c>
      <c r="AV6" s="168" t="s">
        <v>318</v>
      </c>
      <c r="AW6" s="168" t="s">
        <v>323</v>
      </c>
      <c r="AX6" s="169" t="s">
        <v>321</v>
      </c>
      <c r="AY6" s="162">
        <f t="shared" si="3"/>
        <v>6.8641466054890299E-2</v>
      </c>
      <c r="AZ6" s="168" t="s">
        <v>320</v>
      </c>
      <c r="BC6" s="81" t="s">
        <v>386</v>
      </c>
      <c r="BD6" s="167">
        <v>294</v>
      </c>
      <c r="BE6" s="167">
        <v>7.8200000000000006E-2</v>
      </c>
      <c r="BF6" s="81">
        <v>3752.8</v>
      </c>
      <c r="BG6" s="81" t="s">
        <v>431</v>
      </c>
      <c r="BH6" s="81" t="s">
        <v>388</v>
      </c>
      <c r="BL6" s="168" t="s">
        <v>317</v>
      </c>
      <c r="BM6" s="168" t="s">
        <v>318</v>
      </c>
      <c r="BN6" s="168" t="s">
        <v>323</v>
      </c>
      <c r="BO6" s="169" t="s">
        <v>321</v>
      </c>
      <c r="BP6" s="162">
        <f t="shared" si="4"/>
        <v>0.33700000000000002</v>
      </c>
      <c r="BQ6" s="168" t="s">
        <v>320</v>
      </c>
      <c r="BS6" s="81" t="s">
        <v>389</v>
      </c>
      <c r="BT6" s="167">
        <v>288</v>
      </c>
      <c r="BU6" s="167">
        <v>9.1499999999999998E-2</v>
      </c>
      <c r="BV6" s="81">
        <v>3142.73</v>
      </c>
      <c r="BW6" s="81" t="s">
        <v>387</v>
      </c>
      <c r="BX6" s="167">
        <v>2E-16</v>
      </c>
      <c r="BY6" s="81" t="s">
        <v>388</v>
      </c>
      <c r="BZ6" s="174" t="s">
        <v>317</v>
      </c>
      <c r="CA6" s="174" t="s">
        <v>318</v>
      </c>
      <c r="CB6" s="174" t="s">
        <v>323</v>
      </c>
      <c r="CC6" s="174" t="s">
        <v>321</v>
      </c>
      <c r="CD6" s="173">
        <f t="shared" si="5"/>
        <v>5.96E-2</v>
      </c>
      <c r="CE6" s="174" t="s">
        <v>320</v>
      </c>
      <c r="CI6" s="81" t="s">
        <v>324</v>
      </c>
      <c r="CJ6" s="249">
        <f t="shared" si="0"/>
        <v>0.2489935533363668</v>
      </c>
      <c r="CK6" s="249">
        <f t="shared" si="1"/>
        <v>0.10299999999999999</v>
      </c>
      <c r="CL6" s="249">
        <f t="shared" si="2"/>
        <v>0.161</v>
      </c>
      <c r="CO6" s="253" t="s">
        <v>429</v>
      </c>
      <c r="CP6" s="253" t="s">
        <v>380</v>
      </c>
      <c r="CQ6" s="253" t="s">
        <v>381</v>
      </c>
      <c r="CR6" s="253" t="s">
        <v>382</v>
      </c>
      <c r="CS6" s="253" t="s">
        <v>383</v>
      </c>
      <c r="CT6" s="253" t="s">
        <v>384</v>
      </c>
      <c r="CU6" s="253" t="s">
        <v>385</v>
      </c>
      <c r="CW6" s="255" t="s">
        <v>460</v>
      </c>
      <c r="CX6" s="256" t="s">
        <v>462</v>
      </c>
      <c r="CY6" s="256" t="s">
        <v>321</v>
      </c>
      <c r="CZ6" s="257">
        <f t="shared" ref="CZ6:CZ23" si="12">CQ13</f>
        <v>1.9</v>
      </c>
      <c r="DA6" s="255" t="s">
        <v>320</v>
      </c>
    </row>
    <row r="7" spans="1:105" ht="15" customHeight="1" thickTop="1" thickBot="1" x14ac:dyDescent="0.3">
      <c r="A7" s="188" t="s">
        <v>42</v>
      </c>
      <c r="B7" s="191">
        <f>'Tabula data'!B14</f>
        <v>88.800000000000011</v>
      </c>
      <c r="C7" s="192" t="s">
        <v>9</v>
      </c>
      <c r="D7" s="188" t="s">
        <v>43</v>
      </c>
      <c r="E7" s="183" t="s">
        <v>36</v>
      </c>
      <c r="F7" s="189">
        <f t="shared" si="6"/>
        <v>0.19084967320261434</v>
      </c>
      <c r="G7" s="183"/>
      <c r="H7" s="190">
        <f>'Tabula data'!B23*'Tabula Ref2'!C45</f>
        <v>5.84</v>
      </c>
      <c r="J7" s="81" t="s">
        <v>38</v>
      </c>
      <c r="K7" s="215">
        <v>0</v>
      </c>
      <c r="L7" s="216">
        <v>1</v>
      </c>
      <c r="M7" s="216" t="s">
        <v>25</v>
      </c>
      <c r="N7" s="217">
        <f>'Tabula data'!B20*C43</f>
        <v>35.733053277868223</v>
      </c>
      <c r="O7" s="218" t="s">
        <v>39</v>
      </c>
      <c r="P7" s="30">
        <f t="shared" si="7"/>
        <v>0.17756435050594532</v>
      </c>
      <c r="Q7" s="30">
        <f t="shared" si="8"/>
        <v>6.3449163968790119</v>
      </c>
      <c r="R7" s="30">
        <f t="shared" si="9"/>
        <v>10910730.487864284</v>
      </c>
      <c r="S7" s="30">
        <f t="shared" si="10"/>
        <v>305340</v>
      </c>
      <c r="T7" s="30">
        <f t="shared" si="11"/>
        <v>6468397.3043597071</v>
      </c>
      <c r="U7" s="31"/>
      <c r="V7" s="153"/>
      <c r="W7" s="182"/>
      <c r="X7" s="183" t="s">
        <v>40</v>
      </c>
      <c r="Y7" s="183">
        <v>0.02</v>
      </c>
      <c r="Z7" s="183">
        <v>1.3</v>
      </c>
      <c r="AA7" s="183">
        <v>1700</v>
      </c>
      <c r="AB7" s="183">
        <v>840</v>
      </c>
      <c r="AC7" s="233">
        <f>Y7/Z7</f>
        <v>1.5384615384615384E-2</v>
      </c>
      <c r="AD7" s="184">
        <f>Y7*AA7*AB7</f>
        <v>28560</v>
      </c>
      <c r="AE7" s="14" t="s">
        <v>41</v>
      </c>
      <c r="AF7" s="14"/>
      <c r="AG7" s="14"/>
      <c r="AL7" s="159" t="s">
        <v>317</v>
      </c>
      <c r="AM7" s="81" t="s">
        <v>318</v>
      </c>
      <c r="AN7" s="81" t="s">
        <v>324</v>
      </c>
      <c r="AO7" s="81">
        <f>SUM(N14)/SUM(N6:N14,N27,N26)</f>
        <v>0.2489935533363668</v>
      </c>
      <c r="AP7" s="81" t="s">
        <v>320</v>
      </c>
      <c r="AQ7" s="167">
        <v>0.161666</v>
      </c>
      <c r="AU7" s="168" t="s">
        <v>317</v>
      </c>
      <c r="AV7" s="168" t="s">
        <v>318</v>
      </c>
      <c r="AW7" s="168" t="s">
        <v>324</v>
      </c>
      <c r="AX7" s="169" t="s">
        <v>321</v>
      </c>
      <c r="AY7" s="162">
        <f t="shared" si="3"/>
        <v>0.2489935533363668</v>
      </c>
      <c r="AZ7" s="168" t="s">
        <v>320</v>
      </c>
      <c r="BC7" s="81" t="s">
        <v>389</v>
      </c>
      <c r="BD7" s="167">
        <v>289</v>
      </c>
      <c r="BE7" s="167">
        <v>6.1899999999999997E-2</v>
      </c>
      <c r="BF7" s="81">
        <v>4670.42</v>
      </c>
      <c r="BG7" s="81" t="s">
        <v>431</v>
      </c>
      <c r="BH7" s="81" t="s">
        <v>388</v>
      </c>
      <c r="BL7" s="168" t="s">
        <v>317</v>
      </c>
      <c r="BM7" s="168" t="s">
        <v>318</v>
      </c>
      <c r="BN7" s="168" t="s">
        <v>324</v>
      </c>
      <c r="BO7" s="169" t="s">
        <v>321</v>
      </c>
      <c r="BP7" s="162">
        <f t="shared" si="4"/>
        <v>0.10299999999999999</v>
      </c>
      <c r="BQ7" s="168" t="s">
        <v>320</v>
      </c>
      <c r="BS7" s="81" t="s">
        <v>390</v>
      </c>
      <c r="BT7" s="167">
        <v>294</v>
      </c>
      <c r="BU7" s="167">
        <v>7.6200000000000004E-2</v>
      </c>
      <c r="BV7" s="81">
        <v>3861.36</v>
      </c>
      <c r="BW7" s="81" t="s">
        <v>387</v>
      </c>
      <c r="BX7" s="167">
        <v>2E-16</v>
      </c>
      <c r="BY7" s="81" t="s">
        <v>388</v>
      </c>
      <c r="BZ7" s="174" t="s">
        <v>317</v>
      </c>
      <c r="CA7" s="174" t="s">
        <v>318</v>
      </c>
      <c r="CB7" s="174" t="s">
        <v>324</v>
      </c>
      <c r="CC7" s="174" t="s">
        <v>321</v>
      </c>
      <c r="CD7" s="173">
        <f t="shared" si="5"/>
        <v>0.161</v>
      </c>
      <c r="CE7" s="174" t="s">
        <v>320</v>
      </c>
      <c r="CJ7" s="250"/>
      <c r="CK7" s="250"/>
      <c r="CL7" s="250"/>
      <c r="CO7" s="253" t="s">
        <v>429</v>
      </c>
      <c r="CP7" s="253" t="s">
        <v>386</v>
      </c>
      <c r="CQ7" s="254">
        <v>290</v>
      </c>
      <c r="CR7" s="254">
        <v>0.17399999999999999</v>
      </c>
      <c r="CS7" s="253">
        <v>1670.17</v>
      </c>
      <c r="CT7" s="253" t="s">
        <v>387</v>
      </c>
      <c r="CU7" s="254">
        <v>2E-16</v>
      </c>
      <c r="CV7" s="81" t="s">
        <v>388</v>
      </c>
      <c r="CW7" s="255" t="s">
        <v>460</v>
      </c>
      <c r="CX7" s="258" t="s">
        <v>463</v>
      </c>
      <c r="CY7" s="256" t="s">
        <v>321</v>
      </c>
      <c r="CZ7" s="257">
        <f t="shared" si="12"/>
        <v>1.1499999999999999</v>
      </c>
      <c r="DA7" s="255" t="s">
        <v>320</v>
      </c>
    </row>
    <row r="8" spans="1:105" ht="15" customHeight="1" thickTop="1" thickBot="1" x14ac:dyDescent="0.3">
      <c r="A8" s="188" t="s">
        <v>47</v>
      </c>
      <c r="B8" s="191">
        <f>B6-B7</f>
        <v>104.6</v>
      </c>
      <c r="C8" s="183" t="s">
        <v>9</v>
      </c>
      <c r="D8" s="188" t="s">
        <v>48</v>
      </c>
      <c r="E8" s="183" t="s">
        <v>36</v>
      </c>
      <c r="F8" s="189">
        <f t="shared" si="6"/>
        <v>0.2196078431372549</v>
      </c>
      <c r="G8" s="183"/>
      <c r="H8" s="190">
        <f>'Tabula data'!B24*C45</f>
        <v>6.7200000000000006</v>
      </c>
      <c r="J8" s="81" t="s">
        <v>44</v>
      </c>
      <c r="K8" s="215">
        <v>0</v>
      </c>
      <c r="L8" s="216">
        <v>1</v>
      </c>
      <c r="M8" s="216" t="s">
        <v>25</v>
      </c>
      <c r="N8" s="217">
        <f>N6</f>
        <v>16.822408211117601</v>
      </c>
      <c r="O8" s="218" t="s">
        <v>45</v>
      </c>
      <c r="P8" s="30">
        <f t="shared" si="7"/>
        <v>0.17756435050594532</v>
      </c>
      <c r="Q8" s="30">
        <f t="shared" si="8"/>
        <v>2.9870599879529784</v>
      </c>
      <c r="R8" s="30">
        <f t="shared" si="9"/>
        <v>5136554.1231826479</v>
      </c>
      <c r="S8" s="30">
        <f t="shared" si="10"/>
        <v>305340</v>
      </c>
      <c r="T8" s="30">
        <f t="shared" si="11"/>
        <v>3045192.3343765088</v>
      </c>
      <c r="U8" s="31"/>
      <c r="V8" s="153"/>
      <c r="W8" s="182"/>
      <c r="X8" s="183" t="s">
        <v>46</v>
      </c>
      <c r="Y8" s="183">
        <v>0.03</v>
      </c>
      <c r="Z8" s="183">
        <f>0.18/Y8</f>
        <v>6</v>
      </c>
      <c r="AA8" s="183">
        <v>0</v>
      </c>
      <c r="AB8" s="183">
        <v>0</v>
      </c>
      <c r="AC8" s="233">
        <v>0.16</v>
      </c>
      <c r="AD8" s="184">
        <f>Y8*AA8*AB8</f>
        <v>0</v>
      </c>
      <c r="AE8" s="14"/>
      <c r="AF8" s="14"/>
      <c r="AG8" s="14"/>
      <c r="AP8" s="81" t="s">
        <v>320</v>
      </c>
      <c r="AQ8" s="167"/>
      <c r="AU8" s="168"/>
      <c r="AV8" s="168"/>
      <c r="AW8" s="168"/>
      <c r="AX8" s="169"/>
      <c r="AZ8" s="168"/>
      <c r="BC8" s="81" t="s">
        <v>390</v>
      </c>
      <c r="BD8" s="167">
        <v>294</v>
      </c>
      <c r="BE8" s="167">
        <v>1.9099999999999999E-2</v>
      </c>
      <c r="BF8" s="81">
        <v>15359.29</v>
      </c>
      <c r="BG8" s="81" t="s">
        <v>431</v>
      </c>
      <c r="BH8" s="81" t="s">
        <v>388</v>
      </c>
      <c r="BL8" s="168"/>
      <c r="BM8" s="168"/>
      <c r="BN8" s="168"/>
      <c r="BO8" s="169"/>
      <c r="BP8" s="162"/>
      <c r="BQ8" s="168"/>
      <c r="BS8" s="81" t="s">
        <v>391</v>
      </c>
      <c r="BT8" s="167">
        <v>290</v>
      </c>
      <c r="BU8" s="167">
        <v>0.1</v>
      </c>
      <c r="BV8" s="81">
        <v>2889.29</v>
      </c>
      <c r="BW8" s="81" t="s">
        <v>387</v>
      </c>
      <c r="BX8" s="167">
        <v>2E-16</v>
      </c>
      <c r="BY8" s="81" t="s">
        <v>388</v>
      </c>
      <c r="BZ8" s="174"/>
      <c r="CA8" s="174"/>
      <c r="CB8" s="174"/>
      <c r="CC8" s="174"/>
      <c r="CD8" s="173"/>
      <c r="CE8" s="174"/>
      <c r="CI8" s="81" t="s">
        <v>325</v>
      </c>
      <c r="CJ8" s="251">
        <f t="shared" si="0"/>
        <v>1635553.9200000004</v>
      </c>
      <c r="CK8" s="251">
        <f>BP9</f>
        <v>2900000</v>
      </c>
      <c r="CL8" s="251">
        <f t="shared" si="2"/>
        <v>3010000</v>
      </c>
      <c r="CO8" s="253" t="s">
        <v>429</v>
      </c>
      <c r="CP8" s="253" t="s">
        <v>389</v>
      </c>
      <c r="CQ8" s="254">
        <v>288</v>
      </c>
      <c r="CR8" s="254">
        <v>8.8900000000000007E-2</v>
      </c>
      <c r="CS8" s="253">
        <v>3233.57</v>
      </c>
      <c r="CT8" s="253" t="s">
        <v>387</v>
      </c>
      <c r="CU8" s="254">
        <v>2E-16</v>
      </c>
      <c r="CV8" s="81" t="s">
        <v>388</v>
      </c>
      <c r="CW8" s="255" t="s">
        <v>460</v>
      </c>
      <c r="CX8" s="259" t="s">
        <v>464</v>
      </c>
      <c r="CY8" s="256" t="s">
        <v>321</v>
      </c>
      <c r="CZ8" s="257">
        <f t="shared" si="12"/>
        <v>0.79</v>
      </c>
      <c r="DA8" s="255" t="s">
        <v>320</v>
      </c>
    </row>
    <row r="9" spans="1:105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0.19607843137254899</v>
      </c>
      <c r="G9" s="183"/>
      <c r="H9" s="190">
        <f>'Tabula data'!B25*'Tabula Ref2'!C45</f>
        <v>6</v>
      </c>
      <c r="J9" s="81" t="s">
        <v>49</v>
      </c>
      <c r="K9" s="215">
        <v>0</v>
      </c>
      <c r="L9" s="216">
        <v>1</v>
      </c>
      <c r="M9" s="216" t="s">
        <v>25</v>
      </c>
      <c r="N9" s="217">
        <v>0</v>
      </c>
      <c r="O9" s="218" t="s">
        <v>50</v>
      </c>
      <c r="P9" s="30">
        <f t="shared" si="7"/>
        <v>0.17756435050594532</v>
      </c>
      <c r="Q9" s="30">
        <f t="shared" si="8"/>
        <v>0</v>
      </c>
      <c r="R9" s="30">
        <f t="shared" si="9"/>
        <v>0</v>
      </c>
      <c r="S9" s="30" t="e">
        <f t="shared" si="10"/>
        <v>#DIV/0!</v>
      </c>
      <c r="T9" s="30">
        <f t="shared" si="11"/>
        <v>0</v>
      </c>
      <c r="U9" s="31"/>
      <c r="V9" s="153"/>
      <c r="W9" s="182"/>
      <c r="X9" s="193" t="s">
        <v>51</v>
      </c>
      <c r="Y9" s="286">
        <v>0.245</v>
      </c>
      <c r="Z9" s="183">
        <v>3.5999999999999997E-2</v>
      </c>
      <c r="AA9" s="183">
        <v>80</v>
      </c>
      <c r="AB9" s="183">
        <v>840</v>
      </c>
      <c r="AC9" s="233">
        <f>Y9/Z9</f>
        <v>6.8055555555555562</v>
      </c>
      <c r="AD9" s="184">
        <f>Y9*AA9*AB9</f>
        <v>16464</v>
      </c>
      <c r="AE9" s="149" t="s">
        <v>270</v>
      </c>
      <c r="AF9" s="14"/>
      <c r="AG9" s="14"/>
      <c r="AL9" s="159" t="s">
        <v>317</v>
      </c>
      <c r="AM9" s="81" t="s">
        <v>318</v>
      </c>
      <c r="AN9" s="81" t="s">
        <v>325</v>
      </c>
      <c r="AO9" s="167">
        <f>B34*1.04*1012*5</f>
        <v>1635553.9200000004</v>
      </c>
      <c r="AP9" s="81" t="s">
        <v>320</v>
      </c>
      <c r="AQ9" s="167">
        <v>2745646</v>
      </c>
      <c r="AU9" s="168" t="s">
        <v>317</v>
      </c>
      <c r="AV9" s="168" t="s">
        <v>318</v>
      </c>
      <c r="AW9" s="168" t="s">
        <v>325</v>
      </c>
      <c r="AX9" s="169" t="s">
        <v>321</v>
      </c>
      <c r="AY9" s="162">
        <f>AO9</f>
        <v>1635553.9200000004</v>
      </c>
      <c r="AZ9" s="168" t="s">
        <v>320</v>
      </c>
      <c r="BC9" s="81" t="s">
        <v>391</v>
      </c>
      <c r="BD9" s="167">
        <v>291</v>
      </c>
      <c r="BE9" s="167">
        <v>8.3099999999999993E-2</v>
      </c>
      <c r="BF9" s="81">
        <v>3501.39</v>
      </c>
      <c r="BG9" s="81" t="s">
        <v>431</v>
      </c>
      <c r="BH9" s="81" t="s">
        <v>388</v>
      </c>
      <c r="BL9" s="168" t="s">
        <v>317</v>
      </c>
      <c r="BM9" s="168" t="s">
        <v>318</v>
      </c>
      <c r="BN9" s="168" t="s">
        <v>325</v>
      </c>
      <c r="BO9" s="169" t="s">
        <v>321</v>
      </c>
      <c r="BP9" s="175">
        <f>BD18</f>
        <v>2900000</v>
      </c>
      <c r="BQ9" s="168" t="s">
        <v>320</v>
      </c>
      <c r="BS9" s="81" t="s">
        <v>392</v>
      </c>
      <c r="BT9" s="167">
        <v>288</v>
      </c>
      <c r="BU9" s="167">
        <v>0.1</v>
      </c>
      <c r="BV9" s="81">
        <v>2867.98</v>
      </c>
      <c r="BW9" s="81" t="s">
        <v>387</v>
      </c>
      <c r="BX9" s="167">
        <v>2E-16</v>
      </c>
      <c r="BY9" s="81" t="s">
        <v>388</v>
      </c>
      <c r="BZ9" s="174" t="s">
        <v>317</v>
      </c>
      <c r="CA9" s="174" t="s">
        <v>318</v>
      </c>
      <c r="CB9" s="174" t="s">
        <v>325</v>
      </c>
      <c r="CC9" s="174" t="s">
        <v>321</v>
      </c>
      <c r="CD9" s="173">
        <f>BT18</f>
        <v>3010000</v>
      </c>
      <c r="CE9" s="174" t="s">
        <v>320</v>
      </c>
      <c r="CI9" s="81" t="s">
        <v>326</v>
      </c>
      <c r="CJ9" s="251">
        <f t="shared" si="0"/>
        <v>12558781.973112725</v>
      </c>
      <c r="CK9" s="251">
        <f t="shared" ref="CK9:CK49" si="13">BP10</f>
        <v>50500000</v>
      </c>
      <c r="CL9" s="251">
        <f t="shared" si="2"/>
        <v>44000000</v>
      </c>
      <c r="CO9" s="253" t="s">
        <v>429</v>
      </c>
      <c r="CP9" s="253" t="s">
        <v>390</v>
      </c>
      <c r="CQ9" s="254">
        <v>294</v>
      </c>
      <c r="CR9" s="254">
        <v>7.5200000000000003E-2</v>
      </c>
      <c r="CS9" s="253">
        <v>3910.94</v>
      </c>
      <c r="CT9" s="253" t="s">
        <v>387</v>
      </c>
      <c r="CU9" s="254">
        <v>2E-16</v>
      </c>
      <c r="CV9" s="81" t="s">
        <v>388</v>
      </c>
      <c r="CW9" s="255" t="s">
        <v>460</v>
      </c>
      <c r="CX9" s="259" t="s">
        <v>465</v>
      </c>
      <c r="CY9" s="256" t="s">
        <v>321</v>
      </c>
      <c r="CZ9" s="257">
        <f t="shared" si="12"/>
        <v>1.95</v>
      </c>
      <c r="DA9" s="255" t="s">
        <v>320</v>
      </c>
    </row>
    <row r="10" spans="1:105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4.8366013071895413E-2</v>
      </c>
      <c r="G10" s="183"/>
      <c r="H10" s="194">
        <f>'Tabula data'!B22*(1-C45)</f>
        <v>1.4799999999999998</v>
      </c>
      <c r="J10" s="81" t="s">
        <v>53</v>
      </c>
      <c r="K10" s="215">
        <v>0</v>
      </c>
      <c r="L10" s="216">
        <v>1</v>
      </c>
      <c r="M10" s="216" t="s">
        <v>54</v>
      </c>
      <c r="N10" s="217">
        <f>H6</f>
        <v>5.9200000000000008</v>
      </c>
      <c r="O10" s="218" t="s">
        <v>26</v>
      </c>
      <c r="P10" s="30">
        <f t="shared" si="7"/>
        <v>1.1000000000000001</v>
      </c>
      <c r="Q10" s="30">
        <f t="shared" si="8"/>
        <v>6.5120000000000013</v>
      </c>
      <c r="R10" s="30">
        <f t="shared" si="9"/>
        <v>0</v>
      </c>
      <c r="S10" s="30">
        <f t="shared" si="10"/>
        <v>0</v>
      </c>
      <c r="T10" s="30">
        <f t="shared" si="11"/>
        <v>0</v>
      </c>
      <c r="U10" s="31"/>
      <c r="V10" s="153"/>
      <c r="W10" s="199"/>
      <c r="X10" s="181" t="s">
        <v>58</v>
      </c>
      <c r="Y10" s="181">
        <v>0.02</v>
      </c>
      <c r="Z10" s="181">
        <v>0.6</v>
      </c>
      <c r="AA10" s="181">
        <v>975</v>
      </c>
      <c r="AB10" s="181">
        <v>840</v>
      </c>
      <c r="AC10" s="234">
        <f>Y10/Z10</f>
        <v>3.3333333333333333E-2</v>
      </c>
      <c r="AD10" s="204">
        <f>Y10*AA10*AB10</f>
        <v>16380</v>
      </c>
      <c r="AE10" s="14"/>
      <c r="AF10" s="14"/>
      <c r="AG10" s="14"/>
      <c r="AL10" s="159" t="s">
        <v>317</v>
      </c>
      <c r="AM10" s="81" t="s">
        <v>318</v>
      </c>
      <c r="AN10" s="81" t="s">
        <v>326</v>
      </c>
      <c r="AO10" s="167">
        <f>SUM(T6:T9)</f>
        <v>12558781.973112725</v>
      </c>
      <c r="AP10" s="81" t="s">
        <v>320</v>
      </c>
      <c r="AQ10" s="167">
        <v>14395560</v>
      </c>
      <c r="AU10" s="168" t="s">
        <v>317</v>
      </c>
      <c r="AV10" s="168" t="s">
        <v>318</v>
      </c>
      <c r="AW10" s="168" t="s">
        <v>326</v>
      </c>
      <c r="AX10" s="169" t="s">
        <v>321</v>
      </c>
      <c r="AY10" s="162">
        <f t="shared" ref="AY10:AY12" si="14">AO10</f>
        <v>12558781.973112725</v>
      </c>
      <c r="AZ10" s="168" t="s">
        <v>320</v>
      </c>
      <c r="BC10" s="81" t="s">
        <v>392</v>
      </c>
      <c r="BD10" s="167">
        <v>291</v>
      </c>
      <c r="BE10" s="167">
        <v>7.2099999999999997E-2</v>
      </c>
      <c r="BF10" s="81">
        <v>4032.89</v>
      </c>
      <c r="BG10" s="81" t="s">
        <v>431</v>
      </c>
      <c r="BH10" s="81" t="s">
        <v>388</v>
      </c>
      <c r="BL10" s="168" t="s">
        <v>317</v>
      </c>
      <c r="BM10" s="168" t="s">
        <v>318</v>
      </c>
      <c r="BN10" s="168" t="s">
        <v>326</v>
      </c>
      <c r="BO10" s="169" t="s">
        <v>321</v>
      </c>
      <c r="BP10" s="175">
        <f t="shared" ref="BP10:BP11" si="15">BD19</f>
        <v>50500000</v>
      </c>
      <c r="BQ10" s="168" t="s">
        <v>320</v>
      </c>
      <c r="BS10" s="81" t="s">
        <v>393</v>
      </c>
      <c r="BT10" s="167">
        <v>0.20100000000000001</v>
      </c>
      <c r="BU10" s="167">
        <v>1.56E-3</v>
      </c>
      <c r="BV10" s="81">
        <v>128.78</v>
      </c>
      <c r="BW10" s="81" t="s">
        <v>387</v>
      </c>
      <c r="BX10" s="167">
        <v>2E-16</v>
      </c>
      <c r="BY10" s="81" t="s">
        <v>388</v>
      </c>
      <c r="BZ10" s="174" t="s">
        <v>317</v>
      </c>
      <c r="CA10" s="174" t="s">
        <v>318</v>
      </c>
      <c r="CB10" s="174" t="s">
        <v>326</v>
      </c>
      <c r="CC10" s="174" t="s">
        <v>321</v>
      </c>
      <c r="CD10" s="173">
        <f t="shared" ref="CD10:CD11" si="16">BT19</f>
        <v>44000000</v>
      </c>
      <c r="CE10" s="174" t="s">
        <v>320</v>
      </c>
      <c r="CI10" s="81" t="s">
        <v>327</v>
      </c>
      <c r="CJ10" s="251">
        <f t="shared" si="0"/>
        <v>13695191.47880042</v>
      </c>
      <c r="CK10" s="251">
        <f t="shared" si="13"/>
        <v>32700000</v>
      </c>
      <c r="CL10" s="251">
        <f t="shared" si="2"/>
        <v>26300000</v>
      </c>
      <c r="CO10" s="253" t="s">
        <v>429</v>
      </c>
      <c r="CP10" s="253" t="s">
        <v>391</v>
      </c>
      <c r="CQ10" s="254">
        <v>290</v>
      </c>
      <c r="CR10" s="254">
        <v>8.7999999999999995E-2</v>
      </c>
      <c r="CS10" s="253">
        <v>3299.12</v>
      </c>
      <c r="CT10" s="253" t="s">
        <v>387</v>
      </c>
      <c r="CU10" s="254">
        <v>2E-16</v>
      </c>
      <c r="CV10" s="81" t="s">
        <v>388</v>
      </c>
      <c r="CW10" s="255" t="s">
        <v>460</v>
      </c>
      <c r="CX10" s="259" t="s">
        <v>466</v>
      </c>
      <c r="CY10" s="256" t="s">
        <v>321</v>
      </c>
      <c r="CZ10" s="257">
        <f t="shared" si="12"/>
        <v>1.81</v>
      </c>
      <c r="DA10" s="255" t="s">
        <v>320</v>
      </c>
    </row>
    <row r="11" spans="1:105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4.7712418300653578E-2</v>
      </c>
      <c r="G11" s="183"/>
      <c r="H11" s="194">
        <f>'Tabula data'!B23*(1-'Tabula Ref2'!C45)</f>
        <v>1.4599999999999997</v>
      </c>
      <c r="J11" s="81" t="s">
        <v>57</v>
      </c>
      <c r="K11" s="215">
        <v>0</v>
      </c>
      <c r="L11" s="216">
        <v>1</v>
      </c>
      <c r="M11" s="216" t="s">
        <v>54</v>
      </c>
      <c r="N11" s="217">
        <f>H7</f>
        <v>5.84</v>
      </c>
      <c r="O11" s="218" t="s">
        <v>39</v>
      </c>
      <c r="P11" s="30">
        <f t="shared" si="7"/>
        <v>1.1000000000000001</v>
      </c>
      <c r="Q11" s="30">
        <f t="shared" si="8"/>
        <v>6.4240000000000004</v>
      </c>
      <c r="R11" s="30">
        <f t="shared" si="9"/>
        <v>0</v>
      </c>
      <c r="S11" s="30">
        <f t="shared" si="10"/>
        <v>0</v>
      </c>
      <c r="T11" s="30">
        <f t="shared" si="11"/>
        <v>0</v>
      </c>
      <c r="U11" s="31"/>
      <c r="V11" s="153"/>
      <c r="W11" s="183"/>
      <c r="X11" s="183"/>
      <c r="Y11" s="235"/>
      <c r="Z11" s="235"/>
      <c r="AA11" s="235"/>
      <c r="AB11" s="183"/>
      <c r="AC11" s="233"/>
      <c r="AD11" s="183"/>
      <c r="AE11" s="14"/>
      <c r="AF11" s="14"/>
      <c r="AG11" s="14"/>
      <c r="AL11" s="159" t="s">
        <v>317</v>
      </c>
      <c r="AM11" s="81" t="s">
        <v>318</v>
      </c>
      <c r="AN11" s="81" t="s">
        <v>327</v>
      </c>
      <c r="AO11" s="167">
        <f>SUM(T27)</f>
        <v>13695191.47880042</v>
      </c>
      <c r="AP11" s="81" t="s">
        <v>320</v>
      </c>
      <c r="AQ11" s="167">
        <v>26154150</v>
      </c>
      <c r="AU11" s="168" t="s">
        <v>317</v>
      </c>
      <c r="AV11" s="168" t="s">
        <v>318</v>
      </c>
      <c r="AW11" s="168" t="s">
        <v>327</v>
      </c>
      <c r="AX11" s="169" t="s">
        <v>321</v>
      </c>
      <c r="AY11" s="162">
        <f t="shared" si="14"/>
        <v>13695191.47880042</v>
      </c>
      <c r="AZ11" s="168" t="s">
        <v>320</v>
      </c>
      <c r="BC11" s="81" t="s">
        <v>393</v>
      </c>
      <c r="BD11" s="167">
        <v>0.18</v>
      </c>
      <c r="BE11" s="167">
        <v>2.64E-3</v>
      </c>
      <c r="BF11" s="81">
        <v>67.989999999999995</v>
      </c>
      <c r="BG11" s="81" t="s">
        <v>431</v>
      </c>
      <c r="BH11" s="81" t="s">
        <v>388</v>
      </c>
      <c r="BL11" s="168" t="s">
        <v>317</v>
      </c>
      <c r="BM11" s="168" t="s">
        <v>318</v>
      </c>
      <c r="BN11" s="168" t="s">
        <v>327</v>
      </c>
      <c r="BO11" s="169" t="s">
        <v>321</v>
      </c>
      <c r="BP11" s="175">
        <f t="shared" si="15"/>
        <v>32700000</v>
      </c>
      <c r="BQ11" s="168" t="s">
        <v>320</v>
      </c>
      <c r="BS11" s="81" t="s">
        <v>394</v>
      </c>
      <c r="BT11" s="167">
        <v>0.39800000000000002</v>
      </c>
      <c r="BU11" s="167">
        <v>1.8699999999999999E-3</v>
      </c>
      <c r="BV11" s="81">
        <v>213.16</v>
      </c>
      <c r="BW11" s="81" t="s">
        <v>387</v>
      </c>
      <c r="BX11" s="167">
        <v>2E-16</v>
      </c>
      <c r="BY11" s="81" t="s">
        <v>388</v>
      </c>
      <c r="BZ11" s="174" t="s">
        <v>317</v>
      </c>
      <c r="CA11" s="174" t="s">
        <v>318</v>
      </c>
      <c r="CB11" s="174" t="s">
        <v>327</v>
      </c>
      <c r="CC11" s="174" t="s">
        <v>321</v>
      </c>
      <c r="CD11" s="173">
        <f t="shared" si="16"/>
        <v>26300000</v>
      </c>
      <c r="CE11" s="174" t="s">
        <v>320</v>
      </c>
      <c r="CI11" s="81" t="s">
        <v>328</v>
      </c>
      <c r="CJ11" s="251">
        <f t="shared" si="0"/>
        <v>9853248.0000000019</v>
      </c>
      <c r="CK11" s="251">
        <f t="shared" si="13"/>
        <v>14000000</v>
      </c>
      <c r="CL11" s="251">
        <f t="shared" si="2"/>
        <v>991000000</v>
      </c>
      <c r="CO11" s="253" t="s">
        <v>429</v>
      </c>
      <c r="CP11" s="253" t="s">
        <v>392</v>
      </c>
      <c r="CQ11" s="254">
        <v>288</v>
      </c>
      <c r="CR11" s="254">
        <v>9.2399999999999996E-2</v>
      </c>
      <c r="CS11" s="253">
        <v>3113.26</v>
      </c>
      <c r="CT11" s="253" t="s">
        <v>387</v>
      </c>
      <c r="CU11" s="254">
        <v>2E-16</v>
      </c>
      <c r="CV11" s="81" t="s">
        <v>388</v>
      </c>
      <c r="CW11" s="255" t="s">
        <v>460</v>
      </c>
      <c r="CX11" s="259" t="s">
        <v>467</v>
      </c>
      <c r="CY11" s="256" t="s">
        <v>321</v>
      </c>
      <c r="CZ11" s="257">
        <f t="shared" si="12"/>
        <v>2.2599999999999998</v>
      </c>
      <c r="DA11" s="255" t="s">
        <v>320</v>
      </c>
    </row>
    <row r="12" spans="1:105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5.4901960784313704E-2</v>
      </c>
      <c r="G12" s="183"/>
      <c r="H12" s="194">
        <f>'Tabula data'!B24*(1-'Tabula Ref2'!C45)</f>
        <v>1.6799999999999997</v>
      </c>
      <c r="J12" s="81" t="s">
        <v>59</v>
      </c>
      <c r="K12" s="215">
        <v>0</v>
      </c>
      <c r="L12" s="216">
        <v>1</v>
      </c>
      <c r="M12" s="216" t="s">
        <v>54</v>
      </c>
      <c r="N12" s="217">
        <f>H8</f>
        <v>6.7200000000000006</v>
      </c>
      <c r="O12" s="218" t="s">
        <v>45</v>
      </c>
      <c r="P12" s="30">
        <f t="shared" si="7"/>
        <v>1.1000000000000001</v>
      </c>
      <c r="Q12" s="30">
        <f t="shared" si="8"/>
        <v>7.3920000000000012</v>
      </c>
      <c r="R12" s="30">
        <f t="shared" si="9"/>
        <v>0</v>
      </c>
      <c r="S12" s="30">
        <f t="shared" si="10"/>
        <v>0</v>
      </c>
      <c r="T12" s="30">
        <f t="shared" si="11"/>
        <v>0</v>
      </c>
      <c r="U12" s="31"/>
      <c r="V12" s="153"/>
      <c r="W12" s="223"/>
      <c r="X12" s="223"/>
      <c r="Y12" s="224" t="s">
        <v>4</v>
      </c>
      <c r="Z12" s="224">
        <v>1.7</v>
      </c>
      <c r="AA12" s="224" t="s">
        <v>5</v>
      </c>
      <c r="AB12" s="223"/>
      <c r="AC12" s="223"/>
      <c r="AD12" s="223"/>
      <c r="AE12" s="14"/>
      <c r="AF12" s="14"/>
      <c r="AG12" s="14"/>
      <c r="AL12" s="159" t="s">
        <v>317</v>
      </c>
      <c r="AM12" s="81" t="s">
        <v>318</v>
      </c>
      <c r="AN12" s="81" t="s">
        <v>328</v>
      </c>
      <c r="AO12" s="167">
        <f>SUM(T14)</f>
        <v>9853248.0000000019</v>
      </c>
      <c r="AP12" s="81" t="s">
        <v>320</v>
      </c>
      <c r="AQ12" s="167">
        <v>12228720</v>
      </c>
      <c r="AU12" s="168" t="s">
        <v>317</v>
      </c>
      <c r="AV12" s="168" t="s">
        <v>318</v>
      </c>
      <c r="AW12" s="168" t="s">
        <v>328</v>
      </c>
      <c r="AX12" s="169" t="s">
        <v>321</v>
      </c>
      <c r="AY12" s="162">
        <f t="shared" si="14"/>
        <v>9853248.0000000019</v>
      </c>
      <c r="AZ12" s="168" t="s">
        <v>320</v>
      </c>
      <c r="BC12" s="81" t="s">
        <v>394</v>
      </c>
      <c r="BD12" s="167">
        <v>0.33600000000000002</v>
      </c>
      <c r="BE12" s="167">
        <v>2.32E-3</v>
      </c>
      <c r="BF12" s="81">
        <v>144.99</v>
      </c>
      <c r="BG12" s="81" t="s">
        <v>431</v>
      </c>
      <c r="BH12" s="81" t="s">
        <v>388</v>
      </c>
      <c r="BL12" s="168" t="s">
        <v>317</v>
      </c>
      <c r="BM12" s="168" t="s">
        <v>318</v>
      </c>
      <c r="BN12" s="168" t="s">
        <v>328</v>
      </c>
      <c r="BO12" s="169" t="s">
        <v>321</v>
      </c>
      <c r="BP12" s="175">
        <f>BD17</f>
        <v>14000000</v>
      </c>
      <c r="BQ12" s="168" t="s">
        <v>320</v>
      </c>
      <c r="BS12" s="81" t="s">
        <v>395</v>
      </c>
      <c r="BT12" s="167">
        <v>5.96E-2</v>
      </c>
      <c r="BU12" s="167">
        <v>8.9300000000000004E-3</v>
      </c>
      <c r="BV12" s="81">
        <v>6.68</v>
      </c>
      <c r="BW12" s="167">
        <v>2.6000000000000001E-11</v>
      </c>
      <c r="BX12" s="81" t="s">
        <v>388</v>
      </c>
      <c r="BZ12" s="174" t="s">
        <v>317</v>
      </c>
      <c r="CA12" s="174" t="s">
        <v>318</v>
      </c>
      <c r="CB12" s="174" t="s">
        <v>328</v>
      </c>
      <c r="CC12" s="174" t="s">
        <v>321</v>
      </c>
      <c r="CD12" s="173">
        <f>BT17</f>
        <v>991000000</v>
      </c>
      <c r="CE12" s="174" t="s">
        <v>320</v>
      </c>
      <c r="CJ12" s="250"/>
      <c r="CK12" s="250"/>
      <c r="CL12" s="250"/>
      <c r="CO12" s="253" t="s">
        <v>429</v>
      </c>
      <c r="CP12" s="253" t="s">
        <v>442</v>
      </c>
      <c r="CQ12" s="254">
        <v>0.96099999999999997</v>
      </c>
      <c r="CR12" s="254">
        <v>3.6299999999999999E-2</v>
      </c>
      <c r="CS12" s="253">
        <v>26.48</v>
      </c>
      <c r="CT12" s="253" t="s">
        <v>387</v>
      </c>
      <c r="CU12" s="254">
        <v>2E-16</v>
      </c>
      <c r="CV12" s="81" t="s">
        <v>388</v>
      </c>
      <c r="CW12" s="255" t="s">
        <v>460</v>
      </c>
      <c r="CX12" s="258" t="s">
        <v>468</v>
      </c>
      <c r="CY12" s="256" t="s">
        <v>321</v>
      </c>
      <c r="CZ12" s="257">
        <f t="shared" si="12"/>
        <v>1.91</v>
      </c>
      <c r="DA12" s="255" t="s">
        <v>320</v>
      </c>
    </row>
    <row r="13" spans="1:105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4.9019607843137233E-2</v>
      </c>
      <c r="G13" s="183"/>
      <c r="H13" s="194">
        <f>'Tabula data'!B25*(1-'Tabula Ref2'!C45)</f>
        <v>1.4999999999999996</v>
      </c>
      <c r="J13" s="81" t="s">
        <v>60</v>
      </c>
      <c r="K13" s="215">
        <v>0</v>
      </c>
      <c r="L13" s="216">
        <v>1</v>
      </c>
      <c r="M13" s="216" t="s">
        <v>54</v>
      </c>
      <c r="N13" s="217">
        <f>H9</f>
        <v>6</v>
      </c>
      <c r="O13" s="218" t="s">
        <v>50</v>
      </c>
      <c r="P13" s="30">
        <f t="shared" si="7"/>
        <v>1.1000000000000001</v>
      </c>
      <c r="Q13" s="30">
        <f t="shared" si="8"/>
        <v>6.6000000000000005</v>
      </c>
      <c r="R13" s="30">
        <f t="shared" si="9"/>
        <v>0</v>
      </c>
      <c r="S13" s="30">
        <f t="shared" si="10"/>
        <v>0</v>
      </c>
      <c r="T13" s="30">
        <f t="shared" si="11"/>
        <v>0</v>
      </c>
      <c r="U13" s="31"/>
      <c r="V13" s="153"/>
      <c r="W13" s="225" t="s">
        <v>64</v>
      </c>
      <c r="X13" s="226"/>
      <c r="Y13" s="227" t="s">
        <v>21</v>
      </c>
      <c r="Z13" s="228">
        <f>1/(1/8+SUM(AC15:AC21)+1/23)</f>
        <v>0.17756435050594532</v>
      </c>
      <c r="AA13" s="226" t="s">
        <v>5</v>
      </c>
      <c r="AB13" s="226"/>
      <c r="AC13" s="226" t="s">
        <v>22</v>
      </c>
      <c r="AD13" s="229">
        <f>SUM(AD17:AD22)</f>
        <v>305340</v>
      </c>
      <c r="AE13" s="14" t="s">
        <v>23</v>
      </c>
      <c r="AF13" s="14">
        <f>SUM(AD20:AD21)</f>
        <v>181020.00000000003</v>
      </c>
      <c r="AG13" s="14"/>
      <c r="AO13" s="167"/>
      <c r="AP13" s="81" t="s">
        <v>320</v>
      </c>
      <c r="AQ13" s="167"/>
      <c r="AU13" s="168"/>
      <c r="AV13" s="168"/>
      <c r="AW13" s="168"/>
      <c r="AX13" s="169"/>
      <c r="AZ13" s="168"/>
      <c r="BC13" s="81" t="s">
        <v>395</v>
      </c>
      <c r="BD13" s="167">
        <v>0.33700000000000002</v>
      </c>
      <c r="BE13" s="167">
        <v>8.6800000000000002E-3</v>
      </c>
      <c r="BF13" s="81">
        <v>38.840000000000003</v>
      </c>
      <c r="BG13" s="81" t="s">
        <v>431</v>
      </c>
      <c r="BH13" s="81" t="s">
        <v>388</v>
      </c>
      <c r="BL13" s="168"/>
      <c r="BM13" s="168"/>
      <c r="BN13" s="168"/>
      <c r="BO13" s="169"/>
      <c r="BP13" s="162"/>
      <c r="BQ13" s="168"/>
      <c r="BS13" s="81" t="s">
        <v>396</v>
      </c>
      <c r="BT13" s="167">
        <v>0.161</v>
      </c>
      <c r="BU13" s="167">
        <v>7.9199999999999995E-4</v>
      </c>
      <c r="BV13" s="81">
        <v>202.98</v>
      </c>
      <c r="BW13" s="81" t="s">
        <v>387</v>
      </c>
      <c r="BX13" s="167">
        <v>2E-16</v>
      </c>
      <c r="BY13" s="81" t="s">
        <v>388</v>
      </c>
      <c r="BZ13" s="174"/>
      <c r="CA13" s="174"/>
      <c r="CB13" s="174"/>
      <c r="CC13" s="174"/>
      <c r="CD13" s="173"/>
      <c r="CE13" s="174"/>
      <c r="CI13" s="81" t="s">
        <v>329</v>
      </c>
      <c r="CJ13" s="249">
        <f t="shared" si="0"/>
        <v>5.8360278038973666E-2</v>
      </c>
      <c r="CK13" s="249">
        <f t="shared" si="13"/>
        <v>0.128</v>
      </c>
      <c r="CL13" s="249">
        <f t="shared" si="2"/>
        <v>7.6700000000000004E-2</v>
      </c>
      <c r="CO13" s="253" t="s">
        <v>429</v>
      </c>
      <c r="CP13" s="253" t="s">
        <v>339</v>
      </c>
      <c r="CQ13" s="254">
        <v>1.9</v>
      </c>
      <c r="CR13" s="254">
        <v>0.124</v>
      </c>
      <c r="CS13" s="253">
        <v>15.36</v>
      </c>
      <c r="CT13" s="253" t="s">
        <v>387</v>
      </c>
      <c r="CU13" s="254">
        <v>2E-16</v>
      </c>
      <c r="CV13" s="81" t="s">
        <v>388</v>
      </c>
      <c r="CW13" s="255" t="s">
        <v>460</v>
      </c>
      <c r="CX13" s="260" t="s">
        <v>469</v>
      </c>
      <c r="CY13" s="256" t="s">
        <v>321</v>
      </c>
      <c r="CZ13" s="257">
        <f t="shared" si="12"/>
        <v>0.26</v>
      </c>
      <c r="DA13" s="255" t="s">
        <v>320</v>
      </c>
    </row>
    <row r="14" spans="1:105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J14" s="81" t="s">
        <v>61</v>
      </c>
      <c r="K14" s="215" t="s">
        <v>62</v>
      </c>
      <c r="L14" s="216">
        <v>1</v>
      </c>
      <c r="M14" s="216" t="s">
        <v>63</v>
      </c>
      <c r="N14" s="217">
        <f>B7</f>
        <v>88.800000000000011</v>
      </c>
      <c r="O14" s="218"/>
      <c r="P14" s="30">
        <f t="shared" si="7"/>
        <v>0.17975604536700196</v>
      </c>
      <c r="Q14" s="30">
        <f t="shared" si="8"/>
        <v>15.962336828589777</v>
      </c>
      <c r="R14" s="30">
        <f t="shared" si="9"/>
        <v>33839238.000000007</v>
      </c>
      <c r="S14" s="30">
        <f t="shared" si="10"/>
        <v>381072.50000000006</v>
      </c>
      <c r="T14" s="30">
        <f t="shared" si="11"/>
        <v>9853248.0000000019</v>
      </c>
      <c r="U14" s="31"/>
      <c r="V14" s="153"/>
      <c r="W14" s="230"/>
      <c r="X14" s="231" t="s">
        <v>27</v>
      </c>
      <c r="Y14" s="231" t="s">
        <v>28</v>
      </c>
      <c r="Z14" s="231" t="s">
        <v>29</v>
      </c>
      <c r="AA14" s="231" t="s">
        <v>30</v>
      </c>
      <c r="AB14" s="231" t="s">
        <v>31</v>
      </c>
      <c r="AC14" s="231" t="s">
        <v>32</v>
      </c>
      <c r="AD14" s="232" t="s">
        <v>33</v>
      </c>
      <c r="AE14" s="14"/>
      <c r="AF14" s="14"/>
      <c r="AG14" s="14"/>
      <c r="AL14" s="159" t="s">
        <v>317</v>
      </c>
      <c r="AM14" s="81" t="s">
        <v>318</v>
      </c>
      <c r="AN14" s="81" t="s">
        <v>329</v>
      </c>
      <c r="AO14" s="81">
        <f>AO4*0.3</f>
        <v>5.8360278038973666E-2</v>
      </c>
      <c r="AP14" s="81" t="s">
        <v>320</v>
      </c>
      <c r="AQ14" s="167">
        <v>6.5890790000000005E-2</v>
      </c>
      <c r="AU14" s="168" t="s">
        <v>317</v>
      </c>
      <c r="AV14" s="168" t="s">
        <v>318</v>
      </c>
      <c r="AW14" s="168" t="s">
        <v>329</v>
      </c>
      <c r="AX14" s="169" t="s">
        <v>321</v>
      </c>
      <c r="AY14" s="162">
        <f>AY4*0.3</f>
        <v>5.8360278038973666E-2</v>
      </c>
      <c r="AZ14" s="168" t="s">
        <v>320</v>
      </c>
      <c r="BC14" s="81" t="s">
        <v>396</v>
      </c>
      <c r="BD14" s="167">
        <v>0.10299999999999999</v>
      </c>
      <c r="BE14" s="167">
        <v>2.4099999999999998E-3</v>
      </c>
      <c r="BF14" s="81">
        <v>42.8</v>
      </c>
      <c r="BG14" s="81" t="s">
        <v>431</v>
      </c>
      <c r="BH14" s="81" t="s">
        <v>388</v>
      </c>
      <c r="BL14" s="168" t="s">
        <v>317</v>
      </c>
      <c r="BM14" s="168" t="s">
        <v>318</v>
      </c>
      <c r="BN14" s="168" t="s">
        <v>329</v>
      </c>
      <c r="BO14" s="169" t="s">
        <v>321</v>
      </c>
      <c r="BP14" s="162">
        <f>BD26</f>
        <v>0.128</v>
      </c>
      <c r="BQ14" s="168" t="s">
        <v>320</v>
      </c>
      <c r="BS14" s="81" t="s">
        <v>397</v>
      </c>
      <c r="BT14" s="167">
        <v>0.13200000000000001</v>
      </c>
      <c r="BU14" s="167">
        <v>6.0800000000000003E-4</v>
      </c>
      <c r="BV14" s="81">
        <v>217.05</v>
      </c>
      <c r="BW14" s="81" t="s">
        <v>387</v>
      </c>
      <c r="BX14" s="167">
        <v>2E-16</v>
      </c>
      <c r="BY14" s="81" t="s">
        <v>388</v>
      </c>
      <c r="BZ14" s="174" t="s">
        <v>317</v>
      </c>
      <c r="CA14" s="174" t="s">
        <v>318</v>
      </c>
      <c r="CB14" s="174" t="s">
        <v>329</v>
      </c>
      <c r="CC14" s="174" t="s">
        <v>321</v>
      </c>
      <c r="CD14" s="173">
        <f>BT26</f>
        <v>7.6700000000000004E-2</v>
      </c>
      <c r="CE14" s="174" t="s">
        <v>320</v>
      </c>
      <c r="CI14" s="81" t="s">
        <v>330</v>
      </c>
      <c r="CJ14" s="249">
        <f t="shared" si="0"/>
        <v>5.8360278038973666E-2</v>
      </c>
      <c r="CK14" s="249">
        <f t="shared" si="13"/>
        <v>0.23499999999999999</v>
      </c>
      <c r="CL14" s="249">
        <f t="shared" si="2"/>
        <v>0.14699999999999999</v>
      </c>
      <c r="CO14" s="253" t="s">
        <v>429</v>
      </c>
      <c r="CP14" s="253" t="s">
        <v>443</v>
      </c>
      <c r="CQ14" s="254">
        <v>1.1499999999999999</v>
      </c>
      <c r="CR14" s="254">
        <v>2.06E-2</v>
      </c>
      <c r="CS14" s="253">
        <v>56.01</v>
      </c>
      <c r="CT14" s="253" t="s">
        <v>387</v>
      </c>
      <c r="CU14" s="254">
        <v>2E-16</v>
      </c>
      <c r="CV14" s="81" t="s">
        <v>388</v>
      </c>
      <c r="CW14" s="255" t="s">
        <v>460</v>
      </c>
      <c r="CX14" s="260" t="s">
        <v>470</v>
      </c>
      <c r="CY14" s="256" t="s">
        <v>321</v>
      </c>
      <c r="CZ14" s="257">
        <f t="shared" si="12"/>
        <v>2.4200000000000002E-8</v>
      </c>
      <c r="DA14" s="255" t="s">
        <v>320</v>
      </c>
    </row>
    <row r="15" spans="1:105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J15" s="81" t="s">
        <v>66</v>
      </c>
      <c r="K15" s="215">
        <v>0</v>
      </c>
      <c r="L15" s="216">
        <v>1</v>
      </c>
      <c r="M15" s="216" t="s">
        <v>20</v>
      </c>
      <c r="N15" s="219">
        <v>0</v>
      </c>
      <c r="O15" s="218"/>
      <c r="P15" s="30">
        <f t="shared" si="7"/>
        <v>0.13970867289220834</v>
      </c>
      <c r="Q15" s="30">
        <f t="shared" si="8"/>
        <v>0</v>
      </c>
      <c r="R15" s="30">
        <f>VLOOKUP(M15,$W$5:$AD$391,8,0)*N25</f>
        <v>6226365.6000000006</v>
      </c>
      <c r="S15" s="30">
        <f>R15/N25</f>
        <v>61404</v>
      </c>
      <c r="T15" s="30">
        <f>VLOOKUP(M15,$W$5:$AF$391,10,0)*N25</f>
        <v>1660932</v>
      </c>
      <c r="U15" s="31"/>
      <c r="V15" s="153"/>
      <c r="W15" s="182"/>
      <c r="X15" s="263" t="s">
        <v>500</v>
      </c>
      <c r="Y15" s="287">
        <v>2.5000000000000001E-2</v>
      </c>
      <c r="Z15" s="263">
        <v>0.6</v>
      </c>
      <c r="AA15" s="263">
        <v>975</v>
      </c>
      <c r="AB15" s="263">
        <v>840</v>
      </c>
      <c r="AC15" s="264">
        <f t="shared" ref="AC15:AC16" si="17">Y15/Z15</f>
        <v>4.1666666666666671E-2</v>
      </c>
      <c r="AD15" s="265">
        <f t="shared" ref="AD15:AD16" si="18">AA15*AB15*Y15</f>
        <v>20475</v>
      </c>
      <c r="AE15" s="14"/>
      <c r="AF15" s="14"/>
      <c r="AG15" s="14"/>
      <c r="AL15" s="159" t="s">
        <v>317</v>
      </c>
      <c r="AM15" s="81" t="s">
        <v>318</v>
      </c>
      <c r="AN15" s="81" t="s">
        <v>330</v>
      </c>
      <c r="AO15" s="81">
        <f>AO5*0.3</f>
        <v>5.8360278038973666E-2</v>
      </c>
      <c r="AP15" s="81" t="s">
        <v>320</v>
      </c>
      <c r="AQ15" s="167">
        <v>0.1612856</v>
      </c>
      <c r="AU15" s="168" t="s">
        <v>317</v>
      </c>
      <c r="AV15" s="168" t="s">
        <v>318</v>
      </c>
      <c r="AW15" s="168" t="s">
        <v>330</v>
      </c>
      <c r="AX15" s="169" t="s">
        <v>321</v>
      </c>
      <c r="AY15" s="162">
        <f>AY5*0.3</f>
        <v>5.8360278038973666E-2</v>
      </c>
      <c r="AZ15" s="168" t="s">
        <v>320</v>
      </c>
      <c r="BC15" s="81" t="s">
        <v>397</v>
      </c>
      <c r="BD15" s="167">
        <v>2.8899999999999999E-2</v>
      </c>
      <c r="BE15" s="167">
        <v>2.8500000000000001E-3</v>
      </c>
      <c r="BF15" s="81">
        <v>10.15</v>
      </c>
      <c r="BG15" s="81" t="s">
        <v>431</v>
      </c>
      <c r="BH15" s="81" t="s">
        <v>388</v>
      </c>
      <c r="BL15" s="168" t="s">
        <v>317</v>
      </c>
      <c r="BM15" s="168" t="s">
        <v>318</v>
      </c>
      <c r="BN15" s="168" t="s">
        <v>330</v>
      </c>
      <c r="BO15" s="169" t="s">
        <v>321</v>
      </c>
      <c r="BP15" s="162">
        <f t="shared" ref="BP15:BP17" si="19">BD27</f>
        <v>0.23499999999999999</v>
      </c>
      <c r="BQ15" s="168" t="s">
        <v>320</v>
      </c>
      <c r="BS15" s="81" t="s">
        <v>306</v>
      </c>
      <c r="BT15" s="167">
        <v>221000000</v>
      </c>
      <c r="BU15" s="167">
        <v>186000000</v>
      </c>
      <c r="BV15" s="81">
        <v>1.19</v>
      </c>
      <c r="BW15" s="81">
        <v>0.24</v>
      </c>
      <c r="BZ15" s="174" t="s">
        <v>317</v>
      </c>
      <c r="CA15" s="174" t="s">
        <v>318</v>
      </c>
      <c r="CB15" s="174" t="s">
        <v>330</v>
      </c>
      <c r="CC15" s="174" t="s">
        <v>321</v>
      </c>
      <c r="CD15" s="173">
        <f t="shared" ref="CD15:CD17" si="20">BT27</f>
        <v>0.14699999999999999</v>
      </c>
      <c r="CE15" s="174" t="s">
        <v>320</v>
      </c>
      <c r="CI15" s="81" t="s">
        <v>331</v>
      </c>
      <c r="CJ15" s="249">
        <f t="shared" si="0"/>
        <v>0.72059243981646703</v>
      </c>
      <c r="CK15" s="249">
        <f t="shared" si="13"/>
        <v>0.53700000000000003</v>
      </c>
      <c r="CL15" s="249">
        <f t="shared" si="2"/>
        <v>0.73599999999999999</v>
      </c>
      <c r="CO15" s="253" t="s">
        <v>429</v>
      </c>
      <c r="CP15" s="253" t="s">
        <v>444</v>
      </c>
      <c r="CQ15" s="254">
        <v>0.79</v>
      </c>
      <c r="CR15" s="254">
        <v>3.4799999999999998E-2</v>
      </c>
      <c r="CS15" s="253">
        <v>22.69</v>
      </c>
      <c r="CT15" s="253" t="s">
        <v>387</v>
      </c>
      <c r="CU15" s="254">
        <v>2E-16</v>
      </c>
      <c r="CV15" s="81" t="s">
        <v>388</v>
      </c>
      <c r="CW15" s="255" t="s">
        <v>460</v>
      </c>
      <c r="CX15" s="260" t="s">
        <v>471</v>
      </c>
      <c r="CY15" s="256" t="s">
        <v>321</v>
      </c>
      <c r="CZ15" s="257">
        <f t="shared" si="12"/>
        <v>0.50900000000000001</v>
      </c>
      <c r="DA15" s="255" t="s">
        <v>320</v>
      </c>
    </row>
    <row r="16" spans="1:105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1.3940744625065551</v>
      </c>
      <c r="G16" s="193" t="s">
        <v>70</v>
      </c>
      <c r="H16" s="184"/>
      <c r="J16" s="81" t="s">
        <v>67</v>
      </c>
      <c r="K16" s="215">
        <v>0</v>
      </c>
      <c r="L16" s="216">
        <v>1</v>
      </c>
      <c r="M16" s="216" t="s">
        <v>68</v>
      </c>
      <c r="N16" s="217">
        <f>'Tabula data'!B21</f>
        <v>9.5</v>
      </c>
      <c r="O16" s="218"/>
      <c r="P16" s="30">
        <f t="shared" si="7"/>
        <v>4</v>
      </c>
      <c r="Q16" s="30">
        <f t="shared" si="8"/>
        <v>38</v>
      </c>
      <c r="R16" s="30">
        <f t="shared" ref="R16:R31" si="21">VLOOKUP(M16,$W$5:$AD$391,8,0)*N16</f>
        <v>346940</v>
      </c>
      <c r="S16" s="30">
        <f t="shared" ref="S16:S31" si="22">R16/N16</f>
        <v>36520</v>
      </c>
      <c r="T16" s="30">
        <f t="shared" ref="T16:T31" si="23">VLOOKUP(M16,$W$5:$AF$391,10,0)*N16</f>
        <v>0</v>
      </c>
      <c r="U16" s="31"/>
      <c r="V16" s="153"/>
      <c r="W16" s="182"/>
      <c r="X16" s="263" t="s">
        <v>283</v>
      </c>
      <c r="Y16" s="287">
        <v>0.12</v>
      </c>
      <c r="Z16" s="263">
        <v>2.4E-2</v>
      </c>
      <c r="AA16" s="263">
        <v>80</v>
      </c>
      <c r="AB16" s="263">
        <v>840</v>
      </c>
      <c r="AC16" s="264">
        <f t="shared" si="17"/>
        <v>5</v>
      </c>
      <c r="AD16" s="265">
        <f t="shared" si="18"/>
        <v>8064</v>
      </c>
      <c r="AE16" s="14"/>
      <c r="AF16" s="14"/>
      <c r="AG16" s="14"/>
      <c r="AL16" s="159" t="s">
        <v>317</v>
      </c>
      <c r="AM16" s="81" t="s">
        <v>318</v>
      </c>
      <c r="AN16" s="81" t="s">
        <v>331</v>
      </c>
      <c r="AO16" s="81">
        <f>AO6*0.3+0.7</f>
        <v>0.72059243981646703</v>
      </c>
      <c r="AP16" s="81" t="s">
        <v>320</v>
      </c>
      <c r="AQ16" s="167">
        <v>0.64236059999999995</v>
      </c>
      <c r="AU16" s="168" t="s">
        <v>317</v>
      </c>
      <c r="AV16" s="168" t="s">
        <v>318</v>
      </c>
      <c r="AW16" s="168" t="s">
        <v>331</v>
      </c>
      <c r="AX16" s="169" t="s">
        <v>321</v>
      </c>
      <c r="AY16" s="162">
        <f>AY6*0.3+0.7</f>
        <v>0.72059243981646703</v>
      </c>
      <c r="AZ16" s="168" t="s">
        <v>320</v>
      </c>
      <c r="BC16" s="81" t="s">
        <v>306</v>
      </c>
      <c r="BD16" s="167">
        <v>5570000</v>
      </c>
      <c r="BE16" s="167">
        <v>58300</v>
      </c>
      <c r="BF16" s="81">
        <v>95.57</v>
      </c>
      <c r="BG16" s="81" t="s">
        <v>431</v>
      </c>
      <c r="BH16" s="81" t="s">
        <v>388</v>
      </c>
      <c r="BL16" s="168" t="s">
        <v>317</v>
      </c>
      <c r="BM16" s="168" t="s">
        <v>318</v>
      </c>
      <c r="BN16" s="168" t="s">
        <v>331</v>
      </c>
      <c r="BO16" s="169" t="s">
        <v>321</v>
      </c>
      <c r="BP16" s="162">
        <f t="shared" si="19"/>
        <v>0.53700000000000003</v>
      </c>
      <c r="BQ16" s="168" t="s">
        <v>320</v>
      </c>
      <c r="BZ16" s="174" t="s">
        <v>317</v>
      </c>
      <c r="CA16" s="174" t="s">
        <v>318</v>
      </c>
      <c r="CB16" s="174" t="s">
        <v>331</v>
      </c>
      <c r="CC16" s="174" t="s">
        <v>321</v>
      </c>
      <c r="CD16" s="173">
        <f t="shared" si="20"/>
        <v>0.73599999999999999</v>
      </c>
      <c r="CE16" s="174" t="s">
        <v>320</v>
      </c>
      <c r="CI16" s="81" t="s">
        <v>332</v>
      </c>
      <c r="CJ16" s="249">
        <f t="shared" si="0"/>
        <v>7.4698066000910043E-2</v>
      </c>
      <c r="CK16" s="249">
        <f t="shared" si="13"/>
        <v>7.7399999999999997E-2</v>
      </c>
      <c r="CL16" s="249">
        <f t="shared" si="2"/>
        <v>6.1499999999999999E-2</v>
      </c>
      <c r="CO16" s="253" t="s">
        <v>429</v>
      </c>
      <c r="CP16" s="253" t="s">
        <v>445</v>
      </c>
      <c r="CQ16" s="254">
        <v>1.95</v>
      </c>
      <c r="CR16" s="254">
        <v>4.2700000000000002E-2</v>
      </c>
      <c r="CS16" s="253">
        <v>45.6</v>
      </c>
      <c r="CT16" s="253" t="s">
        <v>387</v>
      </c>
      <c r="CU16" s="254">
        <v>2E-16</v>
      </c>
      <c r="CV16" s="81" t="s">
        <v>388</v>
      </c>
      <c r="CW16" s="255" t="s">
        <v>460</v>
      </c>
      <c r="CX16" s="260" t="s">
        <v>472</v>
      </c>
      <c r="CY16" s="256" t="s">
        <v>321</v>
      </c>
      <c r="CZ16" s="257">
        <f t="shared" si="12"/>
        <v>2.1199999999999999E-7</v>
      </c>
      <c r="DA16" s="255" t="s">
        <v>320</v>
      </c>
    </row>
    <row r="17" spans="1:105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1.9720785935884175</v>
      </c>
      <c r="G17" s="193"/>
      <c r="H17" s="184"/>
      <c r="J17" s="81" t="s">
        <v>71</v>
      </c>
      <c r="K17" s="215">
        <v>0</v>
      </c>
      <c r="L17" s="216">
        <v>2</v>
      </c>
      <c r="M17" s="216" t="s">
        <v>25</v>
      </c>
      <c r="N17" s="217">
        <f>'Tabula data'!B19*(1-C43)</f>
        <v>19.815584446879509</v>
      </c>
      <c r="O17" s="218" t="s">
        <v>26</v>
      </c>
      <c r="P17" s="30">
        <f t="shared" si="7"/>
        <v>0.17756435050594532</v>
      </c>
      <c r="Q17" s="30">
        <f t="shared" si="8"/>
        <v>3.5185413822058718</v>
      </c>
      <c r="R17" s="30">
        <f t="shared" si="21"/>
        <v>6050490.5550101893</v>
      </c>
      <c r="S17" s="30">
        <f t="shared" si="22"/>
        <v>305340</v>
      </c>
      <c r="T17" s="30">
        <f t="shared" si="23"/>
        <v>3587017.0965741291</v>
      </c>
      <c r="U17" s="31"/>
      <c r="V17" s="153"/>
      <c r="W17" s="182"/>
      <c r="X17" s="183" t="s">
        <v>76</v>
      </c>
      <c r="Y17" s="183">
        <v>0.08</v>
      </c>
      <c r="Z17" s="183">
        <v>1.1000000000000001</v>
      </c>
      <c r="AA17" s="183">
        <v>1850</v>
      </c>
      <c r="AB17" s="193">
        <v>840</v>
      </c>
      <c r="AC17" s="233">
        <f>Y17/Z17</f>
        <v>7.2727272727272724E-2</v>
      </c>
      <c r="AD17" s="184">
        <f>AA17*AB17*Y17</f>
        <v>124320</v>
      </c>
      <c r="AE17" s="14"/>
      <c r="AF17" s="14"/>
      <c r="AG17" s="14"/>
      <c r="AL17" s="159" t="s">
        <v>317</v>
      </c>
      <c r="AM17" s="81" t="s">
        <v>318</v>
      </c>
      <c r="AN17" s="81" t="s">
        <v>332</v>
      </c>
      <c r="AO17" s="81">
        <f>AO7*0.3</f>
        <v>7.4698066000910043E-2</v>
      </c>
      <c r="AP17" s="81" t="s">
        <v>320</v>
      </c>
      <c r="AQ17" s="167">
        <v>6.4977720000000003E-2</v>
      </c>
      <c r="AU17" s="168" t="s">
        <v>317</v>
      </c>
      <c r="AV17" s="168" t="s">
        <v>318</v>
      </c>
      <c r="AW17" s="168" t="s">
        <v>332</v>
      </c>
      <c r="AX17" s="169" t="s">
        <v>321</v>
      </c>
      <c r="AY17" s="162">
        <f>AY7*0.3</f>
        <v>7.4698066000910043E-2</v>
      </c>
      <c r="AZ17" s="168" t="s">
        <v>320</v>
      </c>
      <c r="BC17" s="81" t="s">
        <v>302</v>
      </c>
      <c r="BD17" s="167">
        <v>14000000</v>
      </c>
      <c r="BE17" s="167">
        <v>170000</v>
      </c>
      <c r="BF17" s="81">
        <v>82.34</v>
      </c>
      <c r="BG17" s="81" t="s">
        <v>431</v>
      </c>
      <c r="BH17" s="81" t="s">
        <v>388</v>
      </c>
      <c r="BL17" s="168" t="s">
        <v>317</v>
      </c>
      <c r="BM17" s="168" t="s">
        <v>318</v>
      </c>
      <c r="BN17" s="168" t="s">
        <v>332</v>
      </c>
      <c r="BO17" s="169" t="s">
        <v>321</v>
      </c>
      <c r="BP17" s="162">
        <f t="shared" si="19"/>
        <v>7.7399999999999997E-2</v>
      </c>
      <c r="BQ17" s="168" t="s">
        <v>320</v>
      </c>
      <c r="BS17" s="81" t="s">
        <v>302</v>
      </c>
      <c r="BT17" s="167">
        <v>991000000</v>
      </c>
      <c r="BU17" s="167">
        <v>54500000</v>
      </c>
      <c r="BV17" s="81">
        <v>18.190000000000001</v>
      </c>
      <c r="BW17" s="81" t="s">
        <v>387</v>
      </c>
      <c r="BX17" s="167">
        <v>2E-16</v>
      </c>
      <c r="BY17" s="81" t="s">
        <v>388</v>
      </c>
      <c r="BZ17" s="174" t="s">
        <v>317</v>
      </c>
      <c r="CA17" s="174" t="s">
        <v>318</v>
      </c>
      <c r="CB17" s="174" t="s">
        <v>332</v>
      </c>
      <c r="CC17" s="174" t="s">
        <v>321</v>
      </c>
      <c r="CD17" s="173">
        <f t="shared" si="20"/>
        <v>6.1499999999999999E-2</v>
      </c>
      <c r="CE17" s="174" t="s">
        <v>320</v>
      </c>
      <c r="CJ17" s="250"/>
      <c r="CK17" s="250"/>
      <c r="CL17" s="250"/>
      <c r="CO17" s="253" t="s">
        <v>429</v>
      </c>
      <c r="CP17" s="253" t="s">
        <v>340</v>
      </c>
      <c r="CQ17" s="254">
        <v>1.81</v>
      </c>
      <c r="CR17" s="254">
        <v>0.13600000000000001</v>
      </c>
      <c r="CS17" s="253">
        <v>13.33</v>
      </c>
      <c r="CT17" s="253" t="s">
        <v>387</v>
      </c>
      <c r="CU17" s="254">
        <v>2E-16</v>
      </c>
      <c r="CV17" s="81" t="s">
        <v>388</v>
      </c>
      <c r="CW17" s="255" t="s">
        <v>460</v>
      </c>
      <c r="CX17" s="260" t="s">
        <v>473</v>
      </c>
      <c r="CY17" s="256" t="s">
        <v>321</v>
      </c>
      <c r="CZ17" s="257">
        <f t="shared" si="12"/>
        <v>0.79900000000000004</v>
      </c>
      <c r="DA17" s="255" t="s">
        <v>320</v>
      </c>
    </row>
    <row r="18" spans="1:105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1.9720785935884175</v>
      </c>
      <c r="G18" s="193"/>
      <c r="H18" s="184"/>
      <c r="J18" s="81" t="s">
        <v>75</v>
      </c>
      <c r="K18" s="215">
        <v>0</v>
      </c>
      <c r="L18" s="216">
        <v>2</v>
      </c>
      <c r="M18" s="216" t="s">
        <v>25</v>
      </c>
      <c r="N18" s="217">
        <f>'Tabula data'!B20*(1-C43)</f>
        <v>42.090961406137552</v>
      </c>
      <c r="O18" s="218" t="s">
        <v>39</v>
      </c>
      <c r="P18" s="30">
        <f t="shared" si="7"/>
        <v>0.17756435050594532</v>
      </c>
      <c r="Q18" s="30">
        <f t="shared" si="8"/>
        <v>7.4738542242516255</v>
      </c>
      <c r="R18" s="30">
        <f t="shared" si="21"/>
        <v>12852054.15575004</v>
      </c>
      <c r="S18" s="30">
        <f t="shared" si="22"/>
        <v>305340</v>
      </c>
      <c r="T18" s="30">
        <f t="shared" si="23"/>
        <v>7619305.8337390209</v>
      </c>
      <c r="U18" s="31"/>
      <c r="V18" s="153"/>
      <c r="W18" s="182"/>
      <c r="X18" s="183" t="s">
        <v>271</v>
      </c>
      <c r="Y18" s="183">
        <v>0</v>
      </c>
      <c r="Z18" s="183">
        <v>0</v>
      </c>
      <c r="AA18" s="183">
        <v>0</v>
      </c>
      <c r="AB18" s="183">
        <v>0</v>
      </c>
      <c r="AC18" s="233">
        <v>0.16</v>
      </c>
      <c r="AD18" s="184">
        <f>Y18*AA18*AB18</f>
        <v>0</v>
      </c>
      <c r="AE18" s="14"/>
      <c r="AF18" s="14"/>
      <c r="AG18" s="14"/>
      <c r="AP18" s="81" t="s">
        <v>320</v>
      </c>
      <c r="AQ18" s="167"/>
      <c r="AU18" s="168"/>
      <c r="AV18" s="168"/>
      <c r="AW18" s="168"/>
      <c r="AX18" s="169"/>
      <c r="AZ18" s="168"/>
      <c r="BC18" s="81" t="s">
        <v>398</v>
      </c>
      <c r="BD18" s="167">
        <v>2900000</v>
      </c>
      <c r="BE18" s="167">
        <v>35800</v>
      </c>
      <c r="BF18" s="81">
        <v>81.02</v>
      </c>
      <c r="BG18" s="81" t="s">
        <v>431</v>
      </c>
      <c r="BH18" s="81" t="s">
        <v>388</v>
      </c>
      <c r="BL18" s="168"/>
      <c r="BM18" s="168"/>
      <c r="BN18" s="168"/>
      <c r="BO18" s="169"/>
      <c r="BP18" s="162"/>
      <c r="BQ18" s="168"/>
      <c r="BS18" s="81" t="s">
        <v>398</v>
      </c>
      <c r="BT18" s="167">
        <v>3010000</v>
      </c>
      <c r="BU18" s="167">
        <v>53100</v>
      </c>
      <c r="BV18" s="81">
        <v>56.66</v>
      </c>
      <c r="BW18" s="81" t="s">
        <v>387</v>
      </c>
      <c r="BX18" s="167">
        <v>2E-16</v>
      </c>
      <c r="BY18" s="81" t="s">
        <v>388</v>
      </c>
      <c r="BZ18" s="174"/>
      <c r="CA18" s="174"/>
      <c r="CB18" s="174"/>
      <c r="CC18" s="174"/>
      <c r="CD18" s="173"/>
      <c r="CE18" s="174"/>
      <c r="CI18" s="81" t="s">
        <v>333</v>
      </c>
      <c r="CJ18" s="252">
        <f t="shared" si="0"/>
        <v>316.15231762072455</v>
      </c>
      <c r="CK18" s="252">
        <f t="shared" si="13"/>
        <v>958</v>
      </c>
      <c r="CL18" s="252">
        <f t="shared" si="2"/>
        <v>383</v>
      </c>
      <c r="CO18" s="253" t="s">
        <v>429</v>
      </c>
      <c r="CP18" s="253" t="s">
        <v>446</v>
      </c>
      <c r="CQ18" s="254">
        <v>2.2599999999999998</v>
      </c>
      <c r="CR18" s="254">
        <v>2.5499999999999998E-2</v>
      </c>
      <c r="CS18" s="253">
        <v>88.62</v>
      </c>
      <c r="CT18" s="253" t="s">
        <v>387</v>
      </c>
      <c r="CU18" s="254">
        <v>2E-16</v>
      </c>
      <c r="CV18" s="81" t="s">
        <v>388</v>
      </c>
      <c r="CW18" s="255" t="s">
        <v>460</v>
      </c>
      <c r="CX18" s="260" t="s">
        <v>474</v>
      </c>
      <c r="CY18" s="256" t="s">
        <v>321</v>
      </c>
      <c r="CZ18" s="257">
        <f t="shared" si="12"/>
        <v>7.3900000000000007E-8</v>
      </c>
      <c r="DA18" s="255" t="s">
        <v>320</v>
      </c>
    </row>
    <row r="19" spans="1:105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J19" s="81" t="s">
        <v>79</v>
      </c>
      <c r="K19" s="215">
        <v>0</v>
      </c>
      <c r="L19" s="216">
        <v>2</v>
      </c>
      <c r="M19" s="216" t="s">
        <v>25</v>
      </c>
      <c r="N19" s="217">
        <f>N17</f>
        <v>19.815584446879509</v>
      </c>
      <c r="O19" s="218" t="s">
        <v>45</v>
      </c>
      <c r="P19" s="30">
        <f t="shared" si="7"/>
        <v>0.17756435050594532</v>
      </c>
      <c r="Q19" s="30">
        <f t="shared" si="8"/>
        <v>3.5185413822058718</v>
      </c>
      <c r="R19" s="30">
        <f t="shared" si="21"/>
        <v>6050490.5550101893</v>
      </c>
      <c r="S19" s="30">
        <f t="shared" si="22"/>
        <v>305340</v>
      </c>
      <c r="T19" s="30">
        <f t="shared" si="23"/>
        <v>3587017.0965741291</v>
      </c>
      <c r="U19" s="31"/>
      <c r="V19" s="153"/>
      <c r="W19" s="182"/>
      <c r="X19" s="183" t="s">
        <v>272</v>
      </c>
      <c r="Y19" s="183">
        <v>0</v>
      </c>
      <c r="Z19" s="183">
        <v>3.5999999999999997E-2</v>
      </c>
      <c r="AA19" s="183">
        <v>26</v>
      </c>
      <c r="AB19" s="183">
        <v>1470</v>
      </c>
      <c r="AC19" s="233">
        <f>Y19/Z19</f>
        <v>0</v>
      </c>
      <c r="AD19" s="184">
        <f>Y19*AA19*AB19</f>
        <v>0</v>
      </c>
      <c r="AE19" s="149" t="s">
        <v>273</v>
      </c>
      <c r="AF19" s="14"/>
      <c r="AG19" s="14"/>
      <c r="AL19" s="159" t="s">
        <v>317</v>
      </c>
      <c r="AM19" s="81" t="s">
        <v>318</v>
      </c>
      <c r="AN19" s="81" t="s">
        <v>333</v>
      </c>
      <c r="AO19" s="81">
        <f>SUM(N6:N9)*(1/(SUM(AC20:AC21)*0.5+1/8))</f>
        <v>316.15231762072455</v>
      </c>
      <c r="AP19" s="81" t="s">
        <v>320</v>
      </c>
      <c r="AQ19" s="167">
        <v>298.59179999999998</v>
      </c>
      <c r="AU19" s="168" t="s">
        <v>317</v>
      </c>
      <c r="AV19" s="168" t="s">
        <v>318</v>
      </c>
      <c r="AW19" s="168" t="s">
        <v>333</v>
      </c>
      <c r="AX19" s="169" t="s">
        <v>321</v>
      </c>
      <c r="AY19" s="162">
        <f>AO19</f>
        <v>316.15231762072455</v>
      </c>
      <c r="AZ19" s="168" t="s">
        <v>320</v>
      </c>
      <c r="BC19" s="81" t="s">
        <v>299</v>
      </c>
      <c r="BD19" s="167">
        <v>50500000</v>
      </c>
      <c r="BE19" s="167">
        <v>737000</v>
      </c>
      <c r="BF19" s="81">
        <v>68.5</v>
      </c>
      <c r="BG19" s="81" t="s">
        <v>431</v>
      </c>
      <c r="BH19" s="81" t="s">
        <v>388</v>
      </c>
      <c r="BL19" s="168" t="s">
        <v>317</v>
      </c>
      <c r="BM19" s="168" t="s">
        <v>318</v>
      </c>
      <c r="BN19" s="168" t="s">
        <v>333</v>
      </c>
      <c r="BO19" s="169" t="s">
        <v>321</v>
      </c>
      <c r="BP19" s="162">
        <f>BD31</f>
        <v>958</v>
      </c>
      <c r="BQ19" s="168" t="s">
        <v>320</v>
      </c>
      <c r="BS19" s="81" t="s">
        <v>299</v>
      </c>
      <c r="BT19" s="167">
        <v>44000000</v>
      </c>
      <c r="BU19" s="167">
        <v>1100000</v>
      </c>
      <c r="BV19" s="81">
        <v>40.15</v>
      </c>
      <c r="BW19" s="81" t="s">
        <v>387</v>
      </c>
      <c r="BX19" s="167">
        <v>2E-16</v>
      </c>
      <c r="BY19" s="81" t="s">
        <v>388</v>
      </c>
      <c r="BZ19" s="174" t="s">
        <v>317</v>
      </c>
      <c r="CA19" s="174" t="s">
        <v>318</v>
      </c>
      <c r="CB19" s="174" t="s">
        <v>333</v>
      </c>
      <c r="CC19" s="174" t="s">
        <v>321</v>
      </c>
      <c r="CD19" s="173">
        <f>BT31</f>
        <v>383</v>
      </c>
      <c r="CE19" s="174" t="s">
        <v>320</v>
      </c>
      <c r="CI19" s="81" t="s">
        <v>334</v>
      </c>
      <c r="CJ19" s="252">
        <f t="shared" si="0"/>
        <v>532.80000000000007</v>
      </c>
      <c r="CK19" s="252">
        <f t="shared" si="13"/>
        <v>737</v>
      </c>
      <c r="CL19" s="252">
        <f t="shared" si="2"/>
        <v>172</v>
      </c>
      <c r="CO19" s="253" t="s">
        <v>429</v>
      </c>
      <c r="CP19" s="253" t="s">
        <v>447</v>
      </c>
      <c r="CQ19" s="254">
        <v>1.91</v>
      </c>
      <c r="CR19" s="254">
        <v>4.2900000000000001E-2</v>
      </c>
      <c r="CS19" s="253">
        <v>44.62</v>
      </c>
      <c r="CT19" s="253" t="s">
        <v>387</v>
      </c>
      <c r="CU19" s="254">
        <v>2E-16</v>
      </c>
      <c r="CV19" s="81" t="s">
        <v>388</v>
      </c>
      <c r="CW19" s="255" t="s">
        <v>460</v>
      </c>
      <c r="CX19" s="258" t="s">
        <v>475</v>
      </c>
      <c r="CY19" s="256" t="s">
        <v>321</v>
      </c>
      <c r="CZ19" s="257">
        <f t="shared" si="12"/>
        <v>0.94899999999999995</v>
      </c>
      <c r="DA19" s="255" t="s">
        <v>320</v>
      </c>
    </row>
    <row r="20" spans="1:105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0.15822130299896589</v>
      </c>
      <c r="G20" s="193"/>
      <c r="H20" s="184"/>
      <c r="J20" s="81" t="s">
        <v>82</v>
      </c>
      <c r="K20" s="215">
        <v>0</v>
      </c>
      <c r="L20" s="216">
        <v>2</v>
      </c>
      <c r="M20" s="216" t="s">
        <v>25</v>
      </c>
      <c r="N20" s="217">
        <v>0</v>
      </c>
      <c r="O20" s="218" t="s">
        <v>50</v>
      </c>
      <c r="P20" s="30">
        <f t="shared" si="7"/>
        <v>0.17756435050594532</v>
      </c>
      <c r="Q20" s="30">
        <f t="shared" si="8"/>
        <v>0</v>
      </c>
      <c r="R20" s="30">
        <f t="shared" si="21"/>
        <v>0</v>
      </c>
      <c r="S20" s="30" t="e">
        <f t="shared" si="22"/>
        <v>#DIV/0!</v>
      </c>
      <c r="T20" s="30">
        <f t="shared" si="23"/>
        <v>0</v>
      </c>
      <c r="U20" s="31"/>
      <c r="V20" s="153"/>
      <c r="W20" s="182"/>
      <c r="X20" s="193" t="s">
        <v>376</v>
      </c>
      <c r="Y20" s="183">
        <v>0.14000000000000001</v>
      </c>
      <c r="Z20" s="183">
        <v>0.9</v>
      </c>
      <c r="AA20" s="183">
        <v>1400</v>
      </c>
      <c r="AB20" s="193">
        <v>840</v>
      </c>
      <c r="AC20" s="233">
        <f>Y20/Z20</f>
        <v>0.15555555555555556</v>
      </c>
      <c r="AD20" s="184">
        <f>Y20*AA20*AB20</f>
        <v>164640.00000000003</v>
      </c>
      <c r="AE20" s="14" t="s">
        <v>274</v>
      </c>
      <c r="AF20" s="14"/>
      <c r="AG20" s="14"/>
      <c r="AL20" s="159" t="s">
        <v>317</v>
      </c>
      <c r="AM20" s="81" t="s">
        <v>318</v>
      </c>
      <c r="AN20" s="81" t="s">
        <v>334</v>
      </c>
      <c r="AO20" s="81">
        <f>SUM(N14)*1/(0.5*SUM(AC42:AC43)+1/6)</f>
        <v>532.80000000000007</v>
      </c>
      <c r="AP20" s="81" t="s">
        <v>320</v>
      </c>
      <c r="AQ20" s="167">
        <v>278.86439999999999</v>
      </c>
      <c r="AU20" s="168" t="s">
        <v>317</v>
      </c>
      <c r="AV20" s="168" t="s">
        <v>318</v>
      </c>
      <c r="AW20" s="168" t="s">
        <v>334</v>
      </c>
      <c r="AX20" s="169" t="s">
        <v>321</v>
      </c>
      <c r="AY20" s="162">
        <f t="shared" ref="AY20:AY24" si="24">AO20</f>
        <v>532.80000000000007</v>
      </c>
      <c r="AZ20" s="168" t="s">
        <v>320</v>
      </c>
      <c r="BC20" s="81" t="s">
        <v>301</v>
      </c>
      <c r="BD20" s="167">
        <v>32700000</v>
      </c>
      <c r="BE20" s="167">
        <v>53200</v>
      </c>
      <c r="BF20" s="81">
        <v>614.4</v>
      </c>
      <c r="BG20" s="81" t="s">
        <v>431</v>
      </c>
      <c r="BH20" s="81" t="s">
        <v>388</v>
      </c>
      <c r="BL20" s="168" t="s">
        <v>317</v>
      </c>
      <c r="BM20" s="168" t="s">
        <v>318</v>
      </c>
      <c r="BN20" s="168" t="s">
        <v>334</v>
      </c>
      <c r="BO20" s="169" t="s">
        <v>321</v>
      </c>
      <c r="BP20" s="162">
        <f t="shared" ref="BP20:BP22" si="25">BD32</f>
        <v>737</v>
      </c>
      <c r="BQ20" s="168" t="s">
        <v>320</v>
      </c>
      <c r="BS20" s="81" t="s">
        <v>301</v>
      </c>
      <c r="BT20" s="167">
        <v>26300000</v>
      </c>
      <c r="BU20" s="167">
        <v>378000</v>
      </c>
      <c r="BV20" s="81">
        <v>69.39</v>
      </c>
      <c r="BW20" s="81" t="s">
        <v>387</v>
      </c>
      <c r="BX20" s="167">
        <v>2E-16</v>
      </c>
      <c r="BY20" s="81" t="s">
        <v>388</v>
      </c>
      <c r="BZ20" s="174" t="s">
        <v>317</v>
      </c>
      <c r="CA20" s="174" t="s">
        <v>318</v>
      </c>
      <c r="CB20" s="174" t="s">
        <v>334</v>
      </c>
      <c r="CC20" s="174" t="s">
        <v>321</v>
      </c>
      <c r="CD20" s="173">
        <f t="shared" ref="CD20:CD22" si="26">BT32</f>
        <v>172</v>
      </c>
      <c r="CE20" s="174" t="s">
        <v>320</v>
      </c>
      <c r="CI20" s="81" t="s">
        <v>335</v>
      </c>
      <c r="CJ20" s="252">
        <f t="shared" si="0"/>
        <v>166.50688728024824</v>
      </c>
      <c r="CK20" s="252">
        <f t="shared" si="13"/>
        <v>2190</v>
      </c>
      <c r="CL20" s="252">
        <f t="shared" si="2"/>
        <v>517</v>
      </c>
      <c r="CO20" s="253" t="s">
        <v>429</v>
      </c>
      <c r="CP20" s="253" t="s">
        <v>448</v>
      </c>
      <c r="CQ20" s="254">
        <v>0.26</v>
      </c>
      <c r="CR20" s="254">
        <v>0.27200000000000002</v>
      </c>
      <c r="CS20" s="253">
        <v>0.96</v>
      </c>
      <c r="CT20" s="253">
        <v>0.33800000000000002</v>
      </c>
      <c r="CW20" s="255" t="s">
        <v>460</v>
      </c>
      <c r="CX20" s="259" t="s">
        <v>476</v>
      </c>
      <c r="CY20" s="256" t="s">
        <v>321</v>
      </c>
      <c r="CZ20" s="257">
        <f t="shared" si="12"/>
        <v>0.79</v>
      </c>
      <c r="DA20" s="255" t="s">
        <v>320</v>
      </c>
    </row>
    <row r="21" spans="1:105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0.15822130299896589</v>
      </c>
      <c r="G21" s="193"/>
      <c r="H21" s="184"/>
      <c r="J21" s="81" t="s">
        <v>84</v>
      </c>
      <c r="K21" s="215">
        <v>0</v>
      </c>
      <c r="L21" s="216">
        <v>2</v>
      </c>
      <c r="M21" s="216" t="s">
        <v>54</v>
      </c>
      <c r="N21" s="217">
        <f>H10</f>
        <v>1.4799999999999998</v>
      </c>
      <c r="O21" s="218" t="s">
        <v>26</v>
      </c>
      <c r="P21" s="30">
        <f t="shared" si="7"/>
        <v>1.1000000000000001</v>
      </c>
      <c r="Q21" s="30">
        <f t="shared" si="8"/>
        <v>1.6279999999999999</v>
      </c>
      <c r="R21" s="30">
        <f t="shared" si="21"/>
        <v>0</v>
      </c>
      <c r="S21" s="30">
        <f t="shared" si="22"/>
        <v>0</v>
      </c>
      <c r="T21" s="30">
        <f t="shared" si="23"/>
        <v>0</v>
      </c>
      <c r="U21" s="31"/>
      <c r="V21" s="153"/>
      <c r="W21" s="199"/>
      <c r="X21" s="181" t="s">
        <v>275</v>
      </c>
      <c r="Y21" s="181">
        <v>0.02</v>
      </c>
      <c r="Z21" s="181">
        <v>0.6</v>
      </c>
      <c r="AA21" s="181">
        <v>975</v>
      </c>
      <c r="AB21" s="181">
        <v>840</v>
      </c>
      <c r="AC21" s="234">
        <f>Y21/Z21</f>
        <v>3.3333333333333333E-2</v>
      </c>
      <c r="AD21" s="204">
        <f>Y21*AA21*AB21</f>
        <v>16380</v>
      </c>
      <c r="AE21" s="14"/>
      <c r="AF21" s="14"/>
      <c r="AG21" s="14"/>
      <c r="AL21" s="159" t="s">
        <v>317</v>
      </c>
      <c r="AM21" s="81" t="s">
        <v>318</v>
      </c>
      <c r="AN21" s="81" t="s">
        <v>335</v>
      </c>
      <c r="AO21" s="81">
        <f>4*Z21*N27</f>
        <v>166.50688728024824</v>
      </c>
      <c r="AP21" s="81" t="s">
        <v>320</v>
      </c>
      <c r="AQ21" s="167">
        <v>721.00049999999999</v>
      </c>
      <c r="AU21" s="168" t="s">
        <v>317</v>
      </c>
      <c r="AV21" s="168" t="s">
        <v>318</v>
      </c>
      <c r="AW21" s="168" t="s">
        <v>335</v>
      </c>
      <c r="AX21" s="169" t="s">
        <v>321</v>
      </c>
      <c r="AY21" s="162">
        <f t="shared" si="24"/>
        <v>166.50688728024824</v>
      </c>
      <c r="AZ21" s="168" t="s">
        <v>320</v>
      </c>
      <c r="BC21" s="81" t="s">
        <v>399</v>
      </c>
      <c r="BD21" s="167">
        <v>-6.77</v>
      </c>
      <c r="BE21" s="167">
        <v>5.1499999999999997E-2</v>
      </c>
      <c r="BF21" s="81">
        <v>-131.33000000000001</v>
      </c>
      <c r="BG21" s="81" t="s">
        <v>431</v>
      </c>
      <c r="BH21" s="81" t="s">
        <v>388</v>
      </c>
      <c r="BL21" s="168" t="s">
        <v>317</v>
      </c>
      <c r="BM21" s="168" t="s">
        <v>318</v>
      </c>
      <c r="BN21" s="168" t="s">
        <v>335</v>
      </c>
      <c r="BO21" s="169" t="s">
        <v>321</v>
      </c>
      <c r="BP21" s="162">
        <f t="shared" si="25"/>
        <v>2190</v>
      </c>
      <c r="BQ21" s="168" t="s">
        <v>320</v>
      </c>
      <c r="BS21" s="81" t="s">
        <v>399</v>
      </c>
      <c r="BT21" s="167">
        <v>-6.03</v>
      </c>
      <c r="BU21" s="167">
        <v>6.9800000000000001E-2</v>
      </c>
      <c r="BV21" s="81">
        <v>-86.39</v>
      </c>
      <c r="BW21" s="81" t="s">
        <v>387</v>
      </c>
      <c r="BX21" s="167">
        <v>2E-16</v>
      </c>
      <c r="BY21" s="81" t="s">
        <v>388</v>
      </c>
      <c r="BZ21" s="174" t="s">
        <v>317</v>
      </c>
      <c r="CA21" s="174" t="s">
        <v>318</v>
      </c>
      <c r="CB21" s="174" t="s">
        <v>335</v>
      </c>
      <c r="CC21" s="174" t="s">
        <v>321</v>
      </c>
      <c r="CD21" s="173">
        <f t="shared" si="26"/>
        <v>517</v>
      </c>
      <c r="CE21" s="174" t="s">
        <v>320</v>
      </c>
      <c r="CI21" s="81" t="s">
        <v>336</v>
      </c>
      <c r="CJ21" s="252">
        <f t="shared" si="0"/>
        <v>95.148746135038579</v>
      </c>
      <c r="CK21" s="252">
        <f t="shared" si="13"/>
        <v>251</v>
      </c>
      <c r="CL21" s="252">
        <f t="shared" si="2"/>
        <v>256</v>
      </c>
      <c r="CO21" s="253" t="s">
        <v>429</v>
      </c>
      <c r="CP21" s="253" t="s">
        <v>341</v>
      </c>
      <c r="CQ21" s="254">
        <v>2.4200000000000002E-8</v>
      </c>
      <c r="CR21" s="254">
        <v>1.4100000000000001E-5</v>
      </c>
      <c r="CS21" s="253">
        <v>0</v>
      </c>
      <c r="CT21" s="253">
        <v>0.999</v>
      </c>
      <c r="CW21" s="255" t="s">
        <v>460</v>
      </c>
      <c r="CX21" s="259" t="s">
        <v>477</v>
      </c>
      <c r="CY21" s="256" t="s">
        <v>321</v>
      </c>
      <c r="CZ21" s="257">
        <f t="shared" si="12"/>
        <v>0.64600000000000002</v>
      </c>
      <c r="DA21" s="255" t="s">
        <v>320</v>
      </c>
    </row>
    <row r="22" spans="1:105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8.0230728893550096E-2</v>
      </c>
      <c r="G22" s="183"/>
      <c r="H22" s="184"/>
      <c r="J22" s="81" t="s">
        <v>87</v>
      </c>
      <c r="K22" s="215">
        <v>0</v>
      </c>
      <c r="L22" s="216">
        <v>2</v>
      </c>
      <c r="M22" s="216" t="s">
        <v>54</v>
      </c>
      <c r="N22" s="217">
        <f>H11</f>
        <v>1.4599999999999997</v>
      </c>
      <c r="O22" s="218" t="s">
        <v>39</v>
      </c>
      <c r="P22" s="30">
        <f t="shared" si="7"/>
        <v>1.1000000000000001</v>
      </c>
      <c r="Q22" s="30">
        <f t="shared" si="8"/>
        <v>1.6059999999999999</v>
      </c>
      <c r="R22" s="30">
        <f t="shared" si="21"/>
        <v>0</v>
      </c>
      <c r="S22" s="30">
        <f t="shared" si="22"/>
        <v>0</v>
      </c>
      <c r="T22" s="30">
        <f t="shared" si="23"/>
        <v>0</v>
      </c>
      <c r="U22" s="31"/>
      <c r="V22" s="153"/>
      <c r="W22" s="223"/>
      <c r="X22" s="223"/>
      <c r="Y22" s="223"/>
      <c r="Z22" s="223"/>
      <c r="AA22" s="223"/>
      <c r="AB22" s="223"/>
      <c r="AC22" s="223"/>
      <c r="AD22" s="223"/>
      <c r="AE22" s="14"/>
      <c r="AF22" s="14"/>
      <c r="AG22" s="14"/>
      <c r="AL22" s="159" t="s">
        <v>317</v>
      </c>
      <c r="AM22" s="81" t="s">
        <v>318</v>
      </c>
      <c r="AN22" s="81" t="s">
        <v>336</v>
      </c>
      <c r="AO22" s="153">
        <f>'Verwarming Tabula 2zone'!B60+SUM(Q10:Q13)</f>
        <v>95.148746135038579</v>
      </c>
      <c r="AP22" s="81" t="s">
        <v>320</v>
      </c>
      <c r="AQ22" s="167">
        <v>110.5333</v>
      </c>
      <c r="AU22" s="168" t="s">
        <v>317</v>
      </c>
      <c r="AV22" s="168" t="s">
        <v>318</v>
      </c>
      <c r="AW22" s="168" t="s">
        <v>336</v>
      </c>
      <c r="AX22" s="169" t="s">
        <v>321</v>
      </c>
      <c r="AY22" s="162">
        <f t="shared" si="24"/>
        <v>95.148746135038579</v>
      </c>
      <c r="AZ22" s="168" t="s">
        <v>320</v>
      </c>
      <c r="BC22" s="81" t="s">
        <v>400</v>
      </c>
      <c r="BD22" s="167">
        <v>-15.3</v>
      </c>
      <c r="BE22" s="167">
        <v>295</v>
      </c>
      <c r="BF22" s="81">
        <v>-0.05</v>
      </c>
      <c r="BG22" s="81">
        <v>0.96</v>
      </c>
      <c r="BL22" s="168" t="s">
        <v>317</v>
      </c>
      <c r="BM22" s="168" t="s">
        <v>318</v>
      </c>
      <c r="BN22" s="168" t="s">
        <v>336</v>
      </c>
      <c r="BO22" s="169" t="s">
        <v>321</v>
      </c>
      <c r="BP22" s="162">
        <f t="shared" si="25"/>
        <v>251</v>
      </c>
      <c r="BQ22" s="168" t="s">
        <v>320</v>
      </c>
      <c r="BS22" s="81" t="s">
        <v>400</v>
      </c>
      <c r="BT22" s="167">
        <v>-17.3</v>
      </c>
      <c r="BU22" s="167">
        <v>89.6</v>
      </c>
      <c r="BV22" s="81">
        <v>-0.19</v>
      </c>
      <c r="BW22" s="81">
        <v>0.85</v>
      </c>
      <c r="BZ22" s="174" t="s">
        <v>317</v>
      </c>
      <c r="CA22" s="174" t="s">
        <v>318</v>
      </c>
      <c r="CB22" s="174" t="s">
        <v>336</v>
      </c>
      <c r="CC22" s="174" t="s">
        <v>321</v>
      </c>
      <c r="CD22" s="173">
        <f t="shared" si="26"/>
        <v>256</v>
      </c>
      <c r="CE22" s="174" t="s">
        <v>320</v>
      </c>
      <c r="CI22" s="81" t="s">
        <v>337</v>
      </c>
      <c r="CJ22" s="252">
        <f t="shared" si="0"/>
        <v>13.245430023400189</v>
      </c>
      <c r="CK22" s="252">
        <f t="shared" si="13"/>
        <v>884.95575221238948</v>
      </c>
      <c r="CL22" s="252">
        <f t="shared" si="2"/>
        <v>740.74074074074065</v>
      </c>
      <c r="CO22" s="253" t="s">
        <v>429</v>
      </c>
      <c r="CP22" s="253" t="s">
        <v>449</v>
      </c>
      <c r="CQ22" s="254">
        <v>0.50900000000000001</v>
      </c>
      <c r="CR22" s="254">
        <v>0.11899999999999999</v>
      </c>
      <c r="CS22" s="253">
        <v>4.28</v>
      </c>
      <c r="CT22" s="254">
        <v>1.9000000000000001E-5</v>
      </c>
      <c r="CU22" s="253" t="s">
        <v>388</v>
      </c>
      <c r="CW22" s="255" t="s">
        <v>460</v>
      </c>
      <c r="CX22" s="259" t="s">
        <v>478</v>
      </c>
      <c r="CY22" s="256" t="s">
        <v>321</v>
      </c>
      <c r="CZ22" s="257">
        <f t="shared" si="12"/>
        <v>9.05E-9</v>
      </c>
      <c r="DA22" s="255" t="s">
        <v>320</v>
      </c>
    </row>
    <row r="23" spans="1:105" ht="15" customHeight="1" thickTop="1" thickBot="1" x14ac:dyDescent="0.3">
      <c r="A23" s="185" t="s">
        <v>91</v>
      </c>
      <c r="B23" s="186">
        <f>B17+B6</f>
        <v>193.4</v>
      </c>
      <c r="C23" s="196" t="s">
        <v>9</v>
      </c>
      <c r="D23" s="182"/>
      <c r="E23" s="183"/>
      <c r="F23" s="183"/>
      <c r="G23" s="183"/>
      <c r="H23" s="184"/>
      <c r="J23" s="81" t="s">
        <v>89</v>
      </c>
      <c r="K23" s="215">
        <v>0</v>
      </c>
      <c r="L23" s="216">
        <v>2</v>
      </c>
      <c r="M23" s="216" t="s">
        <v>54</v>
      </c>
      <c r="N23" s="217">
        <f>H12</f>
        <v>1.6799999999999997</v>
      </c>
      <c r="O23" s="218" t="s">
        <v>45</v>
      </c>
      <c r="P23" s="30">
        <f t="shared" si="7"/>
        <v>1.1000000000000001</v>
      </c>
      <c r="Q23" s="30">
        <f t="shared" si="8"/>
        <v>1.8479999999999999</v>
      </c>
      <c r="R23" s="30">
        <f t="shared" si="21"/>
        <v>0</v>
      </c>
      <c r="S23" s="30">
        <f t="shared" si="22"/>
        <v>0</v>
      </c>
      <c r="T23" s="30">
        <f t="shared" si="23"/>
        <v>0</v>
      </c>
      <c r="U23" s="31"/>
      <c r="V23" s="153"/>
      <c r="W23" s="225" t="s">
        <v>85</v>
      </c>
      <c r="X23" s="226"/>
      <c r="Y23" s="227" t="s">
        <v>21</v>
      </c>
      <c r="Z23" s="228">
        <f>(1/(1/8+SUM(AC25:AC27)+1/8))</f>
        <v>1.7363344051446945</v>
      </c>
      <c r="AA23" s="226" t="s">
        <v>5</v>
      </c>
      <c r="AB23" s="226"/>
      <c r="AC23" s="226" t="s">
        <v>22</v>
      </c>
      <c r="AD23" s="229">
        <f>SUM(AD25:AD28)</f>
        <v>197400.00000000003</v>
      </c>
      <c r="AE23" s="14" t="s">
        <v>23</v>
      </c>
      <c r="AF23" s="14">
        <f>SUM(AD25:AD27)</f>
        <v>197400.00000000003</v>
      </c>
      <c r="AG23" s="14"/>
      <c r="AL23" s="159" t="s">
        <v>317</v>
      </c>
      <c r="AM23" s="81" t="s">
        <v>318</v>
      </c>
      <c r="AN23" s="81" t="s">
        <v>337</v>
      </c>
      <c r="AO23" s="81">
        <f>SUM(N6:N9)*1/(SUM(AC15:AC17)+0.5*SUM(AC18:AC19)+1/23)</f>
        <v>13.245430023400189</v>
      </c>
      <c r="AP23" s="81" t="s">
        <v>320</v>
      </c>
      <c r="AQ23" s="81">
        <f>1/0.01496205</f>
        <v>66.83576114235683</v>
      </c>
      <c r="AU23" s="168" t="s">
        <v>317</v>
      </c>
      <c r="AV23" s="168" t="s">
        <v>318</v>
      </c>
      <c r="AW23" s="168" t="s">
        <v>337</v>
      </c>
      <c r="AX23" s="169" t="s">
        <v>321</v>
      </c>
      <c r="AY23" s="162">
        <f t="shared" si="24"/>
        <v>13.245430023400189</v>
      </c>
      <c r="AZ23" s="168" t="s">
        <v>320</v>
      </c>
      <c r="BC23" s="81" t="s">
        <v>401</v>
      </c>
      <c r="BD23" s="167">
        <v>-14.3</v>
      </c>
      <c r="BE23" s="167">
        <v>275</v>
      </c>
      <c r="BF23" s="81">
        <v>-0.05</v>
      </c>
      <c r="BG23" s="81">
        <v>0.96</v>
      </c>
      <c r="BL23" s="168" t="s">
        <v>317</v>
      </c>
      <c r="BM23" s="168" t="s">
        <v>318</v>
      </c>
      <c r="BN23" s="168" t="s">
        <v>337</v>
      </c>
      <c r="BO23" s="169" t="s">
        <v>321</v>
      </c>
      <c r="BP23" s="162">
        <f>1/BD40</f>
        <v>884.95575221238948</v>
      </c>
      <c r="BQ23" s="168" t="s">
        <v>320</v>
      </c>
      <c r="BS23" s="81" t="s">
        <v>401</v>
      </c>
      <c r="BT23" s="167">
        <v>4.9000000000000004</v>
      </c>
      <c r="BU23" s="167">
        <v>0.26400000000000001</v>
      </c>
      <c r="BV23" s="81">
        <v>18.54</v>
      </c>
      <c r="BW23" s="81" t="s">
        <v>387</v>
      </c>
      <c r="BX23" s="167">
        <v>2E-16</v>
      </c>
      <c r="BY23" s="81" t="s">
        <v>388</v>
      </c>
      <c r="BZ23" s="174" t="s">
        <v>317</v>
      </c>
      <c r="CA23" s="174" t="s">
        <v>318</v>
      </c>
      <c r="CB23" s="174" t="s">
        <v>337</v>
      </c>
      <c r="CC23" s="174" t="s">
        <v>321</v>
      </c>
      <c r="CD23" s="173">
        <f>1/BT40</f>
        <v>740.74074074074065</v>
      </c>
      <c r="CE23" s="174" t="s">
        <v>320</v>
      </c>
      <c r="CI23" s="81" t="s">
        <v>338</v>
      </c>
      <c r="CJ23" s="252">
        <f t="shared" si="0"/>
        <v>16.579684374305405</v>
      </c>
      <c r="CK23" s="252">
        <f t="shared" si="13"/>
        <v>301</v>
      </c>
      <c r="CL23" s="252">
        <f t="shared" si="2"/>
        <v>334</v>
      </c>
      <c r="CO23" s="253" t="s">
        <v>429</v>
      </c>
      <c r="CP23" s="253" t="s">
        <v>450</v>
      </c>
      <c r="CQ23" s="254">
        <v>2.1199999999999999E-7</v>
      </c>
      <c r="CR23" s="254">
        <v>1.01E-4</v>
      </c>
      <c r="CS23" s="253">
        <v>0</v>
      </c>
      <c r="CT23" s="253">
        <v>0.998</v>
      </c>
      <c r="CW23" s="255" t="s">
        <v>460</v>
      </c>
      <c r="CX23" s="258" t="s">
        <v>479</v>
      </c>
      <c r="CY23" s="256" t="s">
        <v>321</v>
      </c>
      <c r="CZ23" s="257">
        <f t="shared" si="12"/>
        <v>0.79</v>
      </c>
      <c r="DA23" s="255" t="s">
        <v>320</v>
      </c>
    </row>
    <row r="24" spans="1:105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0.54084798345398133</v>
      </c>
      <c r="G24" s="183"/>
      <c r="H24" s="184"/>
      <c r="J24" s="81" t="s">
        <v>92</v>
      </c>
      <c r="K24" s="215">
        <v>0</v>
      </c>
      <c r="L24" s="216">
        <v>2</v>
      </c>
      <c r="M24" s="216" t="s">
        <v>54</v>
      </c>
      <c r="N24" s="217">
        <f>H13</f>
        <v>1.4999999999999996</v>
      </c>
      <c r="O24" s="218" t="s">
        <v>50</v>
      </c>
      <c r="P24" s="30">
        <f t="shared" si="7"/>
        <v>1.1000000000000001</v>
      </c>
      <c r="Q24" s="30">
        <f t="shared" si="8"/>
        <v>1.6499999999999997</v>
      </c>
      <c r="R24" s="30">
        <f t="shared" si="21"/>
        <v>0</v>
      </c>
      <c r="S24" s="30">
        <f t="shared" si="22"/>
        <v>0</v>
      </c>
      <c r="T24" s="30">
        <f t="shared" si="23"/>
        <v>0</v>
      </c>
      <c r="U24" s="31"/>
      <c r="V24" s="153"/>
      <c r="W24" s="230"/>
      <c r="X24" s="231" t="s">
        <v>27</v>
      </c>
      <c r="Y24" s="231" t="s">
        <v>28</v>
      </c>
      <c r="Z24" s="231" t="s">
        <v>29</v>
      </c>
      <c r="AA24" s="231" t="s">
        <v>30</v>
      </c>
      <c r="AB24" s="231" t="s">
        <v>31</v>
      </c>
      <c r="AC24" s="231" t="s">
        <v>32</v>
      </c>
      <c r="AD24" s="232" t="s">
        <v>33</v>
      </c>
      <c r="AE24" s="14"/>
      <c r="AF24" s="14"/>
      <c r="AG24" s="14"/>
      <c r="AL24" s="159" t="s">
        <v>317</v>
      </c>
      <c r="AM24" s="81" t="s">
        <v>318</v>
      </c>
      <c r="AN24" s="81" t="s">
        <v>338</v>
      </c>
      <c r="AO24" s="81">
        <f>SUM(N14)*1/(SUM(AC44:AC46)+0.5*SUM(AC42:AC43))</f>
        <v>16.579684374305405</v>
      </c>
      <c r="AP24" s="81" t="s">
        <v>320</v>
      </c>
      <c r="AQ24" s="167">
        <v>43.800190000000001</v>
      </c>
      <c r="AU24" s="168" t="s">
        <v>317</v>
      </c>
      <c r="AV24" s="168" t="s">
        <v>318</v>
      </c>
      <c r="AW24" s="168" t="s">
        <v>338</v>
      </c>
      <c r="AX24" s="169" t="s">
        <v>321</v>
      </c>
      <c r="AY24" s="162">
        <f t="shared" si="24"/>
        <v>16.579684374305405</v>
      </c>
      <c r="AZ24" s="168" t="s">
        <v>320</v>
      </c>
      <c r="BC24" s="81" t="s">
        <v>402</v>
      </c>
      <c r="BD24" s="167">
        <v>-9.5399999999999991</v>
      </c>
      <c r="BE24" s="167">
        <v>148</v>
      </c>
      <c r="BF24" s="81">
        <v>-0.06</v>
      </c>
      <c r="BG24" s="81">
        <v>0.95</v>
      </c>
      <c r="BL24" s="168" t="s">
        <v>317</v>
      </c>
      <c r="BM24" s="168" t="s">
        <v>318</v>
      </c>
      <c r="BN24" s="168" t="s">
        <v>338</v>
      </c>
      <c r="BO24" s="169" t="s">
        <v>321</v>
      </c>
      <c r="BP24" s="162">
        <f>BD43</f>
        <v>301</v>
      </c>
      <c r="BQ24" s="168" t="s">
        <v>320</v>
      </c>
      <c r="BS24" s="81" t="s">
        <v>402</v>
      </c>
      <c r="BT24" s="167">
        <v>-14.2</v>
      </c>
      <c r="BU24" s="167">
        <v>448</v>
      </c>
      <c r="BV24" s="81">
        <v>-0.03</v>
      </c>
      <c r="BW24" s="81">
        <v>0.97</v>
      </c>
      <c r="BZ24" s="174" t="s">
        <v>317</v>
      </c>
      <c r="CA24" s="174" t="s">
        <v>318</v>
      </c>
      <c r="CB24" s="174" t="s">
        <v>338</v>
      </c>
      <c r="CC24" s="174" t="s">
        <v>321</v>
      </c>
      <c r="CD24" s="173">
        <f>BT43</f>
        <v>334</v>
      </c>
      <c r="CE24" s="174" t="s">
        <v>320</v>
      </c>
      <c r="CJ24" s="250"/>
      <c r="CK24" s="250"/>
      <c r="CL24" s="250"/>
      <c r="CO24" s="253" t="s">
        <v>429</v>
      </c>
      <c r="CP24" s="253" t="s">
        <v>451</v>
      </c>
      <c r="CQ24" s="254">
        <v>0.79900000000000004</v>
      </c>
      <c r="CR24" s="254">
        <v>1.6500000000000001E-2</v>
      </c>
      <c r="CS24" s="253">
        <v>48.43</v>
      </c>
      <c r="CT24" s="253" t="s">
        <v>387</v>
      </c>
      <c r="CU24" s="254">
        <v>2E-16</v>
      </c>
      <c r="CV24" s="81" t="s">
        <v>388</v>
      </c>
      <c r="CW24" s="255" t="s">
        <v>460</v>
      </c>
      <c r="CX24" s="256" t="s">
        <v>480</v>
      </c>
      <c r="CY24" s="256" t="s">
        <v>321</v>
      </c>
      <c r="CZ24" s="257">
        <f>CQ31</f>
        <v>0.625</v>
      </c>
      <c r="DA24" s="255" t="s">
        <v>320</v>
      </c>
    </row>
    <row r="25" spans="1:105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J25" s="81" t="s">
        <v>96</v>
      </c>
      <c r="K25" s="215">
        <v>0</v>
      </c>
      <c r="L25" s="216">
        <v>2</v>
      </c>
      <c r="M25" s="216" t="s">
        <v>20</v>
      </c>
      <c r="N25" s="217">
        <f>'Tabula data'!B7</f>
        <v>101.4</v>
      </c>
      <c r="O25" s="218" t="s">
        <v>97</v>
      </c>
      <c r="P25" s="30">
        <f t="shared" si="7"/>
        <v>0.13970867289220834</v>
      </c>
      <c r="Q25" s="30">
        <f t="shared" si="8"/>
        <v>14.166459431269926</v>
      </c>
      <c r="R25" s="30">
        <f t="shared" si="21"/>
        <v>6226365.6000000006</v>
      </c>
      <c r="S25" s="30">
        <f t="shared" si="22"/>
        <v>61404</v>
      </c>
      <c r="T25" s="30">
        <f t="shared" si="23"/>
        <v>1660932</v>
      </c>
      <c r="U25" s="31"/>
      <c r="V25" s="153"/>
      <c r="W25" s="182"/>
      <c r="X25" s="183" t="s">
        <v>90</v>
      </c>
      <c r="Y25" s="183">
        <v>0.02</v>
      </c>
      <c r="Z25" s="183">
        <v>0.6</v>
      </c>
      <c r="AA25" s="183">
        <v>975</v>
      </c>
      <c r="AB25" s="183">
        <v>840</v>
      </c>
      <c r="AC25" s="233">
        <f>Y25/Z25</f>
        <v>3.3333333333333333E-2</v>
      </c>
      <c r="AD25" s="184">
        <f>Y25*AA25*AB25</f>
        <v>16380</v>
      </c>
      <c r="AE25" s="14"/>
      <c r="AF25" s="14"/>
      <c r="AG25" s="14"/>
      <c r="AP25" s="81" t="s">
        <v>320</v>
      </c>
      <c r="AU25" s="168"/>
      <c r="AV25" s="168"/>
      <c r="AW25" s="168"/>
      <c r="AX25" s="169"/>
      <c r="AZ25" s="168"/>
      <c r="BC25" s="81" t="s">
        <v>403</v>
      </c>
      <c r="BD25" s="167">
        <v>-13</v>
      </c>
      <c r="BE25" s="167">
        <v>221</v>
      </c>
      <c r="BF25" s="81">
        <v>-0.06</v>
      </c>
      <c r="BG25" s="81">
        <v>0.95</v>
      </c>
      <c r="BL25" s="168"/>
      <c r="BM25" s="168"/>
      <c r="BN25" s="168"/>
      <c r="BO25" s="169"/>
      <c r="BP25" s="162"/>
      <c r="BQ25" s="168"/>
      <c r="BS25" s="81" t="s">
        <v>403</v>
      </c>
      <c r="BT25" s="167">
        <v>-14.2</v>
      </c>
      <c r="BU25" s="167">
        <v>475</v>
      </c>
      <c r="BV25" s="81">
        <v>-0.03</v>
      </c>
      <c r="BW25" s="81">
        <v>0.98</v>
      </c>
      <c r="BZ25" s="174"/>
      <c r="CA25" s="174"/>
      <c r="CB25" s="174"/>
      <c r="CC25" s="174"/>
      <c r="CD25" s="173"/>
      <c r="CE25" s="174"/>
      <c r="CI25" s="81" t="s">
        <v>339</v>
      </c>
      <c r="CJ25" s="249">
        <f t="shared" si="0"/>
        <v>0.48759200358266841</v>
      </c>
      <c r="CK25" s="249">
        <f t="shared" si="13"/>
        <v>0.01</v>
      </c>
      <c r="CL25" s="249">
        <f t="shared" si="2"/>
        <v>0.27400000000000002</v>
      </c>
      <c r="CO25" s="253" t="s">
        <v>429</v>
      </c>
      <c r="CP25" s="253" t="s">
        <v>452</v>
      </c>
      <c r="CQ25" s="254">
        <v>7.3900000000000007E-8</v>
      </c>
      <c r="CR25" s="254">
        <v>6.6599999999999998E-6</v>
      </c>
      <c r="CS25" s="253">
        <v>0.01</v>
      </c>
      <c r="CT25" s="253">
        <v>0.99099999999999999</v>
      </c>
      <c r="CY25" s="256"/>
    </row>
    <row r="26" spans="1:105" ht="15" customHeight="1" thickTop="1" thickBot="1" x14ac:dyDescent="0.3">
      <c r="A26" s="185" t="s">
        <v>100</v>
      </c>
      <c r="B26" s="203">
        <f>'Tabula data'!B6</f>
        <v>381.4</v>
      </c>
      <c r="C26" s="197" t="s">
        <v>9</v>
      </c>
      <c r="D26" s="182"/>
      <c r="E26" s="183"/>
      <c r="F26" s="183"/>
      <c r="G26" s="183"/>
      <c r="H26" s="184"/>
      <c r="J26" s="81" t="s">
        <v>98</v>
      </c>
      <c r="K26" s="215">
        <v>1</v>
      </c>
      <c r="L26" s="216">
        <v>2</v>
      </c>
      <c r="M26" s="216" t="s">
        <v>99</v>
      </c>
      <c r="N26" s="217">
        <f>'Tabula data'!B4-'Tabula data'!B14</f>
        <v>104.6</v>
      </c>
      <c r="O26" s="218"/>
      <c r="P26" s="30">
        <f t="shared" si="7"/>
        <v>1.4549653579676673</v>
      </c>
      <c r="Q26" s="30">
        <f t="shared" si="8"/>
        <v>152.18937644341798</v>
      </c>
      <c r="R26" s="30">
        <f t="shared" si="21"/>
        <v>48695484</v>
      </c>
      <c r="S26" s="30">
        <f t="shared" si="22"/>
        <v>465540</v>
      </c>
      <c r="T26" s="30">
        <f t="shared" si="23"/>
        <v>48695484</v>
      </c>
      <c r="U26" s="31"/>
      <c r="V26" s="153"/>
      <c r="W26" s="182"/>
      <c r="X26" s="183" t="s">
        <v>93</v>
      </c>
      <c r="Y26" s="183">
        <v>0.14000000000000001</v>
      </c>
      <c r="Z26" s="183">
        <v>0.54</v>
      </c>
      <c r="AA26" s="183">
        <v>1400</v>
      </c>
      <c r="AB26" s="183">
        <v>840</v>
      </c>
      <c r="AC26" s="233">
        <f>Y26/Z26</f>
        <v>0.25925925925925924</v>
      </c>
      <c r="AD26" s="184">
        <f>Y26*AA26*AB26</f>
        <v>164640.00000000003</v>
      </c>
      <c r="AE26" s="14"/>
      <c r="AF26" s="14"/>
      <c r="AG26" s="14"/>
      <c r="AL26" s="159" t="s">
        <v>317</v>
      </c>
      <c r="AM26" s="81" t="s">
        <v>318</v>
      </c>
      <c r="AN26" s="81" t="s">
        <v>339</v>
      </c>
      <c r="AO26" s="81">
        <f>SUM(N17:N20,N25)/SUM(N$17:N$25,N$28,N$26)</f>
        <v>0.48759200358266841</v>
      </c>
      <c r="AP26" s="81" t="s">
        <v>320</v>
      </c>
      <c r="AQ26" s="167">
        <v>0.44339849999999997</v>
      </c>
      <c r="AU26" s="168" t="s">
        <v>317</v>
      </c>
      <c r="AV26" s="168" t="s">
        <v>318</v>
      </c>
      <c r="AW26" s="168" t="s">
        <v>339</v>
      </c>
      <c r="AX26" s="169" t="s">
        <v>321</v>
      </c>
      <c r="AY26" s="162">
        <f>AO26</f>
        <v>0.48759200358266841</v>
      </c>
      <c r="AZ26" s="168" t="s">
        <v>320</v>
      </c>
      <c r="BC26" s="81" t="s">
        <v>404</v>
      </c>
      <c r="BD26" s="167">
        <v>0.128</v>
      </c>
      <c r="BE26" s="167">
        <v>7.7800000000000005E-4</v>
      </c>
      <c r="BF26" s="81">
        <v>164.49</v>
      </c>
      <c r="BG26" s="81" t="s">
        <v>431</v>
      </c>
      <c r="BH26" s="81" t="s">
        <v>388</v>
      </c>
      <c r="BL26" s="168" t="s">
        <v>317</v>
      </c>
      <c r="BM26" s="168" t="s">
        <v>318</v>
      </c>
      <c r="BN26" s="168" t="s">
        <v>339</v>
      </c>
      <c r="BO26" s="169" t="s">
        <v>321</v>
      </c>
      <c r="BP26" s="162">
        <f>BD51</f>
        <v>0.01</v>
      </c>
      <c r="BQ26" s="168" t="s">
        <v>320</v>
      </c>
      <c r="BS26" s="81" t="s">
        <v>404</v>
      </c>
      <c r="BT26" s="167">
        <v>7.6700000000000004E-2</v>
      </c>
      <c r="BU26" s="167">
        <v>6.9700000000000003E-4</v>
      </c>
      <c r="BV26" s="81">
        <v>110.16</v>
      </c>
      <c r="BW26" s="81" t="s">
        <v>387</v>
      </c>
      <c r="BX26" s="167">
        <v>2E-16</v>
      </c>
      <c r="BY26" s="81" t="s">
        <v>388</v>
      </c>
      <c r="BZ26" s="174" t="s">
        <v>317</v>
      </c>
      <c r="CA26" s="174" t="s">
        <v>318</v>
      </c>
      <c r="CB26" s="174" t="s">
        <v>339</v>
      </c>
      <c r="CC26" s="174" t="s">
        <v>321</v>
      </c>
      <c r="CD26" s="173">
        <f>BT53</f>
        <v>0.27400000000000002</v>
      </c>
      <c r="CE26" s="174" t="s">
        <v>320</v>
      </c>
      <c r="CI26" s="81" t="s">
        <v>340</v>
      </c>
      <c r="CJ26" s="249">
        <f t="shared" si="0"/>
        <v>0.21759826179781488</v>
      </c>
      <c r="CK26" s="249">
        <f t="shared" si="13"/>
        <v>1.0200000000000001E-2</v>
      </c>
      <c r="CL26" s="249">
        <f t="shared" si="2"/>
        <v>0.22700000000000001</v>
      </c>
      <c r="CO26" s="253" t="s">
        <v>429</v>
      </c>
      <c r="CP26" s="253" t="s">
        <v>453</v>
      </c>
      <c r="CQ26" s="254">
        <v>0.94899999999999995</v>
      </c>
      <c r="CR26" s="254">
        <v>9.7699999999999992E-3</v>
      </c>
      <c r="CS26" s="253">
        <v>97.12</v>
      </c>
      <c r="CT26" s="253" t="s">
        <v>387</v>
      </c>
      <c r="CU26" s="254">
        <v>2E-16</v>
      </c>
      <c r="CV26" s="81" t="s">
        <v>388</v>
      </c>
      <c r="CX26" s="256"/>
      <c r="CY26" s="256"/>
      <c r="CZ26" s="257"/>
    </row>
    <row r="27" spans="1:105" ht="15" customHeight="1" thickTop="1" thickBot="1" x14ac:dyDescent="0.3">
      <c r="A27" s="182"/>
      <c r="B27" s="202">
        <f>SUM(N6:N25)</f>
        <v>381.4</v>
      </c>
      <c r="C27" s="184" t="s">
        <v>9</v>
      </c>
      <c r="D27" s="182"/>
      <c r="E27" s="183"/>
      <c r="F27" s="183"/>
      <c r="G27" s="183"/>
      <c r="H27" s="184"/>
      <c r="J27" s="81" t="s">
        <v>101</v>
      </c>
      <c r="K27" s="215">
        <v>1</v>
      </c>
      <c r="L27" s="216">
        <v>1</v>
      </c>
      <c r="M27" s="216" t="s">
        <v>85</v>
      </c>
      <c r="N27" s="217">
        <f>SUM(N6:N9)</f>
        <v>69.377869700103432</v>
      </c>
      <c r="O27" s="218"/>
      <c r="P27" s="30">
        <f t="shared" si="7"/>
        <v>1.7363344051446945</v>
      </c>
      <c r="Q27" s="30">
        <f t="shared" si="8"/>
        <v>120.46318211593521</v>
      </c>
      <c r="R27" s="30">
        <f t="shared" si="21"/>
        <v>13695191.47880042</v>
      </c>
      <c r="S27" s="30">
        <f t="shared" si="22"/>
        <v>197400.00000000003</v>
      </c>
      <c r="T27" s="30">
        <f t="shared" si="23"/>
        <v>13695191.47880042</v>
      </c>
      <c r="U27" s="31"/>
      <c r="V27" s="153"/>
      <c r="W27" s="199"/>
      <c r="X27" s="181" t="s">
        <v>90</v>
      </c>
      <c r="Y27" s="181">
        <v>0.02</v>
      </c>
      <c r="Z27" s="181">
        <v>0.6</v>
      </c>
      <c r="AA27" s="181">
        <v>975</v>
      </c>
      <c r="AB27" s="181">
        <v>840</v>
      </c>
      <c r="AC27" s="234">
        <f>Y27/Z27</f>
        <v>3.3333333333333333E-2</v>
      </c>
      <c r="AD27" s="204">
        <f>Y27*AA27*AB27</f>
        <v>16380</v>
      </c>
      <c r="AE27" s="14"/>
      <c r="AF27" s="14"/>
      <c r="AG27" s="14"/>
      <c r="AL27" s="159" t="s">
        <v>317</v>
      </c>
      <c r="AM27" s="81" t="s">
        <v>318</v>
      </c>
      <c r="AN27" s="81" t="s">
        <v>340</v>
      </c>
      <c r="AO27" s="81">
        <f>SUM(N28)/SUM(N$17:N$25,N$28,N$26)</f>
        <v>0.21759826179781488</v>
      </c>
      <c r="AP27" s="81" t="s">
        <v>320</v>
      </c>
      <c r="AQ27" s="167">
        <v>0.14522370000000001</v>
      </c>
      <c r="AU27" s="168" t="s">
        <v>317</v>
      </c>
      <c r="AV27" s="168" t="s">
        <v>318</v>
      </c>
      <c r="AW27" s="168" t="s">
        <v>340</v>
      </c>
      <c r="AX27" s="169" t="s">
        <v>321</v>
      </c>
      <c r="AY27" s="162">
        <f t="shared" ref="AY27:AY28" si="27">AO27</f>
        <v>0.21759826179781488</v>
      </c>
      <c r="AZ27" s="168" t="s">
        <v>320</v>
      </c>
      <c r="BC27" s="81" t="s">
        <v>405</v>
      </c>
      <c r="BD27" s="167">
        <v>0.23499999999999999</v>
      </c>
      <c r="BE27" s="167">
        <v>1.1199999999999999E-3</v>
      </c>
      <c r="BF27" s="81">
        <v>210.07</v>
      </c>
      <c r="BG27" s="81" t="s">
        <v>431</v>
      </c>
      <c r="BH27" s="81" t="s">
        <v>388</v>
      </c>
      <c r="BL27" s="168" t="s">
        <v>317</v>
      </c>
      <c r="BM27" s="168" t="s">
        <v>318</v>
      </c>
      <c r="BN27" s="168" t="s">
        <v>340</v>
      </c>
      <c r="BO27" s="169" t="s">
        <v>321</v>
      </c>
      <c r="BP27" s="162">
        <f t="shared" ref="BP27:BP28" si="28">BD52</f>
        <v>1.0200000000000001E-2</v>
      </c>
      <c r="BQ27" s="168" t="s">
        <v>320</v>
      </c>
      <c r="BS27" s="81" t="s">
        <v>405</v>
      </c>
      <c r="BT27" s="167">
        <v>0.14699999999999999</v>
      </c>
      <c r="BU27" s="167">
        <v>8.6700000000000004E-4</v>
      </c>
      <c r="BV27" s="81">
        <v>169.43</v>
      </c>
      <c r="BW27" s="81" t="s">
        <v>387</v>
      </c>
      <c r="BX27" s="167">
        <v>2E-16</v>
      </c>
      <c r="BY27" s="81" t="s">
        <v>388</v>
      </c>
      <c r="BZ27" s="174" t="s">
        <v>317</v>
      </c>
      <c r="CA27" s="174" t="s">
        <v>318</v>
      </c>
      <c r="CB27" s="174" t="s">
        <v>340</v>
      </c>
      <c r="CC27" s="174" t="s">
        <v>321</v>
      </c>
      <c r="CD27" s="173">
        <f t="shared" ref="CD27:CD28" si="29">BT54</f>
        <v>0.22700000000000001</v>
      </c>
      <c r="CE27" s="174" t="s">
        <v>320</v>
      </c>
      <c r="CI27" s="81" t="s">
        <v>341</v>
      </c>
      <c r="CJ27" s="249">
        <f t="shared" si="0"/>
        <v>1.6295480273405358E-2</v>
      </c>
      <c r="CK27" s="249">
        <f t="shared" si="13"/>
        <v>0.69799999999999995</v>
      </c>
      <c r="CL27" s="249">
        <f t="shared" si="2"/>
        <v>7.7400000000000002E-7</v>
      </c>
      <c r="CO27" s="253" t="s">
        <v>429</v>
      </c>
      <c r="CP27" s="253" t="s">
        <v>454</v>
      </c>
      <c r="CQ27" s="254">
        <v>0.79</v>
      </c>
      <c r="CR27" s="254">
        <v>1.5800000000000002E-2</v>
      </c>
      <c r="CS27" s="253">
        <v>49.88</v>
      </c>
      <c r="CT27" s="253" t="s">
        <v>387</v>
      </c>
      <c r="CU27" s="254">
        <v>2E-16</v>
      </c>
      <c r="CV27" s="81" t="s">
        <v>388</v>
      </c>
      <c r="CW27" s="255" t="s">
        <v>460</v>
      </c>
      <c r="CX27" s="256" t="s">
        <v>328</v>
      </c>
      <c r="CY27" s="256" t="s">
        <v>321</v>
      </c>
      <c r="CZ27" s="257">
        <f>CQ33</f>
        <v>992000000</v>
      </c>
      <c r="DA27" s="255" t="s">
        <v>320</v>
      </c>
    </row>
    <row r="28" spans="1:105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J28" s="81" t="s">
        <v>102</v>
      </c>
      <c r="K28" s="215">
        <v>2</v>
      </c>
      <c r="L28" s="216">
        <v>2</v>
      </c>
      <c r="M28" s="216" t="s">
        <v>85</v>
      </c>
      <c r="N28" s="217">
        <f>SUM(N17:N20)</f>
        <v>81.722130299896577</v>
      </c>
      <c r="O28" s="218"/>
      <c r="P28" s="30">
        <f t="shared" si="7"/>
        <v>1.7363344051446945</v>
      </c>
      <c r="Q28" s="30">
        <f t="shared" si="8"/>
        <v>141.89694650142815</v>
      </c>
      <c r="R28" s="30">
        <f t="shared" si="21"/>
        <v>16131948.521199586</v>
      </c>
      <c r="S28" s="30">
        <f t="shared" si="22"/>
        <v>197400.00000000003</v>
      </c>
      <c r="T28" s="30">
        <f t="shared" si="23"/>
        <v>16131948.521199586</v>
      </c>
      <c r="U28" s="31"/>
      <c r="V28" s="153"/>
      <c r="W28" s="223"/>
      <c r="X28" s="223"/>
      <c r="Y28" s="223"/>
      <c r="Z28" s="223"/>
      <c r="AA28" s="223"/>
      <c r="AB28" s="223"/>
      <c r="AC28" s="223"/>
      <c r="AD28" s="223"/>
      <c r="AE28" s="14"/>
      <c r="AF28" s="14"/>
      <c r="AG28" s="14"/>
      <c r="AL28" s="159" t="s">
        <v>317</v>
      </c>
      <c r="AM28" s="81" t="s">
        <v>318</v>
      </c>
      <c r="AN28" s="81" t="s">
        <v>341</v>
      </c>
      <c r="AO28" s="81">
        <f>SUM(N21:N24)/SUM(N$17:N$25,N$28,N$26)</f>
        <v>1.6295480273405358E-2</v>
      </c>
      <c r="AP28" s="81" t="s">
        <v>320</v>
      </c>
      <c r="AQ28" s="167">
        <v>0.13569049999999999</v>
      </c>
      <c r="AU28" s="168" t="s">
        <v>317</v>
      </c>
      <c r="AV28" s="168" t="s">
        <v>318</v>
      </c>
      <c r="AW28" s="168" t="s">
        <v>341</v>
      </c>
      <c r="AX28" s="169" t="s">
        <v>321</v>
      </c>
      <c r="AY28" s="162">
        <f t="shared" si="27"/>
        <v>1.6295480273405358E-2</v>
      </c>
      <c r="AZ28" s="168" t="s">
        <v>320</v>
      </c>
      <c r="BC28" s="81" t="s">
        <v>406</v>
      </c>
      <c r="BD28" s="167">
        <v>0.53700000000000003</v>
      </c>
      <c r="BE28" s="167">
        <v>2.6900000000000001E-3</v>
      </c>
      <c r="BF28" s="81">
        <v>199.49</v>
      </c>
      <c r="BG28" s="81" t="s">
        <v>431</v>
      </c>
      <c r="BH28" s="81" t="s">
        <v>388</v>
      </c>
      <c r="BL28" s="168" t="s">
        <v>317</v>
      </c>
      <c r="BM28" s="168" t="s">
        <v>318</v>
      </c>
      <c r="BN28" s="168" t="s">
        <v>341</v>
      </c>
      <c r="BO28" s="169" t="s">
        <v>321</v>
      </c>
      <c r="BP28" s="162">
        <f t="shared" si="28"/>
        <v>0.69799999999999995</v>
      </c>
      <c r="BQ28" s="168" t="s">
        <v>320</v>
      </c>
      <c r="BS28" s="81" t="s">
        <v>406</v>
      </c>
      <c r="BT28" s="167">
        <v>0.73599999999999999</v>
      </c>
      <c r="BU28" s="167">
        <v>5.2700000000000004E-3</v>
      </c>
      <c r="BV28" s="81">
        <v>139.72</v>
      </c>
      <c r="BW28" s="81" t="s">
        <v>387</v>
      </c>
      <c r="BX28" s="167">
        <v>2E-16</v>
      </c>
      <c r="BY28" s="81" t="s">
        <v>388</v>
      </c>
      <c r="BZ28" s="174" t="s">
        <v>317</v>
      </c>
      <c r="CA28" s="174" t="s">
        <v>318</v>
      </c>
      <c r="CB28" s="174" t="s">
        <v>341</v>
      </c>
      <c r="CC28" s="174" t="s">
        <v>321</v>
      </c>
      <c r="CD28" s="173">
        <f t="shared" si="29"/>
        <v>7.7400000000000002E-7</v>
      </c>
      <c r="CE28" s="174" t="s">
        <v>320</v>
      </c>
      <c r="CJ28" s="250"/>
      <c r="CK28" s="250"/>
      <c r="CL28" s="250"/>
      <c r="CO28" s="253" t="s">
        <v>429</v>
      </c>
      <c r="CP28" s="253" t="s">
        <v>455</v>
      </c>
      <c r="CQ28" s="254">
        <v>0.64600000000000002</v>
      </c>
      <c r="CR28" s="254">
        <v>1.2699999999999999E-2</v>
      </c>
      <c r="CS28" s="253">
        <v>50.86</v>
      </c>
      <c r="CT28" s="253" t="s">
        <v>387</v>
      </c>
      <c r="CU28" s="254">
        <v>2E-16</v>
      </c>
      <c r="CV28" s="81" t="s">
        <v>388</v>
      </c>
      <c r="CW28" s="255" t="s">
        <v>460</v>
      </c>
      <c r="CX28" s="259" t="s">
        <v>325</v>
      </c>
      <c r="CY28" s="256" t="s">
        <v>321</v>
      </c>
      <c r="CZ28" s="257">
        <f t="shared" ref="CZ28:CZ30" si="30">CQ34</f>
        <v>2990000</v>
      </c>
      <c r="DA28" s="255" t="s">
        <v>320</v>
      </c>
    </row>
    <row r="29" spans="1:105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K29" s="215">
        <v>2</v>
      </c>
      <c r="L29" s="216">
        <v>2</v>
      </c>
      <c r="M29" s="216" t="s">
        <v>99</v>
      </c>
      <c r="N29" s="217">
        <f>B8-B7</f>
        <v>15.799999999999983</v>
      </c>
      <c r="O29" s="222"/>
      <c r="P29" s="30">
        <f t="shared" si="7"/>
        <v>1.4549653579676673</v>
      </c>
      <c r="Q29" s="30">
        <f t="shared" si="8"/>
        <v>22.98845265588912</v>
      </c>
      <c r="R29" s="30">
        <f t="shared" si="21"/>
        <v>7355531.9999999916</v>
      </c>
      <c r="S29" s="30">
        <f t="shared" si="22"/>
        <v>465540</v>
      </c>
      <c r="T29" s="30">
        <f t="shared" si="23"/>
        <v>7355531.9999999916</v>
      </c>
      <c r="V29" s="153"/>
      <c r="W29" s="225" t="s">
        <v>99</v>
      </c>
      <c r="X29" s="226"/>
      <c r="Y29" s="227" t="s">
        <v>21</v>
      </c>
      <c r="Z29" s="228">
        <f>1/(1/10+SUM(AC31:AC34)+1/6)</f>
        <v>1.4549653579676673</v>
      </c>
      <c r="AA29" s="226" t="s">
        <v>5</v>
      </c>
      <c r="AB29" s="226"/>
      <c r="AC29" s="226" t="s">
        <v>22</v>
      </c>
      <c r="AD29" s="229">
        <f>SUM(AD31:AD35)</f>
        <v>465540</v>
      </c>
      <c r="AE29" s="14" t="s">
        <v>23</v>
      </c>
      <c r="AF29" s="14">
        <f>SUM(AD31:AD34)</f>
        <v>465540</v>
      </c>
      <c r="AG29" s="14"/>
      <c r="AP29" s="81" t="s">
        <v>320</v>
      </c>
      <c r="AU29" s="168"/>
      <c r="AV29" s="168"/>
      <c r="AW29" s="168"/>
      <c r="AX29" s="169"/>
      <c r="AZ29" s="168"/>
      <c r="BC29" s="81" t="s">
        <v>407</v>
      </c>
      <c r="BD29" s="167">
        <v>7.7399999999999997E-2</v>
      </c>
      <c r="BE29" s="167">
        <v>7.9799999999999999E-4</v>
      </c>
      <c r="BF29" s="81">
        <v>97</v>
      </c>
      <c r="BG29" s="81" t="s">
        <v>431</v>
      </c>
      <c r="BH29" s="81" t="s">
        <v>388</v>
      </c>
      <c r="BL29" s="168"/>
      <c r="BM29" s="168"/>
      <c r="BN29" s="168"/>
      <c r="BO29" s="169"/>
      <c r="BP29" s="162"/>
      <c r="BQ29" s="168"/>
      <c r="BS29" s="81" t="s">
        <v>407</v>
      </c>
      <c r="BT29" s="167">
        <v>6.1499999999999999E-2</v>
      </c>
      <c r="BU29" s="167">
        <v>3.2200000000000002E-4</v>
      </c>
      <c r="BV29" s="81">
        <v>190.87</v>
      </c>
      <c r="BW29" s="81" t="s">
        <v>387</v>
      </c>
      <c r="BX29" s="167">
        <v>2E-16</v>
      </c>
      <c r="BY29" s="81" t="s">
        <v>388</v>
      </c>
      <c r="BZ29" s="174"/>
      <c r="CA29" s="174"/>
      <c r="CB29" s="174"/>
      <c r="CC29" s="174"/>
      <c r="CD29" s="173"/>
      <c r="CE29" s="174"/>
      <c r="CI29" s="81" t="s">
        <v>342</v>
      </c>
      <c r="CJ29" s="251">
        <f t="shared" si="0"/>
        <v>1162464.1599999999</v>
      </c>
      <c r="CK29" s="251">
        <f t="shared" si="13"/>
        <v>3800000</v>
      </c>
      <c r="CL29" s="251">
        <f t="shared" si="2"/>
        <v>721000</v>
      </c>
      <c r="CO29" s="253" t="s">
        <v>429</v>
      </c>
      <c r="CP29" s="253" t="s">
        <v>358</v>
      </c>
      <c r="CQ29" s="254">
        <v>9.05E-9</v>
      </c>
      <c r="CR29" s="254">
        <v>3.1300000000000001E-6</v>
      </c>
      <c r="CS29" s="253">
        <v>0</v>
      </c>
      <c r="CT29" s="253">
        <v>0.998</v>
      </c>
      <c r="CW29" s="255" t="s">
        <v>460</v>
      </c>
      <c r="CX29" s="259" t="s">
        <v>326</v>
      </c>
      <c r="CY29" s="256" t="s">
        <v>321</v>
      </c>
      <c r="CZ29" s="257">
        <f t="shared" si="30"/>
        <v>44100000</v>
      </c>
      <c r="DA29" s="255" t="s">
        <v>320</v>
      </c>
    </row>
    <row r="30" spans="1:105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K30" s="215" t="s">
        <v>509</v>
      </c>
      <c r="L30" s="216">
        <v>1</v>
      </c>
      <c r="M30" s="216" t="s">
        <v>510</v>
      </c>
      <c r="N30" s="217">
        <f>N7</f>
        <v>35.733053277868223</v>
      </c>
      <c r="O30" s="218"/>
      <c r="P30" s="30">
        <f t="shared" si="7"/>
        <v>2.5352112676056335</v>
      </c>
      <c r="Q30" s="30">
        <f t="shared" si="8"/>
        <v>90.590839296003935</v>
      </c>
      <c r="R30" s="30">
        <f t="shared" si="21"/>
        <v>0</v>
      </c>
      <c r="S30" s="30">
        <f t="shared" si="22"/>
        <v>0</v>
      </c>
      <c r="T30" s="30">
        <f t="shared" si="23"/>
        <v>6138223.8920722036</v>
      </c>
      <c r="W30" s="230"/>
      <c r="X30" s="231" t="s">
        <v>27</v>
      </c>
      <c r="Y30" s="231" t="s">
        <v>28</v>
      </c>
      <c r="Z30" s="231" t="s">
        <v>29</v>
      </c>
      <c r="AA30" s="231" t="s">
        <v>30</v>
      </c>
      <c r="AB30" s="231" t="s">
        <v>31</v>
      </c>
      <c r="AC30" s="231" t="s">
        <v>32</v>
      </c>
      <c r="AD30" s="232" t="s">
        <v>33</v>
      </c>
      <c r="AE30" s="14"/>
      <c r="AF30" s="14"/>
      <c r="AG30" s="14"/>
      <c r="AL30" s="159" t="s">
        <v>317</v>
      </c>
      <c r="AM30" s="81" t="s">
        <v>318</v>
      </c>
      <c r="AN30" s="81" t="s">
        <v>342</v>
      </c>
      <c r="AO30" s="167">
        <f>B35*1.04*1012*5</f>
        <v>1162464.1599999999</v>
      </c>
      <c r="AP30" s="81" t="s">
        <v>320</v>
      </c>
      <c r="AQ30" s="167">
        <v>1612741</v>
      </c>
      <c r="AU30" s="168" t="s">
        <v>317</v>
      </c>
      <c r="AV30" s="168" t="s">
        <v>318</v>
      </c>
      <c r="AW30" s="168" t="s">
        <v>342</v>
      </c>
      <c r="AX30" s="169" t="s">
        <v>321</v>
      </c>
      <c r="AY30" s="162">
        <f>AO30</f>
        <v>1162464.1599999999</v>
      </c>
      <c r="AZ30" s="168" t="s">
        <v>320</v>
      </c>
      <c r="BC30" s="81" t="s">
        <v>408</v>
      </c>
      <c r="BD30" s="167">
        <v>1.9E-2</v>
      </c>
      <c r="BE30" s="167">
        <v>6.78E-4</v>
      </c>
      <c r="BF30" s="81">
        <v>27.98</v>
      </c>
      <c r="BG30" s="81" t="s">
        <v>431</v>
      </c>
      <c r="BH30" s="81" t="s">
        <v>388</v>
      </c>
      <c r="BL30" s="168" t="s">
        <v>317</v>
      </c>
      <c r="BM30" s="168" t="s">
        <v>318</v>
      </c>
      <c r="BN30" s="168" t="s">
        <v>342</v>
      </c>
      <c r="BO30" s="169" t="s">
        <v>321</v>
      </c>
      <c r="BP30" s="162">
        <f>BD56</f>
        <v>3800000</v>
      </c>
      <c r="BQ30" s="168" t="s">
        <v>320</v>
      </c>
      <c r="BS30" s="81" t="s">
        <v>408</v>
      </c>
      <c r="BT30" s="167">
        <v>5.0099999999999999E-2</v>
      </c>
      <c r="BU30" s="167">
        <v>2.6600000000000001E-4</v>
      </c>
      <c r="BV30" s="81">
        <v>188.06</v>
      </c>
      <c r="BW30" s="81" t="s">
        <v>387</v>
      </c>
      <c r="BX30" s="167">
        <v>2E-16</v>
      </c>
      <c r="BY30" s="81" t="s">
        <v>388</v>
      </c>
      <c r="BZ30" s="174" t="s">
        <v>317</v>
      </c>
      <c r="CA30" s="174" t="s">
        <v>318</v>
      </c>
      <c r="CB30" s="174" t="s">
        <v>342</v>
      </c>
      <c r="CC30" s="174" t="s">
        <v>321</v>
      </c>
      <c r="CD30" s="173">
        <f>BT58</f>
        <v>721000</v>
      </c>
      <c r="CE30" s="174" t="s">
        <v>320</v>
      </c>
      <c r="CI30" s="81" t="s">
        <v>343</v>
      </c>
      <c r="CJ30" s="251">
        <f t="shared" si="0"/>
        <v>16454272.026887279</v>
      </c>
      <c r="CK30" s="251">
        <f t="shared" si="13"/>
        <v>78400000</v>
      </c>
      <c r="CL30" s="251">
        <f t="shared" si="2"/>
        <v>37600000</v>
      </c>
      <c r="CO30" s="253" t="s">
        <v>429</v>
      </c>
      <c r="CP30" s="253" t="s">
        <v>456</v>
      </c>
      <c r="CQ30" s="254">
        <v>0.79</v>
      </c>
      <c r="CR30" s="254">
        <v>7.62E-3</v>
      </c>
      <c r="CS30" s="253">
        <v>103.67</v>
      </c>
      <c r="CT30" s="253" t="s">
        <v>387</v>
      </c>
      <c r="CU30" s="254">
        <v>2E-16</v>
      </c>
      <c r="CV30" s="81" t="s">
        <v>388</v>
      </c>
      <c r="CW30" s="255" t="s">
        <v>460</v>
      </c>
      <c r="CX30" s="259" t="s">
        <v>327</v>
      </c>
      <c r="CY30" s="256" t="s">
        <v>321</v>
      </c>
      <c r="CZ30" s="257">
        <f t="shared" si="30"/>
        <v>26300000</v>
      </c>
      <c r="DA30" s="255" t="s">
        <v>320</v>
      </c>
    </row>
    <row r="31" spans="1:105" ht="15" customHeight="1" thickTop="1" thickBot="1" x14ac:dyDescent="0.3">
      <c r="K31" s="220" t="s">
        <v>509</v>
      </c>
      <c r="L31" s="221">
        <v>2</v>
      </c>
      <c r="M31" s="221" t="s">
        <v>510</v>
      </c>
      <c r="N31" s="217">
        <f>N18</f>
        <v>42.090961406137552</v>
      </c>
      <c r="O31" s="222"/>
      <c r="P31" s="30">
        <f t="shared" si="7"/>
        <v>2.5352112676056335</v>
      </c>
      <c r="Q31" s="30">
        <f t="shared" si="8"/>
        <v>106.70947962119378</v>
      </c>
      <c r="R31" s="30">
        <f t="shared" si="21"/>
        <v>0</v>
      </c>
      <c r="S31" s="30">
        <f t="shared" si="22"/>
        <v>0</v>
      </c>
      <c r="T31" s="30">
        <f t="shared" si="23"/>
        <v>7230385.3503463091</v>
      </c>
      <c r="W31" s="205"/>
      <c r="X31" s="206" t="s">
        <v>103</v>
      </c>
      <c r="Y31" s="206">
        <v>0.02</v>
      </c>
      <c r="Z31" s="206">
        <v>0.18</v>
      </c>
      <c r="AA31" s="206">
        <v>550</v>
      </c>
      <c r="AB31" s="206">
        <v>1880</v>
      </c>
      <c r="AC31" s="236">
        <f>Y31/Z31</f>
        <v>0.11111111111111112</v>
      </c>
      <c r="AD31" s="237">
        <f>Y31*AA31*AB31</f>
        <v>20680</v>
      </c>
      <c r="AE31" s="14" t="s">
        <v>104</v>
      </c>
      <c r="AF31" s="14"/>
      <c r="AG31" s="14"/>
      <c r="AL31" s="159" t="s">
        <v>317</v>
      </c>
      <c r="AM31" s="81" t="s">
        <v>318</v>
      </c>
      <c r="AN31" s="81" t="s">
        <v>343</v>
      </c>
      <c r="AO31" s="167">
        <f>T25+SUM(T17:T20)</f>
        <v>16454272.026887279</v>
      </c>
      <c r="AP31" s="81" t="s">
        <v>320</v>
      </c>
      <c r="AQ31" s="167">
        <v>6867267</v>
      </c>
      <c r="AU31" s="168" t="s">
        <v>317</v>
      </c>
      <c r="AV31" s="168" t="s">
        <v>318</v>
      </c>
      <c r="AW31" s="168" t="s">
        <v>343</v>
      </c>
      <c r="AX31" s="169" t="s">
        <v>321</v>
      </c>
      <c r="AY31" s="162">
        <f t="shared" ref="AY31:AY35" si="31">AO31</f>
        <v>16454272.026887279</v>
      </c>
      <c r="AZ31" s="168" t="s">
        <v>320</v>
      </c>
      <c r="BC31" s="81" t="s">
        <v>409</v>
      </c>
      <c r="BD31" s="167">
        <v>958</v>
      </c>
      <c r="BE31" s="167">
        <v>7.5</v>
      </c>
      <c r="BF31" s="81">
        <v>127.81</v>
      </c>
      <c r="BG31" s="81" t="s">
        <v>431</v>
      </c>
      <c r="BH31" s="81" t="s">
        <v>388</v>
      </c>
      <c r="BL31" s="168" t="s">
        <v>317</v>
      </c>
      <c r="BM31" s="168" t="s">
        <v>318</v>
      </c>
      <c r="BN31" s="168" t="s">
        <v>343</v>
      </c>
      <c r="BO31" s="169" t="s">
        <v>321</v>
      </c>
      <c r="BP31" s="162">
        <f t="shared" ref="BP31:BP32" si="32">BD57</f>
        <v>78400000</v>
      </c>
      <c r="BQ31" s="168" t="s">
        <v>320</v>
      </c>
      <c r="BS31" s="81" t="s">
        <v>409</v>
      </c>
      <c r="BT31" s="167">
        <v>383</v>
      </c>
      <c r="BU31" s="167">
        <v>2.6</v>
      </c>
      <c r="BV31" s="81">
        <v>147.01</v>
      </c>
      <c r="BW31" s="81" t="s">
        <v>387</v>
      </c>
      <c r="BX31" s="167">
        <v>2E-16</v>
      </c>
      <c r="BY31" s="81" t="s">
        <v>388</v>
      </c>
      <c r="BZ31" s="174" t="s">
        <v>317</v>
      </c>
      <c r="CA31" s="174" t="s">
        <v>318</v>
      </c>
      <c r="CB31" s="174" t="s">
        <v>343</v>
      </c>
      <c r="CC31" s="174" t="s">
        <v>321</v>
      </c>
      <c r="CD31" s="173">
        <f t="shared" ref="CD31:CD32" si="33">BT59</f>
        <v>37600000</v>
      </c>
      <c r="CE31" s="174" t="s">
        <v>320</v>
      </c>
      <c r="CI31" s="81" t="s">
        <v>344</v>
      </c>
      <c r="CJ31" s="251">
        <f t="shared" si="0"/>
        <v>16131948.521199586</v>
      </c>
      <c r="CK31" s="251">
        <f t="shared" si="13"/>
        <v>12500000</v>
      </c>
      <c r="CL31" s="251">
        <f t="shared" si="2"/>
        <v>6950000</v>
      </c>
      <c r="CO31" s="253" t="s">
        <v>429</v>
      </c>
      <c r="CP31" s="253" t="s">
        <v>457</v>
      </c>
      <c r="CQ31" s="254">
        <v>0.625</v>
      </c>
      <c r="CR31" s="254">
        <v>1.23E-2</v>
      </c>
      <c r="CS31" s="253">
        <v>50.97</v>
      </c>
      <c r="CT31" s="253" t="s">
        <v>387</v>
      </c>
      <c r="CU31" s="254">
        <v>2E-16</v>
      </c>
      <c r="CV31" s="81" t="s">
        <v>388</v>
      </c>
      <c r="CY31" s="256"/>
    </row>
    <row r="32" spans="1:105" ht="15" customHeight="1" thickTop="1" thickBot="1" x14ac:dyDescent="0.3">
      <c r="K32" s="81"/>
      <c r="L32" s="81"/>
      <c r="M32" s="81"/>
      <c r="P32" s="81"/>
      <c r="Q32" s="81"/>
      <c r="W32" s="182"/>
      <c r="X32" s="183" t="s">
        <v>129</v>
      </c>
      <c r="Y32" s="183">
        <v>0.08</v>
      </c>
      <c r="Z32" s="183">
        <v>0.6</v>
      </c>
      <c r="AA32" s="183">
        <v>1100</v>
      </c>
      <c r="AB32" s="183">
        <v>860</v>
      </c>
      <c r="AC32" s="233">
        <f>Y32/Z32</f>
        <v>0.13333333333333333</v>
      </c>
      <c r="AD32" s="184">
        <f>Y32*AA32*AB32</f>
        <v>75680</v>
      </c>
      <c r="AE32" s="14"/>
      <c r="AF32" s="14"/>
      <c r="AG32" s="14"/>
      <c r="AL32" s="159" t="s">
        <v>317</v>
      </c>
      <c r="AM32" s="81" t="s">
        <v>318</v>
      </c>
      <c r="AN32" s="81" t="s">
        <v>344</v>
      </c>
      <c r="AO32" s="167">
        <f>SUM(T28)</f>
        <v>16131948.521199586</v>
      </c>
      <c r="AP32" s="81" t="s">
        <v>320</v>
      </c>
      <c r="AQ32" s="167">
        <v>4590824</v>
      </c>
      <c r="AU32" s="168" t="s">
        <v>317</v>
      </c>
      <c r="AV32" s="168" t="s">
        <v>318</v>
      </c>
      <c r="AW32" s="168" t="s">
        <v>344</v>
      </c>
      <c r="AX32" s="169" t="s">
        <v>321</v>
      </c>
      <c r="AY32" s="162">
        <f t="shared" si="31"/>
        <v>16131948.521199586</v>
      </c>
      <c r="AZ32" s="168" t="s">
        <v>320</v>
      </c>
      <c r="BC32" s="81" t="s">
        <v>410</v>
      </c>
      <c r="BD32" s="167">
        <v>737</v>
      </c>
      <c r="BE32" s="167">
        <v>8.3800000000000008</v>
      </c>
      <c r="BF32" s="81">
        <v>87.98</v>
      </c>
      <c r="BG32" s="81" t="s">
        <v>431</v>
      </c>
      <c r="BH32" s="81" t="s">
        <v>388</v>
      </c>
      <c r="BL32" s="168" t="s">
        <v>317</v>
      </c>
      <c r="BM32" s="168" t="s">
        <v>318</v>
      </c>
      <c r="BN32" s="168" t="s">
        <v>344</v>
      </c>
      <c r="BO32" s="169" t="s">
        <v>321</v>
      </c>
      <c r="BP32" s="162">
        <f t="shared" si="32"/>
        <v>12500000</v>
      </c>
      <c r="BQ32" s="168" t="s">
        <v>320</v>
      </c>
      <c r="BS32" s="81" t="s">
        <v>410</v>
      </c>
      <c r="BT32" s="167">
        <v>172</v>
      </c>
      <c r="BU32" s="167">
        <v>1.19</v>
      </c>
      <c r="BV32" s="81">
        <v>144.4</v>
      </c>
      <c r="BW32" s="81" t="s">
        <v>387</v>
      </c>
      <c r="BX32" s="167">
        <v>2E-16</v>
      </c>
      <c r="BY32" s="81" t="s">
        <v>388</v>
      </c>
      <c r="BZ32" s="174" t="s">
        <v>317</v>
      </c>
      <c r="CA32" s="174" t="s">
        <v>318</v>
      </c>
      <c r="CB32" s="174" t="s">
        <v>344</v>
      </c>
      <c r="CC32" s="174" t="s">
        <v>321</v>
      </c>
      <c r="CD32" s="173">
        <f t="shared" si="33"/>
        <v>6950000</v>
      </c>
      <c r="CE32" s="174" t="s">
        <v>320</v>
      </c>
      <c r="CI32" s="81" t="s">
        <v>345</v>
      </c>
      <c r="CJ32" s="249">
        <f t="shared" si="0"/>
        <v>0.14627760107480051</v>
      </c>
      <c r="CK32" s="249">
        <f t="shared" si="13"/>
        <v>1.6E-2</v>
      </c>
      <c r="CL32" s="249">
        <f t="shared" si="2"/>
        <v>9.9500000000000005E-2</v>
      </c>
      <c r="CO32" s="253" t="s">
        <v>429</v>
      </c>
      <c r="CP32" s="253" t="s">
        <v>306</v>
      </c>
      <c r="CQ32" s="254">
        <v>965000000</v>
      </c>
      <c r="CR32" s="254">
        <v>400000000</v>
      </c>
      <c r="CS32" s="253">
        <v>2.41</v>
      </c>
      <c r="CT32" s="253">
        <v>1.6E-2</v>
      </c>
      <c r="CU32" s="253" t="s">
        <v>432</v>
      </c>
      <c r="CW32" s="255" t="s">
        <v>460</v>
      </c>
      <c r="CX32" s="259" t="s">
        <v>481</v>
      </c>
      <c r="CY32" s="256" t="s">
        <v>321</v>
      </c>
      <c r="CZ32" s="257">
        <f>CQ47</f>
        <v>381</v>
      </c>
      <c r="DA32" s="255" t="s">
        <v>320</v>
      </c>
    </row>
    <row r="33" spans="1:105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06" t="s">
        <v>112</v>
      </c>
      <c r="F33" s="306"/>
      <c r="G33" s="72" t="s">
        <v>113</v>
      </c>
      <c r="K33" s="81"/>
      <c r="L33" s="81"/>
      <c r="M33" s="81"/>
      <c r="P33" s="69" t="s">
        <v>106</v>
      </c>
      <c r="Q33" s="70">
        <f>SUM(Q4:Q13)+Q14*0.5+SUM(Q17:Q25)+Q16</f>
        <v>120.63760120701315</v>
      </c>
      <c r="R33" s="69" t="s">
        <v>107</v>
      </c>
      <c r="W33" s="182"/>
      <c r="X33" s="183" t="s">
        <v>276</v>
      </c>
      <c r="Y33" s="183">
        <v>0.2</v>
      </c>
      <c r="Z33" s="183">
        <v>1.4</v>
      </c>
      <c r="AA33" s="183">
        <v>2100</v>
      </c>
      <c r="AB33" s="183">
        <v>840</v>
      </c>
      <c r="AC33" s="233">
        <f>Y33/Z33</f>
        <v>0.14285714285714288</v>
      </c>
      <c r="AD33" s="184">
        <f>Y33*AA33*AB33</f>
        <v>352800</v>
      </c>
      <c r="AE33" s="14"/>
      <c r="AF33" s="14"/>
      <c r="AG33" s="14"/>
      <c r="AL33" s="159" t="s">
        <v>317</v>
      </c>
      <c r="AM33" s="81" t="s">
        <v>318</v>
      </c>
      <c r="AN33" s="81" t="s">
        <v>345</v>
      </c>
      <c r="AO33" s="81">
        <f>AO26*0.3</f>
        <v>0.14627760107480051</v>
      </c>
      <c r="AP33" s="81" t="s">
        <v>320</v>
      </c>
      <c r="AQ33" s="167">
        <v>0.1616958</v>
      </c>
      <c r="AU33" s="168" t="s">
        <v>317</v>
      </c>
      <c r="AV33" s="168" t="s">
        <v>318</v>
      </c>
      <c r="AW33" s="168" t="s">
        <v>345</v>
      </c>
      <c r="AX33" s="169" t="s">
        <v>321</v>
      </c>
      <c r="AY33" s="162">
        <f t="shared" si="31"/>
        <v>0.14627760107480051</v>
      </c>
      <c r="AZ33" s="168" t="s">
        <v>320</v>
      </c>
      <c r="BC33" s="81" t="s">
        <v>293</v>
      </c>
      <c r="BD33" s="167">
        <v>2190</v>
      </c>
      <c r="BE33" s="167">
        <v>10.6</v>
      </c>
      <c r="BF33" s="81">
        <v>207.31</v>
      </c>
      <c r="BG33" s="81" t="s">
        <v>431</v>
      </c>
      <c r="BH33" s="81" t="s">
        <v>388</v>
      </c>
      <c r="BL33" s="168" t="s">
        <v>317</v>
      </c>
      <c r="BM33" s="168" t="s">
        <v>318</v>
      </c>
      <c r="BN33" s="168" t="s">
        <v>345</v>
      </c>
      <c r="BO33" s="169" t="s">
        <v>321</v>
      </c>
      <c r="BP33" s="162">
        <f>BD63</f>
        <v>1.6E-2</v>
      </c>
      <c r="BQ33" s="168" t="s">
        <v>320</v>
      </c>
      <c r="BS33" s="81" t="s">
        <v>293</v>
      </c>
      <c r="BT33" s="167">
        <v>517</v>
      </c>
      <c r="BU33" s="167">
        <v>3.2</v>
      </c>
      <c r="BV33" s="81">
        <v>161.5</v>
      </c>
      <c r="BW33" s="81" t="s">
        <v>387</v>
      </c>
      <c r="BX33" s="167">
        <v>2E-16</v>
      </c>
      <c r="BY33" s="81" t="s">
        <v>388</v>
      </c>
      <c r="BZ33" s="174" t="s">
        <v>317</v>
      </c>
      <c r="CA33" s="174" t="s">
        <v>318</v>
      </c>
      <c r="CB33" s="174" t="s">
        <v>345</v>
      </c>
      <c r="CC33" s="174" t="s">
        <v>321</v>
      </c>
      <c r="CD33" s="173">
        <f>BT65</f>
        <v>9.9500000000000005E-2</v>
      </c>
      <c r="CE33" s="174" t="s">
        <v>320</v>
      </c>
      <c r="CI33" s="81" t="s">
        <v>346</v>
      </c>
      <c r="CJ33" s="249">
        <f t="shared" si="0"/>
        <v>6.527947853934446E-2</v>
      </c>
      <c r="CK33" s="249">
        <f t="shared" si="13"/>
        <v>4.2999999999999997E-2</v>
      </c>
      <c r="CL33" s="249">
        <f t="shared" si="2"/>
        <v>7.8100000000000001E-3</v>
      </c>
      <c r="CO33" s="253" t="s">
        <v>429</v>
      </c>
      <c r="CP33" s="253" t="s">
        <v>302</v>
      </c>
      <c r="CQ33" s="254">
        <v>992000000</v>
      </c>
      <c r="CR33" s="254">
        <v>47300000</v>
      </c>
      <c r="CS33" s="253">
        <v>20.97</v>
      </c>
      <c r="CT33" s="253" t="s">
        <v>387</v>
      </c>
      <c r="CU33" s="254">
        <v>2E-16</v>
      </c>
      <c r="CV33" s="81" t="s">
        <v>388</v>
      </c>
      <c r="CW33" s="255" t="s">
        <v>460</v>
      </c>
      <c r="CX33" s="259" t="s">
        <v>334</v>
      </c>
      <c r="CY33" s="256" t="s">
        <v>321</v>
      </c>
      <c r="CZ33" s="257">
        <f t="shared" ref="CZ33:CZ35" si="34">CQ48</f>
        <v>174</v>
      </c>
      <c r="DA33" s="255" t="s">
        <v>320</v>
      </c>
    </row>
    <row r="34" spans="1:105" ht="15" customHeight="1" thickTop="1" thickBot="1" x14ac:dyDescent="0.3">
      <c r="A34" s="73">
        <v>1</v>
      </c>
      <c r="B34" s="74">
        <f>B7*3.5</f>
        <v>310.80000000000007</v>
      </c>
      <c r="C34" s="73"/>
      <c r="D34" s="73" t="s">
        <v>42</v>
      </c>
      <c r="E34" s="307">
        <v>21</v>
      </c>
      <c r="F34" s="307"/>
      <c r="G34" s="76">
        <f>VLOOKUP(D34,A6:B22,2,0)</f>
        <v>88.800000000000011</v>
      </c>
      <c r="K34" s="81"/>
      <c r="L34" s="81"/>
      <c r="M34" s="81"/>
      <c r="P34" s="81"/>
      <c r="Q34" s="81" t="e">
        <f>G4*Y37</f>
        <v>#VALUE!</v>
      </c>
      <c r="W34" s="199"/>
      <c r="X34" s="181" t="s">
        <v>80</v>
      </c>
      <c r="Y34" s="181">
        <v>0.02</v>
      </c>
      <c r="Z34" s="181">
        <v>0.6</v>
      </c>
      <c r="AA34" s="181">
        <v>975</v>
      </c>
      <c r="AB34" s="181">
        <v>840</v>
      </c>
      <c r="AC34" s="234">
        <f>Y34/Z34</f>
        <v>3.3333333333333333E-2</v>
      </c>
      <c r="AD34" s="204">
        <f>Y34*AA34*AB34</f>
        <v>16380</v>
      </c>
      <c r="AE34" s="14"/>
      <c r="AF34" s="14"/>
      <c r="AG34" s="14"/>
      <c r="AL34" s="159" t="s">
        <v>317</v>
      </c>
      <c r="AM34" s="81" t="s">
        <v>318</v>
      </c>
      <c r="AN34" s="81" t="s">
        <v>346</v>
      </c>
      <c r="AO34" s="81">
        <f>AO27*0.3</f>
        <v>6.527947853934446E-2</v>
      </c>
      <c r="AP34" s="81" t="s">
        <v>320</v>
      </c>
      <c r="AQ34" s="81" t="s">
        <v>347</v>
      </c>
      <c r="AU34" s="168" t="s">
        <v>317</v>
      </c>
      <c r="AV34" s="168" t="s">
        <v>318</v>
      </c>
      <c r="AW34" s="168" t="s">
        <v>346</v>
      </c>
      <c r="AX34" s="169" t="s">
        <v>321</v>
      </c>
      <c r="AY34" s="162">
        <f t="shared" si="31"/>
        <v>6.527947853934446E-2</v>
      </c>
      <c r="AZ34" s="168" t="s">
        <v>320</v>
      </c>
      <c r="BC34" s="81" t="s">
        <v>120</v>
      </c>
      <c r="BD34" s="167">
        <v>251</v>
      </c>
      <c r="BE34" s="167">
        <v>1.35</v>
      </c>
      <c r="BF34" s="81">
        <v>186.02</v>
      </c>
      <c r="BG34" s="81" t="s">
        <v>431</v>
      </c>
      <c r="BH34" s="81" t="s">
        <v>388</v>
      </c>
      <c r="BL34" s="168" t="s">
        <v>317</v>
      </c>
      <c r="BM34" s="168" t="s">
        <v>318</v>
      </c>
      <c r="BN34" s="168" t="s">
        <v>346</v>
      </c>
      <c r="BO34" s="169" t="s">
        <v>321</v>
      </c>
      <c r="BP34" s="162">
        <f t="shared" ref="BP34:BP35" si="35">BD64</f>
        <v>4.2999999999999997E-2</v>
      </c>
      <c r="BQ34" s="168" t="s">
        <v>320</v>
      </c>
      <c r="BS34" s="81" t="s">
        <v>120</v>
      </c>
      <c r="BT34" s="167">
        <v>256</v>
      </c>
      <c r="BU34" s="167">
        <v>2.91</v>
      </c>
      <c r="BV34" s="81">
        <v>87.78</v>
      </c>
      <c r="BW34" s="81" t="s">
        <v>387</v>
      </c>
      <c r="BX34" s="167">
        <v>2E-16</v>
      </c>
      <c r="BY34" s="81" t="s">
        <v>388</v>
      </c>
      <c r="BZ34" s="174" t="s">
        <v>317</v>
      </c>
      <c r="CA34" s="174" t="s">
        <v>318</v>
      </c>
      <c r="CB34" s="174" t="s">
        <v>346</v>
      </c>
      <c r="CC34" s="174" t="s">
        <v>321</v>
      </c>
      <c r="CD34" s="173">
        <f t="shared" ref="CD34:CD35" si="36">BT66</f>
        <v>7.8100000000000001E-3</v>
      </c>
      <c r="CE34" s="174" t="s">
        <v>320</v>
      </c>
      <c r="CI34" s="81" t="s">
        <v>348</v>
      </c>
      <c r="CJ34" s="249">
        <f t="shared" si="0"/>
        <v>0.70488864408202156</v>
      </c>
      <c r="CK34" s="249">
        <f t="shared" si="13"/>
        <v>0.73</v>
      </c>
      <c r="CL34" s="249">
        <f t="shared" si="2"/>
        <v>0.69199999999999995</v>
      </c>
      <c r="CO34" s="253" t="s">
        <v>429</v>
      </c>
      <c r="CP34" s="253" t="s">
        <v>398</v>
      </c>
      <c r="CQ34" s="254">
        <v>2990000</v>
      </c>
      <c r="CR34" s="254">
        <v>56300</v>
      </c>
      <c r="CS34" s="253">
        <v>53.15</v>
      </c>
      <c r="CT34" s="253" t="s">
        <v>387</v>
      </c>
      <c r="CU34" s="254">
        <v>2E-16</v>
      </c>
      <c r="CV34" s="81" t="s">
        <v>388</v>
      </c>
      <c r="CW34" s="255" t="s">
        <v>460</v>
      </c>
      <c r="CX34" s="260" t="s">
        <v>335</v>
      </c>
      <c r="CY34" s="256" t="s">
        <v>321</v>
      </c>
      <c r="CZ34" s="257">
        <f t="shared" si="34"/>
        <v>516</v>
      </c>
      <c r="DA34" s="255" t="s">
        <v>320</v>
      </c>
    </row>
    <row r="35" spans="1:105" ht="15" customHeight="1" thickTop="1" thickBot="1" x14ac:dyDescent="0.3">
      <c r="A35" s="73">
        <v>2</v>
      </c>
      <c r="B35" s="74">
        <f>B4-B34</f>
        <v>220.89999999999998</v>
      </c>
      <c r="C35" s="73"/>
      <c r="D35" s="73" t="s">
        <v>116</v>
      </c>
      <c r="E35" s="77">
        <v>18</v>
      </c>
      <c r="F35" s="77"/>
      <c r="G35" s="76">
        <f>VLOOKUP(D35,A7:B23,2,0)</f>
        <v>104.6</v>
      </c>
      <c r="K35" s="81"/>
      <c r="L35" s="81"/>
      <c r="M35" s="81" t="s">
        <v>114</v>
      </c>
      <c r="N35" s="153">
        <f>SUM(Q6:Q9,Q15,Q17:Q20,Q25)</f>
        <v>40.996432792718259</v>
      </c>
      <c r="O35" s="153"/>
      <c r="P35" s="81"/>
      <c r="Q35" s="81"/>
      <c r="W35" s="183"/>
      <c r="X35" s="183"/>
      <c r="Y35" s="183"/>
      <c r="Z35" s="183"/>
      <c r="AA35" s="183"/>
      <c r="AB35" s="183"/>
      <c r="AC35" s="233"/>
      <c r="AD35" s="183"/>
      <c r="AE35" s="14"/>
      <c r="AF35" s="14"/>
      <c r="AG35" s="14"/>
      <c r="AL35" s="159" t="s">
        <v>317</v>
      </c>
      <c r="AM35" s="81" t="s">
        <v>318</v>
      </c>
      <c r="AN35" s="81" t="s">
        <v>348</v>
      </c>
      <c r="AO35" s="81">
        <f>AO28*0.3+0.7</f>
        <v>0.70488864408202156</v>
      </c>
      <c r="AP35" s="81" t="s">
        <v>320</v>
      </c>
      <c r="AQ35" s="81" t="s">
        <v>349</v>
      </c>
      <c r="AU35" s="168" t="s">
        <v>317</v>
      </c>
      <c r="AV35" s="168" t="s">
        <v>318</v>
      </c>
      <c r="AW35" s="168" t="s">
        <v>348</v>
      </c>
      <c r="AX35" s="169" t="s">
        <v>321</v>
      </c>
      <c r="AY35" s="162">
        <f t="shared" si="31"/>
        <v>0.70488864408202156</v>
      </c>
      <c r="AZ35" s="168" t="s">
        <v>320</v>
      </c>
      <c r="BC35" s="81" t="s">
        <v>411</v>
      </c>
      <c r="BD35" s="167">
        <v>-5.48</v>
      </c>
      <c r="BE35" s="167">
        <v>2.2200000000000001E-2</v>
      </c>
      <c r="BF35" s="81">
        <v>-247.15</v>
      </c>
      <c r="BG35" s="81" t="s">
        <v>431</v>
      </c>
      <c r="BH35" s="81" t="s">
        <v>388</v>
      </c>
      <c r="BL35" s="168" t="s">
        <v>317</v>
      </c>
      <c r="BM35" s="168" t="s">
        <v>318</v>
      </c>
      <c r="BN35" s="168" t="s">
        <v>348</v>
      </c>
      <c r="BO35" s="169" t="s">
        <v>321</v>
      </c>
      <c r="BP35" s="162">
        <f t="shared" si="35"/>
        <v>0.73</v>
      </c>
      <c r="BQ35" s="168" t="s">
        <v>320</v>
      </c>
      <c r="BS35" s="81" t="s">
        <v>411</v>
      </c>
      <c r="BT35" s="167">
        <v>-5.17</v>
      </c>
      <c r="BU35" s="167">
        <v>2.2200000000000001E-2</v>
      </c>
      <c r="BV35" s="81">
        <v>-233.43</v>
      </c>
      <c r="BW35" s="81" t="s">
        <v>387</v>
      </c>
      <c r="BX35" s="167">
        <v>2E-16</v>
      </c>
      <c r="BY35" s="81" t="s">
        <v>388</v>
      </c>
      <c r="BZ35" s="174" t="s">
        <v>317</v>
      </c>
      <c r="CA35" s="174" t="s">
        <v>318</v>
      </c>
      <c r="CB35" s="174" t="s">
        <v>348</v>
      </c>
      <c r="CC35" s="174" t="s">
        <v>321</v>
      </c>
      <c r="CD35" s="173">
        <f t="shared" si="36"/>
        <v>0.69199999999999995</v>
      </c>
      <c r="CE35" s="174" t="s">
        <v>320</v>
      </c>
      <c r="CJ35" s="250"/>
      <c r="CK35" s="250"/>
      <c r="CL35" s="250"/>
      <c r="CO35" s="253" t="s">
        <v>429</v>
      </c>
      <c r="CP35" s="253" t="s">
        <v>299</v>
      </c>
      <c r="CQ35" s="254">
        <v>44100000</v>
      </c>
      <c r="CR35" s="254">
        <v>1060000</v>
      </c>
      <c r="CS35" s="253">
        <v>41.43</v>
      </c>
      <c r="CT35" s="253" t="s">
        <v>387</v>
      </c>
      <c r="CU35" s="254">
        <v>2E-16</v>
      </c>
      <c r="CV35" s="81" t="s">
        <v>388</v>
      </c>
      <c r="CW35" s="255" t="s">
        <v>460</v>
      </c>
      <c r="CX35" s="260" t="s">
        <v>336</v>
      </c>
      <c r="CY35" s="256" t="s">
        <v>321</v>
      </c>
      <c r="CZ35" s="257">
        <f t="shared" si="34"/>
        <v>254</v>
      </c>
      <c r="DA35" s="255" t="s">
        <v>320</v>
      </c>
    </row>
    <row r="36" spans="1:105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08" t="s">
        <v>119</v>
      </c>
      <c r="F36" s="308"/>
      <c r="G36" s="76">
        <f>B17</f>
        <v>0</v>
      </c>
      <c r="K36" s="81"/>
      <c r="L36" s="81"/>
      <c r="M36" s="81" t="s">
        <v>117</v>
      </c>
      <c r="N36" s="153">
        <f>SUM(Q10:Q13,Q21:Q24)</f>
        <v>33.660000000000004</v>
      </c>
      <c r="P36" s="81"/>
      <c r="Q36" s="81"/>
      <c r="W36" s="223"/>
      <c r="X36" s="223"/>
      <c r="Y36" s="224" t="s">
        <v>4</v>
      </c>
      <c r="Z36" s="224">
        <v>5</v>
      </c>
      <c r="AA36" s="224" t="s">
        <v>5</v>
      </c>
      <c r="AB36" s="223"/>
      <c r="AC36" s="223"/>
      <c r="AD36" s="223"/>
      <c r="AE36" s="14"/>
      <c r="AF36" s="14"/>
      <c r="AG36" s="14"/>
      <c r="AP36" s="81" t="s">
        <v>320</v>
      </c>
      <c r="AU36" s="168"/>
      <c r="AV36" s="168"/>
      <c r="AW36" s="168"/>
      <c r="AX36" s="169"/>
      <c r="AZ36" s="168"/>
      <c r="BC36" s="81" t="s">
        <v>412</v>
      </c>
      <c r="BD36" s="167">
        <v>-6.58</v>
      </c>
      <c r="BE36" s="167">
        <v>2.1499999999999998E-2</v>
      </c>
      <c r="BF36" s="81">
        <v>-306.32</v>
      </c>
      <c r="BG36" s="81" t="s">
        <v>431</v>
      </c>
      <c r="BH36" s="81" t="s">
        <v>388</v>
      </c>
      <c r="BL36" s="168"/>
      <c r="BM36" s="168"/>
      <c r="BN36" s="168"/>
      <c r="BO36" s="169"/>
      <c r="BP36" s="162"/>
      <c r="BQ36" s="168"/>
      <c r="BS36" s="81" t="s">
        <v>412</v>
      </c>
      <c r="BT36" s="167">
        <v>-6.24</v>
      </c>
      <c r="BU36" s="167">
        <v>2.3300000000000001E-2</v>
      </c>
      <c r="BV36" s="81">
        <v>-267.83999999999997</v>
      </c>
      <c r="BW36" s="81" t="s">
        <v>387</v>
      </c>
      <c r="BX36" s="167">
        <v>2E-16</v>
      </c>
      <c r="BY36" s="81" t="s">
        <v>388</v>
      </c>
      <c r="BZ36" s="174"/>
      <c r="CA36" s="174"/>
      <c r="CB36" s="174"/>
      <c r="CC36" s="174"/>
      <c r="CD36" s="173"/>
      <c r="CE36" s="174"/>
      <c r="CI36" s="81" t="s">
        <v>350</v>
      </c>
      <c r="CJ36" s="252">
        <f t="shared" si="0"/>
        <v>427.2526885184954</v>
      </c>
      <c r="CK36" s="252">
        <f t="shared" si="13"/>
        <v>1350</v>
      </c>
      <c r="CL36" s="252">
        <f t="shared" si="2"/>
        <v>459</v>
      </c>
      <c r="CO36" s="253" t="s">
        <v>429</v>
      </c>
      <c r="CP36" s="253" t="s">
        <v>301</v>
      </c>
      <c r="CQ36" s="254">
        <v>26300000</v>
      </c>
      <c r="CR36" s="254">
        <v>370000</v>
      </c>
      <c r="CS36" s="253">
        <v>71.150000000000006</v>
      </c>
      <c r="CT36" s="253" t="s">
        <v>387</v>
      </c>
      <c r="CU36" s="254">
        <v>2E-16</v>
      </c>
      <c r="CV36" s="81" t="s">
        <v>388</v>
      </c>
      <c r="CW36" s="255" t="s">
        <v>460</v>
      </c>
      <c r="CX36" s="261" t="s">
        <v>338</v>
      </c>
      <c r="CY36" s="256" t="s">
        <v>321</v>
      </c>
      <c r="CZ36" s="257">
        <f>CQ59</f>
        <v>254</v>
      </c>
      <c r="DA36" s="255" t="s">
        <v>320</v>
      </c>
    </row>
    <row r="37" spans="1:105" ht="15" customHeight="1" thickTop="1" thickBot="1" x14ac:dyDescent="0.3">
      <c r="K37" s="81"/>
      <c r="L37" s="81"/>
      <c r="M37" s="81" t="s">
        <v>120</v>
      </c>
      <c r="N37" s="153">
        <f>'Verwarming Tabula'!B60</f>
        <v>138.03320000000002</v>
      </c>
      <c r="P37" s="81"/>
      <c r="Q37" s="81"/>
      <c r="W37" s="225" t="s">
        <v>115</v>
      </c>
      <c r="X37" s="226"/>
      <c r="Y37" s="227" t="s">
        <v>21</v>
      </c>
      <c r="Z37" s="207">
        <v>1.1000000000000001</v>
      </c>
      <c r="AA37" s="226" t="s">
        <v>5</v>
      </c>
      <c r="AB37" s="226"/>
      <c r="AC37" s="226" t="s">
        <v>22</v>
      </c>
      <c r="AD37" s="229">
        <f>SUM(AD38:AD39)</f>
        <v>0</v>
      </c>
      <c r="AE37" s="14" t="s">
        <v>23</v>
      </c>
      <c r="AF37" s="14">
        <f>SUM(AD39:AD40)</f>
        <v>0</v>
      </c>
      <c r="AG37" s="14"/>
      <c r="AL37" s="159" t="s">
        <v>317</v>
      </c>
      <c r="AM37" s="81" t="s">
        <v>318</v>
      </c>
      <c r="AN37" s="81" t="s">
        <v>350</v>
      </c>
      <c r="AO37" s="81">
        <f>SUM(N17:N20)*(1/(SUM(AC18:AC19)*0.5+1/8))+N25*(1/(SUM(AC9:AC10)*0.5+1/8))</f>
        <v>427.2526885184954</v>
      </c>
      <c r="AP37" s="81" t="s">
        <v>320</v>
      </c>
      <c r="AQ37" s="81" t="s">
        <v>351</v>
      </c>
      <c r="AU37" s="168" t="s">
        <v>317</v>
      </c>
      <c r="AV37" s="168" t="s">
        <v>318</v>
      </c>
      <c r="AW37" s="168" t="s">
        <v>350</v>
      </c>
      <c r="AX37" s="169" t="s">
        <v>321</v>
      </c>
      <c r="AY37" s="162">
        <f>AO37</f>
        <v>427.2526885184954</v>
      </c>
      <c r="AZ37" s="168" t="s">
        <v>320</v>
      </c>
      <c r="BC37" s="81" t="s">
        <v>413</v>
      </c>
      <c r="BD37" s="167">
        <v>-9.25</v>
      </c>
      <c r="BE37" s="167">
        <v>0.191</v>
      </c>
      <c r="BF37" s="81">
        <v>-48.52</v>
      </c>
      <c r="BG37" s="81" t="s">
        <v>431</v>
      </c>
      <c r="BH37" s="81" t="s">
        <v>388</v>
      </c>
      <c r="BL37" s="168" t="s">
        <v>317</v>
      </c>
      <c r="BM37" s="168" t="s">
        <v>318</v>
      </c>
      <c r="BN37" s="168" t="s">
        <v>350</v>
      </c>
      <c r="BO37" s="169" t="s">
        <v>321</v>
      </c>
      <c r="BP37" s="162">
        <f>BD67</f>
        <v>1350</v>
      </c>
      <c r="BQ37" s="168" t="s">
        <v>320</v>
      </c>
      <c r="BS37" s="81" t="s">
        <v>413</v>
      </c>
      <c r="BT37" s="167">
        <v>-6.59</v>
      </c>
      <c r="BU37" s="167">
        <v>3.9800000000000002E-2</v>
      </c>
      <c r="BV37" s="81">
        <v>-165.7</v>
      </c>
      <c r="BW37" s="81" t="s">
        <v>387</v>
      </c>
      <c r="BX37" s="167">
        <v>2E-16</v>
      </c>
      <c r="BY37" s="81" t="s">
        <v>388</v>
      </c>
      <c r="BZ37" s="174" t="s">
        <v>317</v>
      </c>
      <c r="CA37" s="174" t="s">
        <v>318</v>
      </c>
      <c r="CB37" s="174" t="s">
        <v>350</v>
      </c>
      <c r="CC37" s="174" t="s">
        <v>321</v>
      </c>
      <c r="CD37" s="173">
        <f>BT69</f>
        <v>459</v>
      </c>
      <c r="CE37" s="174" t="s">
        <v>320</v>
      </c>
      <c r="CI37" s="81" t="s">
        <v>352</v>
      </c>
      <c r="CJ37" s="252">
        <f t="shared" si="0"/>
        <v>196.13311271975178</v>
      </c>
      <c r="CK37" s="252">
        <f t="shared" si="13"/>
        <v>372</v>
      </c>
      <c r="CL37" s="252">
        <f t="shared" si="2"/>
        <v>191</v>
      </c>
      <c r="CO37" s="253" t="s">
        <v>429</v>
      </c>
      <c r="CP37" s="253" t="s">
        <v>399</v>
      </c>
      <c r="CQ37" s="254">
        <v>-5.75</v>
      </c>
      <c r="CR37" s="254">
        <v>6.8500000000000005E-2</v>
      </c>
      <c r="CS37" s="253">
        <v>-83.95</v>
      </c>
      <c r="CT37" s="253" t="s">
        <v>387</v>
      </c>
      <c r="CU37" s="254">
        <v>2E-16</v>
      </c>
      <c r="CV37" s="81" t="s">
        <v>388</v>
      </c>
      <c r="CW37" s="255" t="s">
        <v>460</v>
      </c>
      <c r="CX37" s="261" t="s">
        <v>337</v>
      </c>
      <c r="CY37" s="256" t="s">
        <v>321</v>
      </c>
      <c r="CZ37" s="257">
        <f>1/CQ56</f>
        <v>735.29411764705878</v>
      </c>
      <c r="DA37" s="255" t="s">
        <v>320</v>
      </c>
    </row>
    <row r="38" spans="1:105" ht="15" customHeight="1" thickTop="1" thickBot="1" x14ac:dyDescent="0.3">
      <c r="B38" s="153"/>
      <c r="K38" s="81"/>
      <c r="L38" s="81"/>
      <c r="M38" s="81"/>
      <c r="N38" s="153"/>
      <c r="P38" s="81"/>
      <c r="Q38" s="81"/>
      <c r="W38" s="205"/>
      <c r="X38" s="206" t="s">
        <v>16</v>
      </c>
      <c r="Y38" s="206">
        <v>0.7</v>
      </c>
      <c r="Z38" s="206" t="s">
        <v>5</v>
      </c>
      <c r="AA38" s="206"/>
      <c r="AB38" s="206"/>
      <c r="AC38" s="206">
        <f>(Z37-(1-AC39)*Y38)/AC39</f>
        <v>2.3000000000000007</v>
      </c>
      <c r="AD38" s="238"/>
      <c r="AE38" s="14"/>
      <c r="AF38" s="14"/>
      <c r="AG38" s="14"/>
      <c r="AL38" s="159" t="s">
        <v>317</v>
      </c>
      <c r="AM38" s="81" t="s">
        <v>318</v>
      </c>
      <c r="AN38" s="81" t="s">
        <v>352</v>
      </c>
      <c r="AO38" s="81">
        <f>4*Z21*N28</f>
        <v>196.13311271975178</v>
      </c>
      <c r="AP38" s="81" t="s">
        <v>320</v>
      </c>
      <c r="AQ38" s="167">
        <v>85.692350000000005</v>
      </c>
      <c r="AU38" s="168" t="s">
        <v>317</v>
      </c>
      <c r="AV38" s="168" t="s">
        <v>318</v>
      </c>
      <c r="AW38" s="168" t="s">
        <v>352</v>
      </c>
      <c r="AX38" s="169" t="s">
        <v>321</v>
      </c>
      <c r="AY38" s="162">
        <f t="shared" ref="AY38:AY40" si="37">AO38</f>
        <v>196.13311271975178</v>
      </c>
      <c r="AZ38" s="168" t="s">
        <v>320</v>
      </c>
      <c r="BC38" s="81" t="s">
        <v>414</v>
      </c>
      <c r="BD38" s="167">
        <v>-6.11</v>
      </c>
      <c r="BE38" s="167">
        <v>2.2200000000000001E-2</v>
      </c>
      <c r="BF38" s="81">
        <v>-275.08</v>
      </c>
      <c r="BG38" s="81" t="s">
        <v>431</v>
      </c>
      <c r="BH38" s="81" t="s">
        <v>388</v>
      </c>
      <c r="BL38" s="168" t="s">
        <v>317</v>
      </c>
      <c r="BM38" s="168" t="s">
        <v>318</v>
      </c>
      <c r="BN38" s="168" t="s">
        <v>352</v>
      </c>
      <c r="BO38" s="169" t="s">
        <v>321</v>
      </c>
      <c r="BP38" s="162">
        <f t="shared" ref="BP38:BP39" si="38">BD68</f>
        <v>372</v>
      </c>
      <c r="BQ38" s="168" t="s">
        <v>320</v>
      </c>
      <c r="BS38" s="81" t="s">
        <v>414</v>
      </c>
      <c r="BT38" s="167">
        <v>-6.13</v>
      </c>
      <c r="BU38" s="167">
        <v>2.3300000000000001E-2</v>
      </c>
      <c r="BV38" s="81">
        <v>-263.20999999999998</v>
      </c>
      <c r="BW38" s="81" t="s">
        <v>387</v>
      </c>
      <c r="BX38" s="167">
        <v>2E-16</v>
      </c>
      <c r="BY38" s="81" t="s">
        <v>388</v>
      </c>
      <c r="BZ38" s="174" t="s">
        <v>317</v>
      </c>
      <c r="CA38" s="174" t="s">
        <v>318</v>
      </c>
      <c r="CB38" s="174" t="s">
        <v>352</v>
      </c>
      <c r="CC38" s="174" t="s">
        <v>321</v>
      </c>
      <c r="CD38" s="173">
        <f t="shared" ref="CD38:CD39" si="39">BT70</f>
        <v>191</v>
      </c>
      <c r="CE38" s="174" t="s">
        <v>320</v>
      </c>
      <c r="CI38" s="81" t="s">
        <v>353</v>
      </c>
      <c r="CJ38" s="252">
        <f t="shared" si="0"/>
        <v>64.91718463795371</v>
      </c>
      <c r="CK38" s="252">
        <f t="shared" si="13"/>
        <v>31.9</v>
      </c>
      <c r="CL38" s="252">
        <f t="shared" si="2"/>
        <v>2.0199999999999999E-19</v>
      </c>
      <c r="CO38" s="253" t="s">
        <v>429</v>
      </c>
      <c r="CP38" s="253" t="s">
        <v>400</v>
      </c>
      <c r="CQ38" s="254">
        <v>-16.3</v>
      </c>
      <c r="CR38" s="254">
        <v>336</v>
      </c>
      <c r="CS38" s="253">
        <v>-0.05</v>
      </c>
      <c r="CT38" s="253">
        <v>0.96099999999999997</v>
      </c>
      <c r="CW38" s="255" t="s">
        <v>460</v>
      </c>
      <c r="CX38" s="258" t="s">
        <v>329</v>
      </c>
      <c r="CY38" s="256" t="s">
        <v>321</v>
      </c>
      <c r="CZ38" s="257">
        <f>CQ42</f>
        <v>7.6999999999999999E-2</v>
      </c>
      <c r="DA38" s="255" t="s">
        <v>320</v>
      </c>
    </row>
    <row r="39" spans="1:105" ht="15" customHeight="1" thickTop="1" thickBot="1" x14ac:dyDescent="0.3">
      <c r="K39" s="81"/>
      <c r="L39" s="81"/>
      <c r="M39" s="81" t="s">
        <v>122</v>
      </c>
      <c r="N39" s="153">
        <f>B4*1.204*1012*5/1000000</f>
        <v>3.2392440080000005</v>
      </c>
      <c r="O39" s="81" t="s">
        <v>123</v>
      </c>
      <c r="Q39" s="81"/>
      <c r="W39" s="199"/>
      <c r="X39" s="181" t="s">
        <v>121</v>
      </c>
      <c r="Y39" s="181">
        <v>0.3</v>
      </c>
      <c r="Z39" s="181"/>
      <c r="AA39" s="181"/>
      <c r="AB39" s="181"/>
      <c r="AC39" s="181">
        <v>0.25</v>
      </c>
      <c r="AD39" s="204"/>
      <c r="AE39" s="149" t="s">
        <v>277</v>
      </c>
      <c r="AF39" s="14"/>
      <c r="AG39" s="14"/>
      <c r="AL39" s="159" t="s">
        <v>317</v>
      </c>
      <c r="AM39" s="81" t="s">
        <v>318</v>
      </c>
      <c r="AN39" s="81" t="s">
        <v>353</v>
      </c>
      <c r="AO39" s="153">
        <f>'Verwarming Tabula 2zone'!B139+SUM(Q21:Q24)</f>
        <v>64.91718463795371</v>
      </c>
      <c r="AP39" s="81" t="s">
        <v>320</v>
      </c>
      <c r="AQ39" s="81" t="s">
        <v>354</v>
      </c>
      <c r="AU39" s="168" t="s">
        <v>317</v>
      </c>
      <c r="AV39" s="168" t="s">
        <v>318</v>
      </c>
      <c r="AW39" s="168" t="s">
        <v>353</v>
      </c>
      <c r="AX39" s="169" t="s">
        <v>321</v>
      </c>
      <c r="AY39" s="162">
        <f t="shared" si="37"/>
        <v>64.91718463795371</v>
      </c>
      <c r="AZ39" s="168" t="s">
        <v>320</v>
      </c>
      <c r="BC39" s="81" t="s">
        <v>415</v>
      </c>
      <c r="BD39" s="167">
        <v>-6.37</v>
      </c>
      <c r="BE39" s="167">
        <v>2.1899999999999999E-2</v>
      </c>
      <c r="BF39" s="81">
        <v>-290.83</v>
      </c>
      <c r="BG39" s="81" t="s">
        <v>431</v>
      </c>
      <c r="BH39" s="81" t="s">
        <v>388</v>
      </c>
      <c r="BL39" s="168" t="s">
        <v>317</v>
      </c>
      <c r="BM39" s="168" t="s">
        <v>318</v>
      </c>
      <c r="BN39" s="168" t="s">
        <v>353</v>
      </c>
      <c r="BO39" s="169" t="s">
        <v>321</v>
      </c>
      <c r="BP39" s="162">
        <f t="shared" si="38"/>
        <v>31.9</v>
      </c>
      <c r="BQ39" s="168" t="s">
        <v>320</v>
      </c>
      <c r="BS39" s="81" t="s">
        <v>415</v>
      </c>
      <c r="BT39" s="167">
        <v>-6.14</v>
      </c>
      <c r="BU39" s="167">
        <v>2.3800000000000002E-2</v>
      </c>
      <c r="BV39" s="81">
        <v>-257.77999999999997</v>
      </c>
      <c r="BW39" s="81" t="s">
        <v>387</v>
      </c>
      <c r="BX39" s="167">
        <v>2E-16</v>
      </c>
      <c r="BY39" s="81" t="s">
        <v>388</v>
      </c>
      <c r="BZ39" s="174" t="s">
        <v>317</v>
      </c>
      <c r="CA39" s="174" t="s">
        <v>318</v>
      </c>
      <c r="CB39" s="174" t="s">
        <v>353</v>
      </c>
      <c r="CC39" s="174" t="s">
        <v>321</v>
      </c>
      <c r="CD39" s="173">
        <f t="shared" si="39"/>
        <v>2.0199999999999999E-19</v>
      </c>
      <c r="CE39" s="174" t="s">
        <v>320</v>
      </c>
      <c r="CI39" s="81" t="s">
        <v>355</v>
      </c>
      <c r="CJ39" s="252">
        <f t="shared" si="0"/>
        <v>30.00335132995211</v>
      </c>
      <c r="CK39" s="252">
        <f t="shared" si="13"/>
        <v>110.74197120708749</v>
      </c>
      <c r="CL39" s="252">
        <f t="shared" si="2"/>
        <v>813.00813008130081</v>
      </c>
      <c r="CO39" s="253" t="s">
        <v>429</v>
      </c>
      <c r="CP39" s="253" t="s">
        <v>401</v>
      </c>
      <c r="CQ39" s="254">
        <v>4.8600000000000003</v>
      </c>
      <c r="CR39" s="254">
        <v>0.25900000000000001</v>
      </c>
      <c r="CS39" s="253">
        <v>18.75</v>
      </c>
      <c r="CT39" s="253" t="s">
        <v>387</v>
      </c>
      <c r="CU39" s="254">
        <v>2E-16</v>
      </c>
      <c r="CV39" s="81" t="s">
        <v>388</v>
      </c>
      <c r="CW39" s="255" t="s">
        <v>460</v>
      </c>
      <c r="CX39" s="259" t="s">
        <v>330</v>
      </c>
      <c r="CY39" s="256" t="s">
        <v>321</v>
      </c>
      <c r="CZ39" s="257">
        <f t="shared" ref="CZ39:CZ42" si="40">CQ43</f>
        <v>0.14699999999999999</v>
      </c>
      <c r="DA39" s="255" t="s">
        <v>320</v>
      </c>
    </row>
    <row r="40" spans="1:105" ht="15" customHeight="1" thickTop="1" thickBot="1" x14ac:dyDescent="0.3">
      <c r="A40" s="81" t="s">
        <v>278</v>
      </c>
      <c r="K40" s="81"/>
      <c r="L40" s="81"/>
      <c r="M40" s="81" t="s">
        <v>124</v>
      </c>
      <c r="N40" s="153">
        <f>SUM(R6:R9,R15)/1000000</f>
        <v>27.410204334229579</v>
      </c>
      <c r="O40" s="81" t="s">
        <v>125</v>
      </c>
      <c r="P40" s="153">
        <f>SUM(T6:T9,T15)/1000000</f>
        <v>14.219713973112725</v>
      </c>
      <c r="Q40" s="81"/>
      <c r="W40" s="223"/>
      <c r="X40" s="223"/>
      <c r="Y40" s="223"/>
      <c r="Z40" s="223"/>
      <c r="AA40" s="223"/>
      <c r="AB40" s="223"/>
      <c r="AC40" s="223"/>
      <c r="AD40" s="223"/>
      <c r="AE40" s="14"/>
      <c r="AF40" s="14"/>
      <c r="AG40" s="14"/>
      <c r="AL40" s="159" t="s">
        <v>317</v>
      </c>
      <c r="AM40" s="81" t="s">
        <v>318</v>
      </c>
      <c r="AN40" s="81" t="s">
        <v>355</v>
      </c>
      <c r="AO40" s="81">
        <f>SUM(N17:N20)*1/(SUM(AC15:AC17)+0.5*SUM(AC18:AC19)+1/23)+N25*1/(SUM(AC7:AC9)+0.5*SUM(AC10)+1/23)</f>
        <v>30.00335132995211</v>
      </c>
      <c r="AP40" s="81" t="s">
        <v>320</v>
      </c>
      <c r="AQ40" s="81">
        <f>1/0.01634389</f>
        <v>61.184944343115376</v>
      </c>
      <c r="AU40" s="168" t="s">
        <v>317</v>
      </c>
      <c r="AV40" s="168" t="s">
        <v>318</v>
      </c>
      <c r="AW40" s="168" t="s">
        <v>355</v>
      </c>
      <c r="AX40" s="169" t="s">
        <v>321</v>
      </c>
      <c r="AY40" s="162">
        <f t="shared" si="37"/>
        <v>30.00335132995211</v>
      </c>
      <c r="AZ40" s="168" t="s">
        <v>320</v>
      </c>
      <c r="BC40" s="81" t="s">
        <v>416</v>
      </c>
      <c r="BD40" s="167">
        <v>1.1299999999999999E-3</v>
      </c>
      <c r="BE40" s="167">
        <v>9.9899999999999992E-6</v>
      </c>
      <c r="BF40" s="81">
        <v>113.15</v>
      </c>
      <c r="BG40" s="81" t="s">
        <v>431</v>
      </c>
      <c r="BH40" s="81" t="s">
        <v>388</v>
      </c>
      <c r="BL40" s="168" t="s">
        <v>317</v>
      </c>
      <c r="BM40" s="168" t="s">
        <v>318</v>
      </c>
      <c r="BN40" s="168" t="s">
        <v>355</v>
      </c>
      <c r="BO40" s="169" t="s">
        <v>321</v>
      </c>
      <c r="BP40" s="162">
        <f>1/BD74</f>
        <v>110.74197120708749</v>
      </c>
      <c r="BQ40" s="168" t="s">
        <v>320</v>
      </c>
      <c r="BS40" s="81" t="s">
        <v>416</v>
      </c>
      <c r="BT40" s="167">
        <v>1.3500000000000001E-3</v>
      </c>
      <c r="BU40" s="167">
        <v>2.23E-5</v>
      </c>
      <c r="BV40" s="81">
        <v>60.8</v>
      </c>
      <c r="BW40" s="81" t="s">
        <v>387</v>
      </c>
      <c r="BX40" s="167">
        <v>2E-16</v>
      </c>
      <c r="BY40" s="81" t="s">
        <v>388</v>
      </c>
      <c r="BZ40" s="174" t="s">
        <v>317</v>
      </c>
      <c r="CA40" s="174" t="s">
        <v>318</v>
      </c>
      <c r="CB40" s="174" t="s">
        <v>355</v>
      </c>
      <c r="CC40" s="174" t="s">
        <v>321</v>
      </c>
      <c r="CD40" s="173">
        <f>1/BT76</f>
        <v>813.00813008130081</v>
      </c>
      <c r="CE40" s="174" t="s">
        <v>320</v>
      </c>
      <c r="CJ40" s="250"/>
      <c r="CK40" s="250"/>
      <c r="CL40" s="250"/>
      <c r="CO40" s="253" t="s">
        <v>429</v>
      </c>
      <c r="CP40" s="253" t="s">
        <v>402</v>
      </c>
      <c r="CQ40" s="254">
        <v>-15.8</v>
      </c>
      <c r="CR40" s="254">
        <v>472</v>
      </c>
      <c r="CS40" s="253">
        <v>-0.03</v>
      </c>
      <c r="CT40" s="253">
        <v>0.97299999999999998</v>
      </c>
      <c r="CW40" s="255" t="s">
        <v>460</v>
      </c>
      <c r="CX40" s="259" t="s">
        <v>331</v>
      </c>
      <c r="CY40" s="256" t="s">
        <v>321</v>
      </c>
      <c r="CZ40" s="257">
        <f t="shared" si="40"/>
        <v>0.73299999999999998</v>
      </c>
      <c r="DA40" s="255" t="s">
        <v>320</v>
      </c>
    </row>
    <row r="41" spans="1:105" ht="15" customHeight="1" thickTop="1" thickBot="1" x14ac:dyDescent="0.3">
      <c r="A41" s="150" t="s">
        <v>279</v>
      </c>
      <c r="K41" s="81"/>
      <c r="L41" s="81"/>
      <c r="M41" s="81" t="s">
        <v>126</v>
      </c>
      <c r="N41" s="153">
        <f>SUM(R26:R27)/1000000</f>
        <v>62.390675478800418</v>
      </c>
      <c r="O41" s="81" t="s">
        <v>125</v>
      </c>
      <c r="P41" s="153">
        <f>SUM(T26:T27)/1000000</f>
        <v>62.390675478800418</v>
      </c>
      <c r="Q41" s="81"/>
      <c r="W41" s="223"/>
      <c r="X41" s="223"/>
      <c r="Y41" s="224" t="s">
        <v>4</v>
      </c>
      <c r="Z41" s="224">
        <v>0.85</v>
      </c>
      <c r="AA41" s="224" t="s">
        <v>5</v>
      </c>
      <c r="AB41" s="223"/>
      <c r="AC41" s="223"/>
      <c r="AD41" s="223"/>
      <c r="AE41" s="14"/>
      <c r="AF41" s="14"/>
      <c r="AG41" s="14"/>
      <c r="AP41" s="81" t="s">
        <v>320</v>
      </c>
      <c r="AU41" s="168"/>
      <c r="AV41" s="168"/>
      <c r="AW41" s="168"/>
      <c r="AX41" s="169"/>
      <c r="AZ41" s="168"/>
      <c r="BC41" s="81" t="s">
        <v>417</v>
      </c>
      <c r="BD41" s="167">
        <v>762</v>
      </c>
      <c r="BE41" s="167">
        <v>7.54</v>
      </c>
      <c r="BF41" s="81">
        <v>101.02</v>
      </c>
      <c r="BG41" s="81" t="s">
        <v>431</v>
      </c>
      <c r="BH41" s="81" t="s">
        <v>388</v>
      </c>
      <c r="BL41" s="168"/>
      <c r="BM41" s="168"/>
      <c r="BN41" s="168"/>
      <c r="BO41" s="169"/>
      <c r="BP41" s="162"/>
      <c r="BQ41" s="168"/>
      <c r="BS41" s="81" t="s">
        <v>417</v>
      </c>
      <c r="BT41" s="167">
        <v>133</v>
      </c>
      <c r="BU41" s="167">
        <v>1</v>
      </c>
      <c r="BV41" s="81">
        <v>133.13</v>
      </c>
      <c r="BW41" s="81" t="s">
        <v>387</v>
      </c>
      <c r="BX41" s="167">
        <v>2E-16</v>
      </c>
      <c r="BY41" s="81" t="s">
        <v>388</v>
      </c>
      <c r="BZ41" s="174"/>
      <c r="CA41" s="174"/>
      <c r="CB41" s="174"/>
      <c r="CC41" s="174"/>
      <c r="CD41" s="173"/>
      <c r="CE41" s="174"/>
      <c r="CI41" s="81" t="s">
        <v>356</v>
      </c>
      <c r="CJ41" s="249">
        <f t="shared" si="0"/>
        <v>0.29329646034891843</v>
      </c>
      <c r="CK41" s="249">
        <f t="shared" si="13"/>
        <v>2.8899999999999999E-2</v>
      </c>
      <c r="CL41" s="249">
        <f t="shared" si="2"/>
        <v>0.13200000000000001</v>
      </c>
      <c r="CO41" s="253" t="s">
        <v>429</v>
      </c>
      <c r="CP41" s="253" t="s">
        <v>403</v>
      </c>
      <c r="CQ41" s="254">
        <v>-12.7</v>
      </c>
      <c r="CR41" s="254">
        <v>261</v>
      </c>
      <c r="CS41" s="253">
        <v>-0.05</v>
      </c>
      <c r="CT41" s="253">
        <v>0.96099999999999997</v>
      </c>
      <c r="CW41" s="255" t="s">
        <v>460</v>
      </c>
      <c r="CX41" s="256" t="s">
        <v>332</v>
      </c>
      <c r="CY41" s="256" t="s">
        <v>321</v>
      </c>
      <c r="CZ41" s="257">
        <f t="shared" si="40"/>
        <v>6.1400000000000003E-2</v>
      </c>
      <c r="DA41" s="255" t="s">
        <v>320</v>
      </c>
    </row>
    <row r="42" spans="1:105" ht="15" customHeight="1" thickTop="1" thickBot="1" x14ac:dyDescent="0.3">
      <c r="A42" s="81" t="s">
        <v>280</v>
      </c>
      <c r="C42" s="81">
        <f>0.55</f>
        <v>0.55000000000000004</v>
      </c>
      <c r="K42" s="81"/>
      <c r="L42" s="81"/>
      <c r="M42" s="81" t="s">
        <v>127</v>
      </c>
      <c r="N42" s="153">
        <f>R14/1000000</f>
        <v>33.839238000000009</v>
      </c>
      <c r="P42" s="153">
        <f>T14/1000000</f>
        <v>9.8532480000000024</v>
      </c>
      <c r="Q42" s="81"/>
      <c r="W42" s="225" t="s">
        <v>63</v>
      </c>
      <c r="X42" s="226"/>
      <c r="Y42" s="227" t="s">
        <v>21</v>
      </c>
      <c r="Z42" s="228">
        <f>1/(1/10+SUM(AC44:AC48))</f>
        <v>0.17975604536700196</v>
      </c>
      <c r="AA42" s="226" t="s">
        <v>5</v>
      </c>
      <c r="AB42" s="226"/>
      <c r="AC42" s="226" t="s">
        <v>22</v>
      </c>
      <c r="AD42" s="229">
        <f>SUM(AD44:AD48)</f>
        <v>381072.5</v>
      </c>
      <c r="AE42" s="14" t="s">
        <v>23</v>
      </c>
      <c r="AF42" s="14">
        <f>SUM(AD44:AD45)</f>
        <v>110960</v>
      </c>
      <c r="AG42" s="14"/>
      <c r="AL42" s="159" t="s">
        <v>317</v>
      </c>
      <c r="AM42" s="81" t="s">
        <v>318</v>
      </c>
      <c r="AN42" s="81" t="s">
        <v>356</v>
      </c>
      <c r="AO42" s="81">
        <f>SUM(N26)/SUM(N6:N14,N26:N27)</f>
        <v>0.29329646034891843</v>
      </c>
      <c r="AP42" s="81" t="s">
        <v>320</v>
      </c>
      <c r="AQ42" s="81" t="s">
        <v>357</v>
      </c>
      <c r="AU42" s="168" t="s">
        <v>317</v>
      </c>
      <c r="AV42" s="168" t="s">
        <v>318</v>
      </c>
      <c r="AW42" s="168" t="s">
        <v>356</v>
      </c>
      <c r="AX42" s="169" t="s">
        <v>321</v>
      </c>
      <c r="AY42" s="162">
        <f>AO42</f>
        <v>0.29329646034891843</v>
      </c>
      <c r="AZ42" s="168" t="s">
        <v>320</v>
      </c>
      <c r="BC42" s="81" t="s">
        <v>418</v>
      </c>
      <c r="BD42" s="167">
        <v>660</v>
      </c>
      <c r="BE42" s="167">
        <v>5.62</v>
      </c>
      <c r="BF42" s="81">
        <v>117.56</v>
      </c>
      <c r="BG42" s="81" t="s">
        <v>431</v>
      </c>
      <c r="BH42" s="81" t="s">
        <v>388</v>
      </c>
      <c r="BL42" s="168" t="s">
        <v>317</v>
      </c>
      <c r="BM42" s="168" t="s">
        <v>318</v>
      </c>
      <c r="BN42" s="168" t="s">
        <v>356</v>
      </c>
      <c r="BO42" s="169" t="s">
        <v>321</v>
      </c>
      <c r="BP42" s="162">
        <f>BD15</f>
        <v>2.8899999999999999E-2</v>
      </c>
      <c r="BQ42" s="168" t="s">
        <v>320</v>
      </c>
      <c r="BS42" s="81" t="s">
        <v>418</v>
      </c>
      <c r="BT42" s="167">
        <v>1500</v>
      </c>
      <c r="BU42" s="167">
        <v>980</v>
      </c>
      <c r="BV42" s="81">
        <v>1.53</v>
      </c>
      <c r="BW42" s="81">
        <v>0.13</v>
      </c>
      <c r="BZ42" s="174" t="s">
        <v>317</v>
      </c>
      <c r="CA42" s="174" t="s">
        <v>318</v>
      </c>
      <c r="CB42" s="174" t="s">
        <v>356</v>
      </c>
      <c r="CC42" s="174" t="s">
        <v>321</v>
      </c>
      <c r="CD42" s="173">
        <f>BT14</f>
        <v>0.13200000000000001</v>
      </c>
      <c r="CE42" s="174" t="s">
        <v>320</v>
      </c>
      <c r="CI42" s="81" t="s">
        <v>358</v>
      </c>
      <c r="CJ42" s="249">
        <f t="shared" si="0"/>
        <v>0.27851425434611121</v>
      </c>
      <c r="CK42" s="249">
        <f t="shared" si="13"/>
        <v>9.7500000000000003E-2</v>
      </c>
      <c r="CL42" s="249">
        <f t="shared" si="2"/>
        <v>0.47699999999999998</v>
      </c>
      <c r="CO42" s="253" t="s">
        <v>429</v>
      </c>
      <c r="CP42" s="253" t="s">
        <v>404</v>
      </c>
      <c r="CQ42" s="254">
        <v>7.6999999999999999E-2</v>
      </c>
      <c r="CR42" s="254">
        <v>7.1900000000000002E-4</v>
      </c>
      <c r="CS42" s="253">
        <v>107.04</v>
      </c>
      <c r="CT42" s="253" t="s">
        <v>387</v>
      </c>
      <c r="CU42" s="254">
        <v>2E-16</v>
      </c>
      <c r="CV42" s="81" t="s">
        <v>388</v>
      </c>
      <c r="CW42" s="255" t="s">
        <v>460</v>
      </c>
      <c r="CX42" s="256" t="s">
        <v>434</v>
      </c>
      <c r="CY42" s="256" t="s">
        <v>321</v>
      </c>
      <c r="CZ42" s="257">
        <f t="shared" si="40"/>
        <v>5.0099999999999999E-2</v>
      </c>
      <c r="DA42" s="255" t="s">
        <v>320</v>
      </c>
    </row>
    <row r="43" spans="1:105" ht="15" customHeight="1" thickTop="1" thickBot="1" x14ac:dyDescent="0.3">
      <c r="A43" s="81" t="s">
        <v>281</v>
      </c>
      <c r="C43" s="81">
        <f>B7/B6</f>
        <v>0.45915201654601867</v>
      </c>
      <c r="D43" s="81" t="s">
        <v>282</v>
      </c>
      <c r="K43" s="81"/>
      <c r="L43" s="81"/>
      <c r="M43" s="81"/>
      <c r="P43" s="81"/>
      <c r="Q43" s="81"/>
      <c r="W43" s="230"/>
      <c r="X43" s="231" t="s">
        <v>27</v>
      </c>
      <c r="Y43" s="231" t="s">
        <v>28</v>
      </c>
      <c r="Z43" s="231" t="s">
        <v>29</v>
      </c>
      <c r="AA43" s="231" t="s">
        <v>30</v>
      </c>
      <c r="AB43" s="231" t="s">
        <v>31</v>
      </c>
      <c r="AC43" s="231" t="s">
        <v>32</v>
      </c>
      <c r="AD43" s="232" t="s">
        <v>33</v>
      </c>
      <c r="AE43" s="14"/>
      <c r="AF43" s="14"/>
      <c r="AG43" s="14"/>
      <c r="AL43" s="159" t="s">
        <v>317</v>
      </c>
      <c r="AM43" s="81" t="s">
        <v>318</v>
      </c>
      <c r="AN43" s="81" t="s">
        <v>358</v>
      </c>
      <c r="AO43" s="81">
        <f>SUM(N26)/SUM(N$17:N$25,N$28,N$26)</f>
        <v>0.27851425434611121</v>
      </c>
      <c r="AP43" s="81" t="s">
        <v>320</v>
      </c>
      <c r="AQ43" s="81" t="s">
        <v>359</v>
      </c>
      <c r="AU43" s="168" t="s">
        <v>317</v>
      </c>
      <c r="AV43" s="168" t="s">
        <v>318</v>
      </c>
      <c r="AW43" s="168" t="s">
        <v>358</v>
      </c>
      <c r="AX43" s="169" t="s">
        <v>321</v>
      </c>
      <c r="AY43" s="162">
        <f t="shared" ref="AY43:AY50" si="41">AO43</f>
        <v>0.27851425434611121</v>
      </c>
      <c r="AZ43" s="168" t="s">
        <v>320</v>
      </c>
      <c r="BC43" s="81" t="s">
        <v>419</v>
      </c>
      <c r="BD43" s="167">
        <v>301</v>
      </c>
      <c r="BE43" s="167">
        <v>3.03</v>
      </c>
      <c r="BF43" s="81">
        <v>99.4</v>
      </c>
      <c r="BG43" s="81" t="s">
        <v>431</v>
      </c>
      <c r="BH43" s="81" t="s">
        <v>388</v>
      </c>
      <c r="BL43" s="168" t="s">
        <v>317</v>
      </c>
      <c r="BM43" s="168" t="s">
        <v>318</v>
      </c>
      <c r="BN43" s="168" t="s">
        <v>358</v>
      </c>
      <c r="BO43" s="169" t="s">
        <v>321</v>
      </c>
      <c r="BP43" s="162">
        <f>BD54</f>
        <v>9.7500000000000003E-2</v>
      </c>
      <c r="BQ43" s="168" t="s">
        <v>320</v>
      </c>
      <c r="BS43" s="81" t="s">
        <v>419</v>
      </c>
      <c r="BT43" s="167">
        <v>334</v>
      </c>
      <c r="BU43" s="167">
        <v>261</v>
      </c>
      <c r="BV43" s="81">
        <v>1.28</v>
      </c>
      <c r="BW43" s="81">
        <v>0.2</v>
      </c>
      <c r="BZ43" s="174" t="s">
        <v>317</v>
      </c>
      <c r="CA43" s="174" t="s">
        <v>318</v>
      </c>
      <c r="CB43" s="174" t="s">
        <v>358</v>
      </c>
      <c r="CC43" s="174" t="s">
        <v>321</v>
      </c>
      <c r="CD43" s="173">
        <f>BT56</f>
        <v>0.47699999999999998</v>
      </c>
      <c r="CE43" s="174" t="s">
        <v>320</v>
      </c>
      <c r="CI43" s="81" t="s">
        <v>360</v>
      </c>
      <c r="CJ43" s="251">
        <f t="shared" si="0"/>
        <v>24347742</v>
      </c>
      <c r="CK43" s="251">
        <f t="shared" si="13"/>
        <v>248000</v>
      </c>
      <c r="CL43" s="251">
        <f t="shared" si="2"/>
        <v>25100000</v>
      </c>
      <c r="CO43" s="253" t="s">
        <v>429</v>
      </c>
      <c r="CP43" s="253" t="s">
        <v>405</v>
      </c>
      <c r="CQ43" s="254">
        <v>0.14699999999999999</v>
      </c>
      <c r="CR43" s="254">
        <v>9.3999999999999997E-4</v>
      </c>
      <c r="CS43" s="253">
        <v>156.41</v>
      </c>
      <c r="CT43" s="253" t="s">
        <v>387</v>
      </c>
      <c r="CU43" s="254">
        <v>2E-16</v>
      </c>
      <c r="CV43" s="81" t="s">
        <v>388</v>
      </c>
      <c r="CY43" s="256"/>
    </row>
    <row r="44" spans="1:105" ht="15" customHeight="1" thickTop="1" thickBot="1" x14ac:dyDescent="0.3">
      <c r="A44" s="81" t="s">
        <v>285</v>
      </c>
      <c r="C44" s="81">
        <v>0.7</v>
      </c>
      <c r="E44" s="79"/>
      <c r="K44" s="81"/>
      <c r="L44" s="81"/>
      <c r="M44" s="81"/>
      <c r="P44" s="81"/>
      <c r="Q44" s="81"/>
      <c r="W44" s="205"/>
      <c r="X44" s="206" t="s">
        <v>128</v>
      </c>
      <c r="Y44" s="206">
        <v>0.02</v>
      </c>
      <c r="Z44" s="206">
        <v>1.4</v>
      </c>
      <c r="AA44" s="206">
        <v>2100</v>
      </c>
      <c r="AB44" s="206">
        <v>840</v>
      </c>
      <c r="AC44" s="236">
        <f>Y44/Z44</f>
        <v>1.4285714285714287E-2</v>
      </c>
      <c r="AD44" s="237">
        <f>Y44*AA44*AB44</f>
        <v>35280</v>
      </c>
      <c r="AE44" s="14" t="s">
        <v>104</v>
      </c>
      <c r="AF44" s="14"/>
      <c r="AG44" s="14"/>
      <c r="AL44" s="159" t="s">
        <v>317</v>
      </c>
      <c r="AM44" s="81" t="s">
        <v>318</v>
      </c>
      <c r="AN44" s="81" t="s">
        <v>360</v>
      </c>
      <c r="AO44" s="81">
        <f>T26/2</f>
        <v>24347742</v>
      </c>
      <c r="AP44" s="81" t="s">
        <v>320</v>
      </c>
      <c r="AQ44" s="81" t="s">
        <v>361</v>
      </c>
      <c r="AU44" s="168" t="s">
        <v>317</v>
      </c>
      <c r="AV44" s="168" t="s">
        <v>318</v>
      </c>
      <c r="AW44" s="168" t="s">
        <v>360</v>
      </c>
      <c r="AX44" s="169" t="s">
        <v>321</v>
      </c>
      <c r="AY44" s="162">
        <f t="shared" si="41"/>
        <v>24347742</v>
      </c>
      <c r="AZ44" s="168" t="s">
        <v>320</v>
      </c>
      <c r="BL44" s="168" t="s">
        <v>317</v>
      </c>
      <c r="BM44" s="168" t="s">
        <v>318</v>
      </c>
      <c r="BN44" s="168" t="s">
        <v>360</v>
      </c>
      <c r="BO44" s="169" t="s">
        <v>321</v>
      </c>
      <c r="BP44" s="162">
        <f>BD84</f>
        <v>248000</v>
      </c>
      <c r="BQ44" s="168" t="s">
        <v>320</v>
      </c>
      <c r="BZ44" s="174" t="s">
        <v>317</v>
      </c>
      <c r="CA44" s="174" t="s">
        <v>318</v>
      </c>
      <c r="CB44" s="174" t="s">
        <v>360</v>
      </c>
      <c r="CC44" s="174" t="s">
        <v>321</v>
      </c>
      <c r="CD44" s="173">
        <f>BT88</f>
        <v>25100000</v>
      </c>
      <c r="CE44" s="174" t="s">
        <v>320</v>
      </c>
      <c r="CI44" s="81" t="s">
        <v>362</v>
      </c>
      <c r="CJ44" s="251">
        <f t="shared" si="0"/>
        <v>24347742</v>
      </c>
      <c r="CK44" s="251">
        <f t="shared" si="13"/>
        <v>6990000</v>
      </c>
      <c r="CL44" s="251">
        <f t="shared" si="2"/>
        <v>42200000</v>
      </c>
      <c r="CO44" s="253" t="s">
        <v>429</v>
      </c>
      <c r="CP44" s="253" t="s">
        <v>406</v>
      </c>
      <c r="CQ44" s="254">
        <v>0.73299999999999998</v>
      </c>
      <c r="CR44" s="254">
        <v>5.4799999999999996E-3</v>
      </c>
      <c r="CS44" s="253">
        <v>133.83000000000001</v>
      </c>
      <c r="CT44" s="253" t="s">
        <v>387</v>
      </c>
      <c r="CU44" s="254">
        <v>2E-16</v>
      </c>
      <c r="CV44" s="81" t="s">
        <v>388</v>
      </c>
      <c r="CW44" s="255" t="s">
        <v>460</v>
      </c>
      <c r="CX44" s="261" t="s">
        <v>482</v>
      </c>
      <c r="CY44" s="256" t="s">
        <v>321</v>
      </c>
      <c r="CZ44" s="257">
        <f>CQ69</f>
        <v>2.4900000000000001E-12</v>
      </c>
      <c r="DA44" s="255" t="s">
        <v>320</v>
      </c>
    </row>
    <row r="45" spans="1:105" ht="15" customHeight="1" thickTop="1" thickBot="1" x14ac:dyDescent="0.3">
      <c r="A45" s="81" t="s">
        <v>286</v>
      </c>
      <c r="C45" s="81">
        <f>0.8</f>
        <v>0.8</v>
      </c>
      <c r="E45" s="79"/>
      <c r="K45" s="81"/>
      <c r="L45" s="81"/>
      <c r="M45" s="81"/>
      <c r="P45" s="81"/>
      <c r="Q45" s="81"/>
      <c r="W45" s="182"/>
      <c r="X45" s="183" t="s">
        <v>129</v>
      </c>
      <c r="Y45" s="183">
        <v>0.08</v>
      </c>
      <c r="Z45" s="183">
        <v>0.6</v>
      </c>
      <c r="AA45" s="183">
        <v>1100</v>
      </c>
      <c r="AB45" s="183">
        <v>860</v>
      </c>
      <c r="AC45" s="233">
        <f>Y45/Z45</f>
        <v>0.13333333333333333</v>
      </c>
      <c r="AD45" s="184">
        <f>Y45*AA45*AB45</f>
        <v>75680</v>
      </c>
      <c r="AE45" s="14"/>
      <c r="AF45" s="14"/>
      <c r="AG45" s="14"/>
      <c r="AL45" s="159" t="s">
        <v>317</v>
      </c>
      <c r="AM45" s="81" t="s">
        <v>318</v>
      </c>
      <c r="AN45" s="81" t="s">
        <v>362</v>
      </c>
      <c r="AO45" s="81">
        <f>T26/2</f>
        <v>24347742</v>
      </c>
      <c r="AP45" s="81" t="s">
        <v>320</v>
      </c>
      <c r="AQ45" s="81" t="s">
        <v>363</v>
      </c>
      <c r="AU45" s="168" t="s">
        <v>317</v>
      </c>
      <c r="AV45" s="168" t="s">
        <v>318</v>
      </c>
      <c r="AW45" s="168" t="s">
        <v>362</v>
      </c>
      <c r="AX45" s="169" t="s">
        <v>321</v>
      </c>
      <c r="AY45" s="162">
        <f t="shared" si="41"/>
        <v>24347742</v>
      </c>
      <c r="AZ45" s="168" t="s">
        <v>320</v>
      </c>
      <c r="BL45" s="168" t="s">
        <v>317</v>
      </c>
      <c r="BM45" s="168" t="s">
        <v>318</v>
      </c>
      <c r="BN45" s="168" t="s">
        <v>362</v>
      </c>
      <c r="BO45" s="169" t="s">
        <v>321</v>
      </c>
      <c r="BP45" s="162">
        <f>BD85</f>
        <v>6990000</v>
      </c>
      <c r="BQ45" s="168" t="s">
        <v>320</v>
      </c>
      <c r="BZ45" s="174" t="s">
        <v>317</v>
      </c>
      <c r="CA45" s="174" t="s">
        <v>318</v>
      </c>
      <c r="CB45" s="174" t="s">
        <v>362</v>
      </c>
      <c r="CC45" s="174" t="s">
        <v>321</v>
      </c>
      <c r="CD45" s="173">
        <f>BT89</f>
        <v>42200000</v>
      </c>
      <c r="CE45" s="174" t="s">
        <v>320</v>
      </c>
      <c r="CI45" s="81" t="s">
        <v>364</v>
      </c>
      <c r="CJ45" s="249">
        <f t="shared" si="0"/>
        <v>8.7988938104675521E-2</v>
      </c>
      <c r="CK45" s="249">
        <f t="shared" si="13"/>
        <v>1.9E-2</v>
      </c>
      <c r="CL45" s="249">
        <f t="shared" si="2"/>
        <v>5.0099999999999999E-2</v>
      </c>
      <c r="CO45" s="253" t="s">
        <v>429</v>
      </c>
      <c r="CP45" s="253" t="s">
        <v>407</v>
      </c>
      <c r="CQ45" s="254">
        <v>6.1400000000000003E-2</v>
      </c>
      <c r="CR45" s="254">
        <v>3.2400000000000001E-4</v>
      </c>
      <c r="CS45" s="253">
        <v>189.39</v>
      </c>
      <c r="CT45" s="253" t="s">
        <v>387</v>
      </c>
      <c r="CU45" s="254">
        <v>2E-16</v>
      </c>
      <c r="CV45" s="81" t="s">
        <v>388</v>
      </c>
      <c r="CW45" s="255" t="s">
        <v>460</v>
      </c>
      <c r="CX45" s="261" t="s">
        <v>483</v>
      </c>
      <c r="CY45" s="256" t="s">
        <v>321</v>
      </c>
      <c r="CZ45" s="257">
        <f t="shared" ref="CZ45:CZ59" si="42">CQ70</f>
        <v>1.6E-11</v>
      </c>
      <c r="DA45" s="255" t="s">
        <v>320</v>
      </c>
    </row>
    <row r="46" spans="1:105" ht="15" customHeight="1" thickTop="1" thickBot="1" x14ac:dyDescent="0.3">
      <c r="K46" s="81"/>
      <c r="L46" s="81"/>
      <c r="M46" s="81"/>
      <c r="P46" s="81"/>
      <c r="Q46" s="81"/>
      <c r="W46" s="182"/>
      <c r="X46" s="183" t="s">
        <v>283</v>
      </c>
      <c r="Y46" s="286">
        <v>0.125</v>
      </c>
      <c r="Z46" s="183">
        <v>2.4E-2</v>
      </c>
      <c r="AA46" s="183">
        <v>30</v>
      </c>
      <c r="AB46" s="183">
        <v>1470</v>
      </c>
      <c r="AC46" s="233">
        <f>Y46/Z46</f>
        <v>5.208333333333333</v>
      </c>
      <c r="AD46" s="184">
        <f>Y46*AA46*AB46</f>
        <v>5512.5</v>
      </c>
      <c r="AE46" s="149" t="s">
        <v>284</v>
      </c>
      <c r="AF46" s="14"/>
      <c r="AG46" s="14"/>
      <c r="AL46" s="159" t="s">
        <v>317</v>
      </c>
      <c r="AM46" s="81" t="s">
        <v>318</v>
      </c>
      <c r="AN46" s="81" t="s">
        <v>364</v>
      </c>
      <c r="AO46" s="81">
        <f>AO42*0.3</f>
        <v>8.7988938104675521E-2</v>
      </c>
      <c r="AP46" s="81" t="s">
        <v>320</v>
      </c>
      <c r="AQ46" s="81" t="s">
        <v>365</v>
      </c>
      <c r="AU46" s="168" t="s">
        <v>317</v>
      </c>
      <c r="AV46" s="168" t="s">
        <v>318</v>
      </c>
      <c r="AW46" s="168" t="s">
        <v>364</v>
      </c>
      <c r="AX46" s="169" t="s">
        <v>321</v>
      </c>
      <c r="AY46" s="162">
        <f t="shared" si="41"/>
        <v>8.7988938104675521E-2</v>
      </c>
      <c r="AZ46" s="168" t="s">
        <v>320</v>
      </c>
      <c r="BC46" s="81" t="s">
        <v>380</v>
      </c>
      <c r="BD46" s="81" t="s">
        <v>381</v>
      </c>
      <c r="BE46" s="81" t="s">
        <v>382</v>
      </c>
      <c r="BF46" s="81" t="s">
        <v>383</v>
      </c>
      <c r="BG46" s="81" t="s">
        <v>384</v>
      </c>
      <c r="BH46" s="81" t="s">
        <v>385</v>
      </c>
      <c r="BL46" s="168" t="s">
        <v>317</v>
      </c>
      <c r="BM46" s="168" t="s">
        <v>318</v>
      </c>
      <c r="BN46" s="168" t="s">
        <v>364</v>
      </c>
      <c r="BO46" s="169" t="s">
        <v>321</v>
      </c>
      <c r="BP46" s="162">
        <f>BD30</f>
        <v>1.9E-2</v>
      </c>
      <c r="BQ46" s="168" t="s">
        <v>320</v>
      </c>
      <c r="BS46" s="81" t="s">
        <v>420</v>
      </c>
      <c r="BT46" s="81" t="s">
        <v>421</v>
      </c>
      <c r="BZ46" s="174" t="s">
        <v>317</v>
      </c>
      <c r="CA46" s="174" t="s">
        <v>318</v>
      </c>
      <c r="CB46" s="174" t="s">
        <v>364</v>
      </c>
      <c r="CC46" s="174" t="s">
        <v>321</v>
      </c>
      <c r="CD46" s="173">
        <f>BT30</f>
        <v>5.0099999999999999E-2</v>
      </c>
      <c r="CE46" s="174" t="s">
        <v>320</v>
      </c>
      <c r="CI46" s="81" t="s">
        <v>366</v>
      </c>
      <c r="CJ46" s="249">
        <f t="shared" si="0"/>
        <v>8.3554276303833358E-2</v>
      </c>
      <c r="CK46" s="249">
        <f t="shared" si="13"/>
        <v>0.184</v>
      </c>
      <c r="CL46" s="249">
        <f t="shared" si="2"/>
        <v>6.6400000000000002E-9</v>
      </c>
      <c r="CO46" s="253" t="s">
        <v>429</v>
      </c>
      <c r="CP46" s="253" t="s">
        <v>408</v>
      </c>
      <c r="CQ46" s="254">
        <v>5.0099999999999999E-2</v>
      </c>
      <c r="CR46" s="254">
        <v>2.4699999999999999E-4</v>
      </c>
      <c r="CS46" s="253">
        <v>202.31</v>
      </c>
      <c r="CT46" s="253" t="s">
        <v>387</v>
      </c>
      <c r="CU46" s="254">
        <v>2E-16</v>
      </c>
      <c r="CV46" s="81" t="s">
        <v>388</v>
      </c>
      <c r="CW46" s="255" t="s">
        <v>460</v>
      </c>
      <c r="CX46" s="261" t="s">
        <v>484</v>
      </c>
      <c r="CY46" s="256" t="s">
        <v>321</v>
      </c>
      <c r="CZ46" s="257">
        <f t="shared" si="42"/>
        <v>0.251</v>
      </c>
      <c r="DA46" s="255" t="s">
        <v>320</v>
      </c>
    </row>
    <row r="47" spans="1:105" ht="15" customHeight="1" thickTop="1" thickBot="1" x14ac:dyDescent="0.3">
      <c r="B47" s="153"/>
      <c r="K47" s="81"/>
      <c r="L47" s="81"/>
      <c r="M47" s="81"/>
      <c r="P47" s="81"/>
      <c r="Q47" s="81"/>
      <c r="W47" s="182"/>
      <c r="X47" s="183" t="s">
        <v>131</v>
      </c>
      <c r="Y47" s="183">
        <v>0.15</v>
      </c>
      <c r="Z47" s="183">
        <v>1.4</v>
      </c>
      <c r="AA47" s="183">
        <v>2100</v>
      </c>
      <c r="AB47" s="183">
        <v>840</v>
      </c>
      <c r="AC47" s="233">
        <f>Y47/Z47</f>
        <v>0.10714285714285715</v>
      </c>
      <c r="AD47" s="184">
        <f>Y47*AA47*AB47</f>
        <v>264600</v>
      </c>
      <c r="AE47" s="14"/>
      <c r="AF47" s="14"/>
      <c r="AG47" s="14"/>
      <c r="AL47" s="159" t="s">
        <v>317</v>
      </c>
      <c r="AM47" s="81" t="s">
        <v>318</v>
      </c>
      <c r="AN47" s="81" t="s">
        <v>366</v>
      </c>
      <c r="AO47" s="81">
        <f>AO43*0.3</f>
        <v>8.3554276303833358E-2</v>
      </c>
      <c r="AP47" s="81" t="s">
        <v>320</v>
      </c>
      <c r="AQ47" s="81" t="s">
        <v>367</v>
      </c>
      <c r="AU47" s="168" t="s">
        <v>317</v>
      </c>
      <c r="AV47" s="168" t="s">
        <v>318</v>
      </c>
      <c r="AW47" s="168" t="s">
        <v>366</v>
      </c>
      <c r="AX47" s="169" t="s">
        <v>321</v>
      </c>
      <c r="AY47" s="162">
        <f t="shared" si="41"/>
        <v>8.3554276303833358E-2</v>
      </c>
      <c r="AZ47" s="168" t="s">
        <v>320</v>
      </c>
      <c r="BC47" s="81" t="s">
        <v>386</v>
      </c>
      <c r="BD47" s="167">
        <v>288</v>
      </c>
      <c r="BE47" s="167">
        <v>2.2799999999999998</v>
      </c>
      <c r="BF47" s="81">
        <v>126.5</v>
      </c>
      <c r="BG47" s="81" t="s">
        <v>387</v>
      </c>
      <c r="BH47" s="167">
        <v>2E-16</v>
      </c>
      <c r="BI47" s="81" t="s">
        <v>388</v>
      </c>
      <c r="BL47" s="168" t="s">
        <v>317</v>
      </c>
      <c r="BM47" s="168" t="s">
        <v>318</v>
      </c>
      <c r="BN47" s="168" t="s">
        <v>366</v>
      </c>
      <c r="BO47" s="169" t="s">
        <v>321</v>
      </c>
      <c r="BP47" s="162">
        <f>BD66</f>
        <v>0.184</v>
      </c>
      <c r="BQ47" s="168" t="s">
        <v>320</v>
      </c>
      <c r="BS47" s="81" t="s">
        <v>379</v>
      </c>
      <c r="BZ47" s="174" t="s">
        <v>317</v>
      </c>
      <c r="CA47" s="174" t="s">
        <v>318</v>
      </c>
      <c r="CB47" s="174" t="s">
        <v>366</v>
      </c>
      <c r="CC47" s="174" t="s">
        <v>321</v>
      </c>
      <c r="CD47" s="173">
        <f>BT68</f>
        <v>6.6400000000000002E-9</v>
      </c>
      <c r="CE47" s="174" t="s">
        <v>320</v>
      </c>
      <c r="CI47" s="81" t="s">
        <v>368</v>
      </c>
      <c r="CJ47" s="252">
        <f t="shared" si="0"/>
        <v>251.03999999999996</v>
      </c>
      <c r="CK47" s="252">
        <f t="shared" si="13"/>
        <v>476</v>
      </c>
      <c r="CL47" s="252">
        <f t="shared" si="2"/>
        <v>246</v>
      </c>
      <c r="CO47" s="253" t="s">
        <v>429</v>
      </c>
      <c r="CP47" s="253" t="s">
        <v>409</v>
      </c>
      <c r="CQ47" s="254">
        <v>381</v>
      </c>
      <c r="CR47" s="254">
        <v>2.57</v>
      </c>
      <c r="CS47" s="253">
        <v>148.35</v>
      </c>
      <c r="CT47" s="253" t="s">
        <v>387</v>
      </c>
      <c r="CU47" s="254">
        <v>2E-16</v>
      </c>
      <c r="CV47" s="81" t="s">
        <v>388</v>
      </c>
      <c r="CW47" s="255" t="s">
        <v>460</v>
      </c>
      <c r="CX47" s="261" t="s">
        <v>485</v>
      </c>
      <c r="CY47" s="256" t="s">
        <v>321</v>
      </c>
      <c r="CZ47" s="257">
        <f t="shared" si="42"/>
        <v>0.91700000000000004</v>
      </c>
      <c r="DA47" s="255" t="s">
        <v>320</v>
      </c>
    </row>
    <row r="48" spans="1:105" ht="15" customHeight="1" thickTop="1" thickBot="1" x14ac:dyDescent="0.3">
      <c r="B48" s="153"/>
      <c r="K48" s="81"/>
      <c r="L48" s="81"/>
      <c r="M48" s="81"/>
      <c r="P48" s="81"/>
      <c r="Q48" s="81"/>
      <c r="W48" s="199"/>
      <c r="X48" s="181" t="s">
        <v>132</v>
      </c>
      <c r="Y48" s="181">
        <v>0</v>
      </c>
      <c r="Z48" s="181">
        <v>0.02</v>
      </c>
      <c r="AA48" s="181">
        <v>30</v>
      </c>
      <c r="AB48" s="181">
        <v>1470</v>
      </c>
      <c r="AC48" s="234">
        <f>Y48/Z48</f>
        <v>0</v>
      </c>
      <c r="AD48" s="204">
        <f>Y48*AA48*AB48</f>
        <v>0</v>
      </c>
      <c r="AE48" s="14"/>
      <c r="AF48" s="14"/>
      <c r="AG48" s="14"/>
      <c r="AL48" s="159" t="s">
        <v>317</v>
      </c>
      <c r="AM48" s="81" t="s">
        <v>318</v>
      </c>
      <c r="AN48" s="81" t="s">
        <v>368</v>
      </c>
      <c r="AO48" s="81">
        <f>Z27*4*N26</f>
        <v>251.03999999999996</v>
      </c>
      <c r="AP48" s="81" t="s">
        <v>320</v>
      </c>
      <c r="AQ48" s="81" t="s">
        <v>369</v>
      </c>
      <c r="AU48" s="168" t="s">
        <v>317</v>
      </c>
      <c r="AV48" s="168" t="s">
        <v>318</v>
      </c>
      <c r="AW48" s="168" t="s">
        <v>368</v>
      </c>
      <c r="AX48" s="169" t="s">
        <v>321</v>
      </c>
      <c r="AY48" s="162">
        <f t="shared" si="41"/>
        <v>251.03999999999996</v>
      </c>
      <c r="AZ48" s="168" t="s">
        <v>320</v>
      </c>
      <c r="BC48" s="81" t="s">
        <v>389</v>
      </c>
      <c r="BD48" s="167">
        <v>287</v>
      </c>
      <c r="BE48" s="167">
        <v>1.8</v>
      </c>
      <c r="BF48" s="81">
        <v>159.38999999999999</v>
      </c>
      <c r="BG48" s="81" t="s">
        <v>387</v>
      </c>
      <c r="BH48" s="167">
        <v>2E-16</v>
      </c>
      <c r="BI48" s="81" t="s">
        <v>388</v>
      </c>
      <c r="BL48" s="168" t="s">
        <v>317</v>
      </c>
      <c r="BM48" s="168" t="s">
        <v>318</v>
      </c>
      <c r="BN48" s="168" t="s">
        <v>368</v>
      </c>
      <c r="BO48" s="169" t="s">
        <v>321</v>
      </c>
      <c r="BP48" s="162">
        <f>BD92</f>
        <v>476</v>
      </c>
      <c r="BQ48" s="168" t="s">
        <v>320</v>
      </c>
      <c r="BS48" s="81" t="s">
        <v>380</v>
      </c>
      <c r="BT48" s="81" t="s">
        <v>381</v>
      </c>
      <c r="BU48" s="81" t="s">
        <v>382</v>
      </c>
      <c r="BV48" s="81" t="s">
        <v>383</v>
      </c>
      <c r="BW48" s="81" t="s">
        <v>384</v>
      </c>
      <c r="BX48" s="81" t="s">
        <v>385</v>
      </c>
      <c r="BZ48" s="174" t="s">
        <v>317</v>
      </c>
      <c r="CA48" s="174" t="s">
        <v>318</v>
      </c>
      <c r="CB48" s="174" t="s">
        <v>368</v>
      </c>
      <c r="CC48" s="174" t="s">
        <v>321</v>
      </c>
      <c r="CD48" s="173">
        <f>BT94</f>
        <v>246</v>
      </c>
      <c r="CE48" s="174" t="s">
        <v>320</v>
      </c>
      <c r="CI48" s="81" t="s">
        <v>370</v>
      </c>
      <c r="CJ48" s="252">
        <f t="shared" si="0"/>
        <v>125.51999999999998</v>
      </c>
      <c r="CK48" s="252">
        <f t="shared" si="13"/>
        <v>3410</v>
      </c>
      <c r="CL48" s="252">
        <f t="shared" si="2"/>
        <v>3.7399999999999998E-4</v>
      </c>
      <c r="CO48" s="253" t="s">
        <v>429</v>
      </c>
      <c r="CP48" s="253" t="s">
        <v>410</v>
      </c>
      <c r="CQ48" s="254">
        <v>174</v>
      </c>
      <c r="CR48" s="254">
        <v>1.1399999999999999</v>
      </c>
      <c r="CS48" s="253">
        <v>152.13</v>
      </c>
      <c r="CT48" s="253" t="s">
        <v>387</v>
      </c>
      <c r="CU48" s="254">
        <v>2E-16</v>
      </c>
      <c r="CV48" s="81" t="s">
        <v>388</v>
      </c>
      <c r="CW48" s="255" t="s">
        <v>460</v>
      </c>
      <c r="CX48" s="261" t="s">
        <v>486</v>
      </c>
      <c r="CY48" s="256" t="s">
        <v>321</v>
      </c>
      <c r="CZ48" s="257">
        <f t="shared" si="42"/>
        <v>0.41599999999999998</v>
      </c>
      <c r="DA48" s="255" t="s">
        <v>320</v>
      </c>
    </row>
    <row r="49" spans="2:105" ht="15" customHeight="1" thickTop="1" thickBot="1" x14ac:dyDescent="0.3">
      <c r="B49" s="153"/>
      <c r="K49" s="81"/>
      <c r="L49" s="81"/>
      <c r="M49" s="81"/>
      <c r="P49" s="81"/>
      <c r="Q49" s="81"/>
      <c r="W49" s="183"/>
      <c r="X49" s="183"/>
      <c r="Y49" s="183"/>
      <c r="Z49" s="183"/>
      <c r="AA49" s="183"/>
      <c r="AB49" s="183"/>
      <c r="AC49" s="233"/>
      <c r="AD49" s="183"/>
      <c r="AE49" s="14"/>
      <c r="AF49" s="14"/>
      <c r="AG49" s="14"/>
      <c r="AL49" s="159" t="s">
        <v>317</v>
      </c>
      <c r="AM49" s="81" t="s">
        <v>318</v>
      </c>
      <c r="AN49" s="81" t="s">
        <v>370</v>
      </c>
      <c r="AO49" s="81">
        <f>AO50/2</f>
        <v>125.51999999999998</v>
      </c>
      <c r="AP49" s="81" t="s">
        <v>320</v>
      </c>
      <c r="AQ49" s="81" t="s">
        <v>371</v>
      </c>
      <c r="AU49" s="168" t="s">
        <v>317</v>
      </c>
      <c r="AV49" s="168" t="s">
        <v>318</v>
      </c>
      <c r="AW49" s="168" t="s">
        <v>370</v>
      </c>
      <c r="AX49" s="169" t="s">
        <v>321</v>
      </c>
      <c r="AY49" s="162">
        <f t="shared" si="41"/>
        <v>125.51999999999998</v>
      </c>
      <c r="AZ49" s="168" t="s">
        <v>320</v>
      </c>
      <c r="BC49" s="81" t="s">
        <v>390</v>
      </c>
      <c r="BD49" s="167">
        <v>288</v>
      </c>
      <c r="BE49" s="167">
        <v>6.47</v>
      </c>
      <c r="BF49" s="81">
        <v>44.51</v>
      </c>
      <c r="BG49" s="81" t="s">
        <v>387</v>
      </c>
      <c r="BH49" s="167">
        <v>2E-16</v>
      </c>
      <c r="BI49" s="81" t="s">
        <v>388</v>
      </c>
      <c r="BL49" s="168" t="s">
        <v>317</v>
      </c>
      <c r="BM49" s="168" t="s">
        <v>318</v>
      </c>
      <c r="BN49" s="168" t="s">
        <v>370</v>
      </c>
      <c r="BO49" s="169" t="s">
        <v>321</v>
      </c>
      <c r="BP49" s="162">
        <f>BD93</f>
        <v>3410</v>
      </c>
      <c r="BQ49" s="168" t="s">
        <v>320</v>
      </c>
      <c r="BS49" s="81" t="s">
        <v>386</v>
      </c>
      <c r="BT49" s="167">
        <v>289</v>
      </c>
      <c r="BU49" s="167">
        <v>0.24299999999999999</v>
      </c>
      <c r="BV49" s="81">
        <v>1187.77</v>
      </c>
      <c r="BW49" s="81" t="s">
        <v>387</v>
      </c>
      <c r="BX49" s="167">
        <v>2E-16</v>
      </c>
      <c r="BY49" s="81" t="s">
        <v>388</v>
      </c>
      <c r="BZ49" s="174" t="s">
        <v>317</v>
      </c>
      <c r="CA49" s="174" t="s">
        <v>318</v>
      </c>
      <c r="CB49" s="174" t="s">
        <v>370</v>
      </c>
      <c r="CC49" s="174" t="s">
        <v>321</v>
      </c>
      <c r="CD49" s="173">
        <f t="shared" ref="CD49:CD50" si="43">BT95</f>
        <v>3.7399999999999998E-4</v>
      </c>
      <c r="CE49" s="174" t="s">
        <v>320</v>
      </c>
      <c r="CI49" s="81" t="s">
        <v>372</v>
      </c>
      <c r="CJ49" s="252">
        <f t="shared" si="0"/>
        <v>251.03999999999996</v>
      </c>
      <c r="CK49" s="252">
        <f t="shared" si="13"/>
        <v>989</v>
      </c>
      <c r="CL49" s="252">
        <f t="shared" si="2"/>
        <v>308</v>
      </c>
      <c r="CO49" s="253" t="s">
        <v>429</v>
      </c>
      <c r="CP49" s="253" t="s">
        <v>293</v>
      </c>
      <c r="CQ49" s="254">
        <v>516</v>
      </c>
      <c r="CR49" s="254">
        <v>3.29</v>
      </c>
      <c r="CS49" s="253">
        <v>156.82</v>
      </c>
      <c r="CT49" s="253" t="s">
        <v>387</v>
      </c>
      <c r="CU49" s="254">
        <v>2E-16</v>
      </c>
      <c r="CV49" s="81" t="s">
        <v>388</v>
      </c>
      <c r="CW49" s="255" t="s">
        <v>460</v>
      </c>
      <c r="CX49" s="261" t="s">
        <v>487</v>
      </c>
      <c r="CY49" s="256" t="s">
        <v>321</v>
      </c>
      <c r="CZ49" s="257">
        <f t="shared" si="42"/>
        <v>0.56999999999999995</v>
      </c>
      <c r="DA49" s="255" t="s">
        <v>320</v>
      </c>
    </row>
    <row r="50" spans="2:105" ht="15" customHeight="1" thickTop="1" thickBot="1" x14ac:dyDescent="0.3">
      <c r="K50" s="81"/>
      <c r="L50" s="81"/>
      <c r="M50" s="81"/>
      <c r="P50" s="81"/>
      <c r="Q50" s="81"/>
      <c r="W50" s="223"/>
      <c r="X50" s="223"/>
      <c r="Y50" s="239" t="s">
        <v>436</v>
      </c>
      <c r="Z50" s="239">
        <v>4</v>
      </c>
      <c r="AA50" s="239" t="s">
        <v>5</v>
      </c>
      <c r="AB50" s="223"/>
      <c r="AC50" s="223"/>
      <c r="AD50" s="223"/>
      <c r="AE50" s="14"/>
      <c r="AF50" s="14"/>
      <c r="AG50" s="14"/>
      <c r="AL50" s="159" t="s">
        <v>317</v>
      </c>
      <c r="AM50" s="81" t="s">
        <v>318</v>
      </c>
      <c r="AN50" s="81" t="s">
        <v>372</v>
      </c>
      <c r="AO50" s="81">
        <f>AO48</f>
        <v>251.03999999999996</v>
      </c>
      <c r="AP50" s="81" t="s">
        <v>320</v>
      </c>
      <c r="AQ50" s="81" t="s">
        <v>373</v>
      </c>
      <c r="AU50" s="168" t="s">
        <v>317</v>
      </c>
      <c r="AV50" s="168" t="s">
        <v>318</v>
      </c>
      <c r="AW50" s="168" t="s">
        <v>372</v>
      </c>
      <c r="AX50" s="169" t="s">
        <v>321</v>
      </c>
      <c r="AY50" s="162">
        <f t="shared" si="41"/>
        <v>251.03999999999996</v>
      </c>
      <c r="AZ50" s="168" t="s">
        <v>320</v>
      </c>
      <c r="BC50" s="81" t="s">
        <v>391</v>
      </c>
      <c r="BD50" s="167">
        <v>292</v>
      </c>
      <c r="BE50" s="167">
        <v>2.2999999999999998</v>
      </c>
      <c r="BF50" s="81">
        <v>126.59</v>
      </c>
      <c r="BG50" s="81" t="s">
        <v>387</v>
      </c>
      <c r="BH50" s="167">
        <v>2E-16</v>
      </c>
      <c r="BI50" s="81" t="s">
        <v>388</v>
      </c>
      <c r="BL50" s="168" t="s">
        <v>317</v>
      </c>
      <c r="BM50" s="168" t="s">
        <v>318</v>
      </c>
      <c r="BN50" s="168" t="s">
        <v>372</v>
      </c>
      <c r="BO50" s="169" t="s">
        <v>321</v>
      </c>
      <c r="BP50" s="162">
        <f>BD94</f>
        <v>989</v>
      </c>
      <c r="BQ50" s="168" t="s">
        <v>320</v>
      </c>
      <c r="BS50" s="81" t="s">
        <v>389</v>
      </c>
      <c r="BT50" s="167">
        <v>284</v>
      </c>
      <c r="BU50" s="167">
        <v>0.40899999999999997</v>
      </c>
      <c r="BV50" s="81">
        <v>695.07</v>
      </c>
      <c r="BW50" s="81" t="s">
        <v>387</v>
      </c>
      <c r="BX50" s="167">
        <v>2E-16</v>
      </c>
      <c r="BY50" s="81" t="s">
        <v>388</v>
      </c>
      <c r="BZ50" s="174" t="s">
        <v>317</v>
      </c>
      <c r="CA50" s="174" t="s">
        <v>318</v>
      </c>
      <c r="CB50" s="174" t="s">
        <v>372</v>
      </c>
      <c r="CC50" s="174" t="s">
        <v>321</v>
      </c>
      <c r="CD50" s="173">
        <f t="shared" si="43"/>
        <v>308</v>
      </c>
      <c r="CE50" s="174" t="s">
        <v>320</v>
      </c>
      <c r="CO50" s="253" t="s">
        <v>429</v>
      </c>
      <c r="CP50" s="253" t="s">
        <v>120</v>
      </c>
      <c r="CQ50" s="254">
        <v>254</v>
      </c>
      <c r="CR50" s="254">
        <v>2.98</v>
      </c>
      <c r="CS50" s="253">
        <v>85.35</v>
      </c>
      <c r="CT50" s="253" t="s">
        <v>387</v>
      </c>
      <c r="CU50" s="254">
        <v>2E-16</v>
      </c>
      <c r="CV50" s="81" t="s">
        <v>388</v>
      </c>
      <c r="CW50" s="255" t="s">
        <v>460</v>
      </c>
      <c r="CX50" s="261" t="s">
        <v>488</v>
      </c>
      <c r="CY50" s="256" t="s">
        <v>321</v>
      </c>
      <c r="CZ50" s="257">
        <f t="shared" si="42"/>
        <v>0.32</v>
      </c>
      <c r="DA50" s="255" t="s">
        <v>320</v>
      </c>
    </row>
    <row r="51" spans="2:105" ht="15" customHeight="1" thickTop="1" thickBot="1" x14ac:dyDescent="0.3">
      <c r="K51" s="81"/>
      <c r="L51" s="81"/>
      <c r="M51" s="81"/>
      <c r="P51" s="81"/>
      <c r="Q51" s="81"/>
      <c r="W51" s="240" t="s">
        <v>68</v>
      </c>
      <c r="X51" s="241"/>
      <c r="Y51" s="242" t="s">
        <v>21</v>
      </c>
      <c r="Z51" s="243">
        <v>4</v>
      </c>
      <c r="AA51" s="241" t="s">
        <v>5</v>
      </c>
      <c r="AB51" s="241"/>
      <c r="AC51" s="241" t="s">
        <v>22</v>
      </c>
      <c r="AD51" s="244">
        <f>0.04*550*1660</f>
        <v>36520</v>
      </c>
      <c r="AE51" s="14" t="s">
        <v>23</v>
      </c>
      <c r="AF51" s="14">
        <f>SUM(AD53:AD54)</f>
        <v>0</v>
      </c>
      <c r="AG51" s="14"/>
      <c r="BC51" s="81" t="s">
        <v>393</v>
      </c>
      <c r="BD51" s="167">
        <v>0.01</v>
      </c>
      <c r="BE51" s="167">
        <v>1.0200000000000001E-3</v>
      </c>
      <c r="BF51" s="81">
        <v>9.8000000000000007</v>
      </c>
      <c r="BG51" s="81" t="s">
        <v>387</v>
      </c>
      <c r="BH51" s="167">
        <v>2E-16</v>
      </c>
      <c r="BI51" s="81" t="s">
        <v>388</v>
      </c>
      <c r="BL51" s="161"/>
      <c r="BM51" s="161"/>
      <c r="BN51" s="161"/>
      <c r="BO51" s="161"/>
      <c r="BP51" s="162"/>
      <c r="BQ51" s="161"/>
      <c r="BS51" s="81" t="s">
        <v>390</v>
      </c>
      <c r="BT51" s="167">
        <v>290</v>
      </c>
      <c r="BU51" s="167">
        <v>8.72E-2</v>
      </c>
      <c r="BV51" s="81">
        <v>3328.46</v>
      </c>
      <c r="BW51" s="81" t="s">
        <v>387</v>
      </c>
      <c r="BX51" s="167">
        <v>2E-16</v>
      </c>
      <c r="BY51" s="81" t="s">
        <v>388</v>
      </c>
      <c r="CD51" s="173"/>
      <c r="CO51" s="253" t="s">
        <v>429</v>
      </c>
      <c r="CP51" s="253" t="s">
        <v>411</v>
      </c>
      <c r="CQ51" s="254">
        <v>-5.16</v>
      </c>
      <c r="CR51" s="254">
        <v>2.1899999999999999E-2</v>
      </c>
      <c r="CS51" s="253">
        <v>-235.07</v>
      </c>
      <c r="CT51" s="253" t="s">
        <v>387</v>
      </c>
      <c r="CU51" s="254">
        <v>2E-16</v>
      </c>
      <c r="CV51" s="81" t="s">
        <v>388</v>
      </c>
      <c r="CW51" s="255" t="s">
        <v>460</v>
      </c>
      <c r="CX51" s="261" t="s">
        <v>489</v>
      </c>
      <c r="CY51" s="256" t="s">
        <v>321</v>
      </c>
      <c r="CZ51" s="257">
        <f t="shared" si="42"/>
        <v>3.6400000000000002E-2</v>
      </c>
      <c r="DA51" s="255" t="s">
        <v>320</v>
      </c>
    </row>
    <row r="52" spans="2:105" thickTop="1" thickBot="1" x14ac:dyDescent="0.3">
      <c r="W52" s="245"/>
      <c r="X52" s="246" t="s">
        <v>16</v>
      </c>
      <c r="Y52" s="246">
        <v>4</v>
      </c>
      <c r="Z52" s="246" t="s">
        <v>5</v>
      </c>
      <c r="AA52" s="246"/>
      <c r="AB52" s="246" t="s">
        <v>311</v>
      </c>
      <c r="AC52" s="246">
        <f>0.11*(1/Z51-1/23-1/8)</f>
        <v>8.9673913043478264E-3</v>
      </c>
      <c r="AD52" s="247"/>
      <c r="AE52" s="14"/>
      <c r="AF52" s="14"/>
      <c r="AG52" s="14"/>
      <c r="BC52" s="81" t="s">
        <v>394</v>
      </c>
      <c r="BD52" s="167">
        <v>1.0200000000000001E-2</v>
      </c>
      <c r="BE52" s="167">
        <v>1.07E-3</v>
      </c>
      <c r="BF52" s="81">
        <v>9.57</v>
      </c>
      <c r="BG52" s="81" t="s">
        <v>387</v>
      </c>
      <c r="BH52" s="167">
        <v>2E-16</v>
      </c>
      <c r="BI52" s="81" t="s">
        <v>388</v>
      </c>
      <c r="BS52" s="81" t="s">
        <v>391</v>
      </c>
      <c r="BT52" s="167">
        <v>291</v>
      </c>
      <c r="BU52" s="167">
        <v>9.8900000000000002E-2</v>
      </c>
      <c r="BV52" s="81">
        <v>2945.6</v>
      </c>
      <c r="BW52" s="81" t="s">
        <v>387</v>
      </c>
      <c r="BX52" s="167">
        <v>2E-16</v>
      </c>
      <c r="BY52" s="81" t="s">
        <v>388</v>
      </c>
      <c r="CO52" s="253" t="s">
        <v>429</v>
      </c>
      <c r="CP52" s="253" t="s">
        <v>412</v>
      </c>
      <c r="CQ52" s="254">
        <v>-6.29</v>
      </c>
      <c r="CR52" s="254">
        <v>2.35E-2</v>
      </c>
      <c r="CS52" s="253">
        <v>-267.63</v>
      </c>
      <c r="CT52" s="253" t="s">
        <v>387</v>
      </c>
      <c r="CU52" s="254">
        <v>2E-16</v>
      </c>
      <c r="CV52" s="81" t="s">
        <v>388</v>
      </c>
      <c r="CW52" s="255" t="s">
        <v>460</v>
      </c>
      <c r="CX52" s="261" t="s">
        <v>490</v>
      </c>
      <c r="CY52" s="256" t="s">
        <v>321</v>
      </c>
      <c r="CZ52" s="257">
        <f t="shared" si="42"/>
        <v>7.1600000000000001E-6</v>
      </c>
      <c r="DA52" s="255" t="s">
        <v>320</v>
      </c>
    </row>
    <row r="53" spans="2:105" thickTop="1" thickBot="1" x14ac:dyDescent="0.3">
      <c r="BC53" s="81" t="s">
        <v>395</v>
      </c>
      <c r="BD53" s="167">
        <v>0.69799999999999995</v>
      </c>
      <c r="BE53" s="167">
        <v>0.156</v>
      </c>
      <c r="BF53" s="81">
        <v>4.47</v>
      </c>
      <c r="BG53" s="167">
        <v>8.1000000000000004E-6</v>
      </c>
      <c r="BH53" s="81" t="s">
        <v>388</v>
      </c>
      <c r="BS53" s="81" t="s">
        <v>393</v>
      </c>
      <c r="BT53" s="167">
        <v>0.27400000000000002</v>
      </c>
      <c r="BU53" s="167">
        <v>1.72E-2</v>
      </c>
      <c r="BV53" s="81">
        <v>15.95</v>
      </c>
      <c r="BW53" s="81" t="s">
        <v>387</v>
      </c>
      <c r="BX53" s="167">
        <v>2E-16</v>
      </c>
      <c r="BY53" s="81" t="s">
        <v>388</v>
      </c>
      <c r="CO53" s="253" t="s">
        <v>429</v>
      </c>
      <c r="CP53" s="253" t="s">
        <v>413</v>
      </c>
      <c r="CQ53" s="254">
        <v>-6.63</v>
      </c>
      <c r="CR53" s="254">
        <v>4.0300000000000002E-2</v>
      </c>
      <c r="CS53" s="253">
        <v>-164.68</v>
      </c>
      <c r="CT53" s="253" t="s">
        <v>387</v>
      </c>
      <c r="CU53" s="254">
        <v>2E-16</v>
      </c>
      <c r="CV53" s="81" t="s">
        <v>388</v>
      </c>
      <c r="CW53" s="255" t="s">
        <v>460</v>
      </c>
      <c r="CX53" s="261" t="s">
        <v>491</v>
      </c>
      <c r="CY53" s="256" t="s">
        <v>321</v>
      </c>
      <c r="CZ53" s="257">
        <f t="shared" si="42"/>
        <v>5.7599999999999998E-10</v>
      </c>
      <c r="DA53" s="255" t="s">
        <v>320</v>
      </c>
    </row>
    <row r="54" spans="2:105" thickTop="1" thickBot="1" x14ac:dyDescent="0.3">
      <c r="AN54" s="170" t="s">
        <v>374</v>
      </c>
      <c r="AO54" s="170">
        <f>SUM(AO42,AO4:AO7)</f>
        <v>1</v>
      </c>
      <c r="AP54" s="170"/>
      <c r="BC54" s="81" t="s">
        <v>396</v>
      </c>
      <c r="BD54" s="167">
        <v>9.7500000000000003E-2</v>
      </c>
      <c r="BE54" s="167">
        <v>9.8200000000000006E-3</v>
      </c>
      <c r="BF54" s="81">
        <v>9.93</v>
      </c>
      <c r="BG54" s="81" t="s">
        <v>387</v>
      </c>
      <c r="BH54" s="167">
        <v>2E-16</v>
      </c>
      <c r="BI54" s="81" t="s">
        <v>388</v>
      </c>
      <c r="BS54" s="81" t="s">
        <v>394</v>
      </c>
      <c r="BT54" s="167">
        <v>0.22700000000000001</v>
      </c>
      <c r="BU54" s="167">
        <v>4.6899999999999997E-3</v>
      </c>
      <c r="BV54" s="81">
        <v>48.5</v>
      </c>
      <c r="BW54" s="81" t="s">
        <v>387</v>
      </c>
      <c r="BX54" s="167">
        <v>2E-16</v>
      </c>
      <c r="BY54" s="81" t="s">
        <v>388</v>
      </c>
      <c r="CO54" s="253" t="s">
        <v>429</v>
      </c>
      <c r="CP54" s="253" t="s">
        <v>414</v>
      </c>
      <c r="CQ54" s="254">
        <v>-6.31</v>
      </c>
      <c r="CR54" s="254">
        <v>2.5399999999999999E-2</v>
      </c>
      <c r="CS54" s="253">
        <v>-248.63</v>
      </c>
      <c r="CT54" s="253" t="s">
        <v>387</v>
      </c>
      <c r="CU54" s="254">
        <v>2E-16</v>
      </c>
      <c r="CV54" s="81" t="s">
        <v>388</v>
      </c>
      <c r="CW54" s="255" t="s">
        <v>460</v>
      </c>
      <c r="CX54" s="261" t="s">
        <v>492</v>
      </c>
      <c r="CY54" s="256" t="s">
        <v>321</v>
      </c>
      <c r="CZ54" s="257">
        <f t="shared" si="42"/>
        <v>1.2099999999999999E-5</v>
      </c>
      <c r="DA54" s="255" t="s">
        <v>320</v>
      </c>
    </row>
    <row r="55" spans="2:105" thickTop="1" thickBot="1" x14ac:dyDescent="0.3">
      <c r="W55" s="271" t="s">
        <v>510</v>
      </c>
      <c r="X55" s="272"/>
      <c r="Y55" s="273" t="s">
        <v>21</v>
      </c>
      <c r="Z55" s="274">
        <f>(1/(1/8+SUM(AC57:AC59)+1/8))</f>
        <v>2.5352112676056335</v>
      </c>
      <c r="AA55" s="272" t="s">
        <v>5</v>
      </c>
      <c r="AB55" s="272"/>
      <c r="AC55" s="272" t="s">
        <v>22</v>
      </c>
      <c r="AD55" s="275">
        <f>SUM(AD54:AD54)</f>
        <v>0</v>
      </c>
      <c r="AE55" s="14" t="s">
        <v>23</v>
      </c>
      <c r="AF55" s="14">
        <f>SUM(AD57:AD58)</f>
        <v>171780</v>
      </c>
      <c r="AN55" s="170" t="s">
        <v>374</v>
      </c>
      <c r="AO55" s="170">
        <f>SUM(AO43,AO26:AO28)</f>
        <v>0.99999999999999989</v>
      </c>
      <c r="AP55" s="170"/>
      <c r="BC55" s="81" t="s">
        <v>306</v>
      </c>
      <c r="BD55" s="167">
        <v>69800</v>
      </c>
      <c r="BE55" s="167">
        <v>108000</v>
      </c>
      <c r="BF55" s="81">
        <v>0.65</v>
      </c>
      <c r="BG55" s="81">
        <v>0.51685000000000003</v>
      </c>
      <c r="BS55" s="81" t="s">
        <v>395</v>
      </c>
      <c r="BT55" s="167">
        <v>7.7400000000000002E-7</v>
      </c>
      <c r="BU55" s="167">
        <v>4.1199999999999999E-5</v>
      </c>
      <c r="BV55" s="81">
        <v>0.02</v>
      </c>
      <c r="BW55" s="81">
        <v>0.98</v>
      </c>
      <c r="CO55" s="253" t="s">
        <v>429</v>
      </c>
      <c r="CP55" s="253" t="s">
        <v>415</v>
      </c>
      <c r="CQ55" s="254">
        <v>-6.26</v>
      </c>
      <c r="CR55" s="254">
        <v>2.47E-2</v>
      </c>
      <c r="CS55" s="253">
        <v>-253.93</v>
      </c>
      <c r="CT55" s="253" t="s">
        <v>387</v>
      </c>
      <c r="CU55" s="254">
        <v>2E-16</v>
      </c>
      <c r="CV55" s="81" t="s">
        <v>388</v>
      </c>
      <c r="CW55" s="255" t="s">
        <v>460</v>
      </c>
      <c r="CX55" s="261" t="s">
        <v>493</v>
      </c>
      <c r="CY55" s="256" t="s">
        <v>321</v>
      </c>
      <c r="CZ55" s="257">
        <f t="shared" si="42"/>
        <v>2.3700000000000001E-16</v>
      </c>
      <c r="DA55" s="255" t="s">
        <v>320</v>
      </c>
    </row>
    <row r="56" spans="2:105" thickTop="1" thickBot="1" x14ac:dyDescent="0.3">
      <c r="W56" s="276"/>
      <c r="X56" s="231" t="s">
        <v>27</v>
      </c>
      <c r="Y56" s="231" t="s">
        <v>28</v>
      </c>
      <c r="Z56" s="231" t="s">
        <v>29</v>
      </c>
      <c r="AA56" s="231" t="s">
        <v>30</v>
      </c>
      <c r="AB56" s="231" t="s">
        <v>31</v>
      </c>
      <c r="AC56" s="231" t="s">
        <v>32</v>
      </c>
      <c r="AD56" s="277" t="s">
        <v>33</v>
      </c>
      <c r="AE56" s="24"/>
      <c r="AN56" s="170" t="s">
        <v>375</v>
      </c>
      <c r="AO56" s="170">
        <f>SUM(AO46,AO14:AO17)</f>
        <v>0.99999999999999989</v>
      </c>
      <c r="AP56" s="170"/>
      <c r="BC56" s="81" t="s">
        <v>398</v>
      </c>
      <c r="BD56" s="167">
        <v>3800000</v>
      </c>
      <c r="BE56" s="167">
        <v>1390000</v>
      </c>
      <c r="BF56" s="81">
        <v>2.72</v>
      </c>
      <c r="BG56" s="81">
        <v>6.4799999999999996E-3</v>
      </c>
      <c r="BH56" s="81" t="s">
        <v>426</v>
      </c>
      <c r="BS56" s="81" t="s">
        <v>396</v>
      </c>
      <c r="BT56" s="167">
        <v>0.47699999999999998</v>
      </c>
      <c r="BU56" s="167">
        <v>9.8799999999999999E-3</v>
      </c>
      <c r="BV56" s="81">
        <v>48.23</v>
      </c>
      <c r="BW56" s="81" t="s">
        <v>387</v>
      </c>
      <c r="BX56" s="167">
        <v>2E-16</v>
      </c>
      <c r="BY56" s="81" t="s">
        <v>388</v>
      </c>
      <c r="CO56" s="253" t="s">
        <v>429</v>
      </c>
      <c r="CP56" s="253" t="s">
        <v>416</v>
      </c>
      <c r="CQ56" s="254">
        <v>1.3600000000000001E-3</v>
      </c>
      <c r="CR56" s="254">
        <v>2.1699999999999999E-5</v>
      </c>
      <c r="CS56" s="253">
        <v>62.73</v>
      </c>
      <c r="CT56" s="253" t="s">
        <v>387</v>
      </c>
      <c r="CU56" s="254">
        <v>2E-16</v>
      </c>
      <c r="CV56" s="81" t="s">
        <v>388</v>
      </c>
      <c r="CW56" s="255" t="s">
        <v>460</v>
      </c>
      <c r="CX56" s="261" t="s">
        <v>494</v>
      </c>
      <c r="CY56" s="256" t="s">
        <v>321</v>
      </c>
      <c r="CZ56" s="257">
        <f t="shared" si="42"/>
        <v>0.85399999999999998</v>
      </c>
      <c r="DA56" s="255" t="s">
        <v>320</v>
      </c>
    </row>
    <row r="57" spans="2:105" thickTop="1" thickBot="1" x14ac:dyDescent="0.3">
      <c r="W57" s="278"/>
      <c r="X57" s="183" t="s">
        <v>90</v>
      </c>
      <c r="Y57" s="183">
        <v>0.02</v>
      </c>
      <c r="Z57" s="183">
        <v>0.6</v>
      </c>
      <c r="AA57" s="183">
        <v>975</v>
      </c>
      <c r="AB57" s="183">
        <v>840</v>
      </c>
      <c r="AC57" s="233">
        <f>Y57/Z57</f>
        <v>3.3333333333333333E-2</v>
      </c>
      <c r="AD57" s="279">
        <f>Y57*AA57*AB57</f>
        <v>16380</v>
      </c>
      <c r="AN57" s="170" t="s">
        <v>375</v>
      </c>
      <c r="AO57" s="170">
        <f>SUM(AO47,AO33:AO35)</f>
        <v>0.99999999999999989</v>
      </c>
      <c r="AP57" s="170"/>
      <c r="BC57" s="81" t="s">
        <v>299</v>
      </c>
      <c r="BD57" s="167">
        <v>78400000</v>
      </c>
      <c r="BE57" s="167">
        <v>49600000</v>
      </c>
      <c r="BF57" s="81">
        <v>1.58</v>
      </c>
      <c r="BG57" s="81">
        <v>0.11389000000000001</v>
      </c>
      <c r="BS57" s="81" t="s">
        <v>306</v>
      </c>
      <c r="BT57" s="167">
        <v>995000000</v>
      </c>
      <c r="BU57" s="167">
        <v>24600000</v>
      </c>
      <c r="BV57" s="81">
        <v>40.5</v>
      </c>
      <c r="BW57" s="81" t="s">
        <v>387</v>
      </c>
      <c r="BX57" s="167">
        <v>2E-16</v>
      </c>
      <c r="BY57" s="81" t="s">
        <v>388</v>
      </c>
      <c r="CO57" s="253" t="s">
        <v>429</v>
      </c>
      <c r="CP57" s="253" t="s">
        <v>417</v>
      </c>
      <c r="CQ57" s="254">
        <v>134</v>
      </c>
      <c r="CR57" s="254">
        <v>0.86899999999999999</v>
      </c>
      <c r="CS57" s="253">
        <v>154.47</v>
      </c>
      <c r="CT57" s="253" t="s">
        <v>387</v>
      </c>
      <c r="CU57" s="254">
        <v>2E-16</v>
      </c>
      <c r="CV57" s="81" t="s">
        <v>388</v>
      </c>
      <c r="CW57" s="255" t="s">
        <v>460</v>
      </c>
      <c r="CX57" s="261" t="s">
        <v>495</v>
      </c>
      <c r="CY57" s="256" t="s">
        <v>321</v>
      </c>
      <c r="CZ57" s="257">
        <f t="shared" si="42"/>
        <v>1.94</v>
      </c>
      <c r="DA57" s="255" t="s">
        <v>320</v>
      </c>
    </row>
    <row r="58" spans="2:105" thickTop="1" thickBot="1" x14ac:dyDescent="0.3">
      <c r="W58" s="278"/>
      <c r="X58" s="183" t="s">
        <v>376</v>
      </c>
      <c r="Y58" s="183">
        <v>0.1</v>
      </c>
      <c r="Z58" s="183">
        <v>0.9</v>
      </c>
      <c r="AA58" s="183">
        <v>1850</v>
      </c>
      <c r="AB58" s="183">
        <v>840</v>
      </c>
      <c r="AC58" s="233">
        <f>Y58/Z58</f>
        <v>0.11111111111111112</v>
      </c>
      <c r="AD58" s="279">
        <f>Y58*AA58*AB58</f>
        <v>155400</v>
      </c>
      <c r="BC58" s="81" t="s">
        <v>301</v>
      </c>
      <c r="BD58" s="167">
        <v>12500000</v>
      </c>
      <c r="BE58" s="167">
        <v>17900000</v>
      </c>
      <c r="BF58" s="81">
        <v>0.7</v>
      </c>
      <c r="BG58" s="81">
        <v>0.48460999999999999</v>
      </c>
      <c r="BS58" s="81" t="s">
        <v>398</v>
      </c>
      <c r="BT58" s="167">
        <v>721000</v>
      </c>
      <c r="BU58" s="167">
        <v>21100</v>
      </c>
      <c r="BV58" s="81">
        <v>34.119999999999997</v>
      </c>
      <c r="BW58" s="81" t="s">
        <v>387</v>
      </c>
      <c r="BX58" s="167">
        <v>2E-16</v>
      </c>
      <c r="BY58" s="81" t="s">
        <v>388</v>
      </c>
      <c r="CO58" s="253" t="s">
        <v>429</v>
      </c>
      <c r="CP58" s="253" t="s">
        <v>418</v>
      </c>
      <c r="CQ58" s="254">
        <v>4520</v>
      </c>
      <c r="CR58" s="254">
        <v>1820</v>
      </c>
      <c r="CS58" s="253">
        <v>2.4900000000000002</v>
      </c>
      <c r="CT58" s="253">
        <v>1.2999999999999999E-2</v>
      </c>
      <c r="CU58" s="253" t="s">
        <v>432</v>
      </c>
      <c r="CW58" s="255" t="s">
        <v>460</v>
      </c>
      <c r="CX58" s="261" t="s">
        <v>496</v>
      </c>
      <c r="CY58" s="256" t="s">
        <v>321</v>
      </c>
      <c r="CZ58" s="257">
        <f t="shared" si="42"/>
        <v>0.65800000000000003</v>
      </c>
      <c r="DA58" s="255" t="s">
        <v>320</v>
      </c>
    </row>
    <row r="59" spans="2:105" thickTop="1" thickBot="1" x14ac:dyDescent="0.3">
      <c r="W59" s="280"/>
      <c r="X59" s="281" t="s">
        <v>272</v>
      </c>
      <c r="Y59" s="282">
        <v>0</v>
      </c>
      <c r="Z59" s="282">
        <v>3.5999999999999997E-2</v>
      </c>
      <c r="AA59" s="282">
        <v>26</v>
      </c>
      <c r="AB59" s="282">
        <v>1470</v>
      </c>
      <c r="AC59" s="283">
        <f>Y59/Z59</f>
        <v>0</v>
      </c>
      <c r="AD59" s="284">
        <f>Y59*AA59*AB59</f>
        <v>0</v>
      </c>
      <c r="BC59" s="81" t="s">
        <v>399</v>
      </c>
      <c r="BD59" s="167">
        <v>-13.2</v>
      </c>
      <c r="BE59" s="167">
        <v>3.9</v>
      </c>
      <c r="BF59" s="81">
        <v>-3.38</v>
      </c>
      <c r="BG59" s="81">
        <v>7.3999999999999999E-4</v>
      </c>
      <c r="BH59" s="81" t="s">
        <v>388</v>
      </c>
      <c r="BS59" s="81" t="s">
        <v>299</v>
      </c>
      <c r="BT59" s="167">
        <v>37600000</v>
      </c>
      <c r="BU59" s="167">
        <v>8090000</v>
      </c>
      <c r="BV59" s="81">
        <v>4.6500000000000004</v>
      </c>
      <c r="BW59" s="167">
        <v>3.4999999999999999E-6</v>
      </c>
      <c r="BX59" s="81" t="s">
        <v>388</v>
      </c>
      <c r="CO59" s="253" t="s">
        <v>429</v>
      </c>
      <c r="CP59" s="253" t="s">
        <v>419</v>
      </c>
      <c r="CQ59" s="254">
        <v>254</v>
      </c>
      <c r="CR59" s="254">
        <v>250</v>
      </c>
      <c r="CS59" s="253">
        <v>1.01</v>
      </c>
      <c r="CT59" s="253">
        <v>0.31</v>
      </c>
      <c r="CW59" s="255" t="s">
        <v>460</v>
      </c>
      <c r="CX59" s="261" t="s">
        <v>497</v>
      </c>
      <c r="CY59" s="256" t="s">
        <v>321</v>
      </c>
      <c r="CZ59" s="257">
        <f t="shared" si="42"/>
        <v>2.4400000000000001E-12</v>
      </c>
      <c r="DA59" s="255" t="s">
        <v>320</v>
      </c>
    </row>
    <row r="60" spans="2:105" thickTop="1" thickBot="1" x14ac:dyDescent="0.3">
      <c r="BC60" s="81" t="s">
        <v>400</v>
      </c>
      <c r="BD60" s="167">
        <v>-1</v>
      </c>
      <c r="BE60" s="167">
        <v>0.91300000000000003</v>
      </c>
      <c r="BF60" s="81">
        <v>-1.1000000000000001</v>
      </c>
      <c r="BG60" s="81">
        <v>0.27290999999999999</v>
      </c>
      <c r="BS60" s="81" t="s">
        <v>301</v>
      </c>
      <c r="BT60" s="167">
        <v>6950000</v>
      </c>
      <c r="BU60" s="167">
        <v>225000</v>
      </c>
      <c r="BV60" s="81">
        <v>30.92</v>
      </c>
      <c r="BW60" s="81" t="s">
        <v>387</v>
      </c>
      <c r="BX60" s="167">
        <v>2E-16</v>
      </c>
      <c r="BY60" s="81" t="s">
        <v>388</v>
      </c>
      <c r="CX60" s="261"/>
      <c r="CY60" s="256"/>
      <c r="CZ60" s="257"/>
    </row>
    <row r="61" spans="2:105" thickTop="1" thickBot="1" x14ac:dyDescent="0.3">
      <c r="BC61" s="81" t="s">
        <v>401</v>
      </c>
      <c r="BD61" s="167">
        <v>-1.02</v>
      </c>
      <c r="BE61" s="167">
        <v>0.91400000000000003</v>
      </c>
      <c r="BF61" s="81">
        <v>-1.1100000000000001</v>
      </c>
      <c r="BG61" s="81">
        <v>0.26651000000000002</v>
      </c>
      <c r="BS61" s="81" t="s">
        <v>399</v>
      </c>
      <c r="BT61" s="167">
        <v>-1.61</v>
      </c>
      <c r="BU61" s="167">
        <v>4.7199999999999999E-2</v>
      </c>
      <c r="BV61" s="81">
        <v>-34.119999999999997</v>
      </c>
      <c r="BW61" s="81" t="s">
        <v>387</v>
      </c>
      <c r="BX61" s="167">
        <v>2E-16</v>
      </c>
      <c r="BY61" s="81" t="s">
        <v>388</v>
      </c>
      <c r="CW61" s="255" t="s">
        <v>460</v>
      </c>
      <c r="CX61" s="261" t="s">
        <v>342</v>
      </c>
      <c r="CY61" s="256" t="s">
        <v>321</v>
      </c>
      <c r="CZ61" s="257">
        <f>CQ86</f>
        <v>708000</v>
      </c>
      <c r="DA61" s="255" t="s">
        <v>320</v>
      </c>
    </row>
    <row r="62" spans="2:105" thickTop="1" thickBot="1" x14ac:dyDescent="0.3">
      <c r="BC62" s="81" t="s">
        <v>402</v>
      </c>
      <c r="BD62" s="167">
        <v>-1</v>
      </c>
      <c r="BE62" s="167">
        <v>0.91300000000000003</v>
      </c>
      <c r="BF62" s="81">
        <v>-1.0900000000000001</v>
      </c>
      <c r="BG62" s="81">
        <v>0.27359</v>
      </c>
      <c r="BS62" s="81" t="s">
        <v>400</v>
      </c>
      <c r="BT62" s="167">
        <v>-3.82</v>
      </c>
      <c r="BU62" s="167">
        <v>0.53100000000000003</v>
      </c>
      <c r="BV62" s="81">
        <v>-7.19</v>
      </c>
      <c r="BW62" s="167">
        <v>7.3999999999999998E-13</v>
      </c>
      <c r="BX62" s="81" t="s">
        <v>388</v>
      </c>
      <c r="CO62" s="253" t="s">
        <v>429</v>
      </c>
      <c r="CP62" s="253" t="s">
        <v>420</v>
      </c>
      <c r="CQ62" s="253" t="s">
        <v>458</v>
      </c>
      <c r="CW62" s="255" t="s">
        <v>460</v>
      </c>
      <c r="CX62" s="261" t="s">
        <v>343</v>
      </c>
      <c r="CY62" s="256" t="s">
        <v>321</v>
      </c>
      <c r="CZ62" s="257">
        <f t="shared" ref="CZ62:CZ63" si="44">CQ87</f>
        <v>31600000</v>
      </c>
      <c r="DA62" s="255" t="s">
        <v>320</v>
      </c>
    </row>
    <row r="63" spans="2:105" thickTop="1" thickBot="1" x14ac:dyDescent="0.3">
      <c r="BC63" s="81" t="s">
        <v>404</v>
      </c>
      <c r="BD63" s="167">
        <v>1.6E-2</v>
      </c>
      <c r="BE63" s="167">
        <v>6.1700000000000001E-3</v>
      </c>
      <c r="BF63" s="81">
        <v>2.6</v>
      </c>
      <c r="BG63" s="81">
        <v>9.41E-3</v>
      </c>
      <c r="BH63" s="81" t="s">
        <v>426</v>
      </c>
      <c r="BS63" s="81" t="s">
        <v>401</v>
      </c>
      <c r="BT63" s="167">
        <v>-40.799999999999997</v>
      </c>
      <c r="BU63" s="167">
        <v>86.2</v>
      </c>
      <c r="BV63" s="81">
        <v>-0.47</v>
      </c>
      <c r="BW63" s="81">
        <v>0.64</v>
      </c>
      <c r="CO63" s="253" t="s">
        <v>429</v>
      </c>
      <c r="CP63" s="253" t="s">
        <v>379</v>
      </c>
      <c r="CW63" s="255" t="s">
        <v>460</v>
      </c>
      <c r="CX63" s="261" t="s">
        <v>344</v>
      </c>
      <c r="CY63" s="256" t="s">
        <v>321</v>
      </c>
      <c r="CZ63" s="257">
        <f t="shared" si="44"/>
        <v>6440000</v>
      </c>
      <c r="DA63" s="255" t="s">
        <v>320</v>
      </c>
    </row>
    <row r="64" spans="2:105" thickTop="1" thickBot="1" x14ac:dyDescent="0.3">
      <c r="BC64" s="81" t="s">
        <v>405</v>
      </c>
      <c r="BD64" s="167">
        <v>4.2999999999999997E-2</v>
      </c>
      <c r="BE64" s="167">
        <v>6.2700000000000006E-2</v>
      </c>
      <c r="BF64" s="81">
        <v>0.69</v>
      </c>
      <c r="BG64" s="81">
        <v>0.49241000000000001</v>
      </c>
      <c r="BS64" s="81" t="s">
        <v>402</v>
      </c>
      <c r="BT64" s="167">
        <v>-41.3</v>
      </c>
      <c r="BU64" s="167">
        <v>96.2</v>
      </c>
      <c r="BV64" s="81">
        <v>-0.43</v>
      </c>
      <c r="BW64" s="81">
        <v>0.67</v>
      </c>
      <c r="CO64" s="253" t="s">
        <v>429</v>
      </c>
      <c r="CP64" s="253" t="s">
        <v>380</v>
      </c>
      <c r="CQ64" s="253" t="s">
        <v>381</v>
      </c>
      <c r="CR64" s="253" t="s">
        <v>382</v>
      </c>
      <c r="CS64" s="253" t="s">
        <v>383</v>
      </c>
      <c r="CT64" s="253" t="s">
        <v>384</v>
      </c>
      <c r="CU64" s="253" t="s">
        <v>385</v>
      </c>
      <c r="CY64" s="256"/>
    </row>
    <row r="65" spans="54:105" thickTop="1" thickBot="1" x14ac:dyDescent="0.3">
      <c r="BC65" s="81" t="s">
        <v>406</v>
      </c>
      <c r="BD65" s="167">
        <v>0.73</v>
      </c>
      <c r="BE65" s="167">
        <v>3.09E-2</v>
      </c>
      <c r="BF65" s="81">
        <v>23.6</v>
      </c>
      <c r="BG65" s="81" t="s">
        <v>387</v>
      </c>
      <c r="BH65" s="167">
        <v>2E-16</v>
      </c>
      <c r="BI65" s="81" t="s">
        <v>388</v>
      </c>
      <c r="BS65" s="81" t="s">
        <v>404</v>
      </c>
      <c r="BT65" s="167">
        <v>9.9500000000000005E-2</v>
      </c>
      <c r="BU65" s="167">
        <v>6.43E-3</v>
      </c>
      <c r="BV65" s="81">
        <v>15.47</v>
      </c>
      <c r="BW65" s="81" t="s">
        <v>387</v>
      </c>
      <c r="BX65" s="167">
        <v>2E-16</v>
      </c>
      <c r="BY65" s="81" t="s">
        <v>388</v>
      </c>
      <c r="CO65" s="253" t="s">
        <v>429</v>
      </c>
      <c r="CP65" s="253" t="s">
        <v>386</v>
      </c>
      <c r="CQ65" s="254">
        <v>289</v>
      </c>
      <c r="CR65" s="254">
        <v>0.21299999999999999</v>
      </c>
      <c r="CS65" s="253">
        <v>1357.3</v>
      </c>
      <c r="CT65" s="253" t="s">
        <v>387</v>
      </c>
      <c r="CU65" s="254">
        <v>2E-16</v>
      </c>
      <c r="CV65" s="81" t="s">
        <v>388</v>
      </c>
      <c r="CW65" s="255" t="s">
        <v>460</v>
      </c>
      <c r="CX65" s="261" t="s">
        <v>345</v>
      </c>
      <c r="CY65" s="256" t="s">
        <v>321</v>
      </c>
      <c r="CZ65" s="257">
        <f>CQ93</f>
        <v>9.4299999999999995E-2</v>
      </c>
      <c r="DA65" s="255" t="s">
        <v>320</v>
      </c>
    </row>
    <row r="66" spans="54:105" thickTop="1" thickBot="1" x14ac:dyDescent="0.3">
      <c r="BC66" s="81" t="s">
        <v>407</v>
      </c>
      <c r="BD66" s="167">
        <v>0.184</v>
      </c>
      <c r="BE66" s="167">
        <v>5.0500000000000003E-2</v>
      </c>
      <c r="BF66" s="81">
        <v>3.64</v>
      </c>
      <c r="BG66" s="81">
        <v>2.7E-4</v>
      </c>
      <c r="BH66" s="81" t="s">
        <v>388</v>
      </c>
      <c r="BS66" s="81" t="s">
        <v>405</v>
      </c>
      <c r="BT66" s="167">
        <v>7.8100000000000001E-3</v>
      </c>
      <c r="BU66" s="167">
        <v>2.9500000000000001E-4</v>
      </c>
      <c r="BV66" s="81">
        <v>26.43</v>
      </c>
      <c r="BW66" s="81" t="s">
        <v>387</v>
      </c>
      <c r="BX66" s="167">
        <v>2E-16</v>
      </c>
      <c r="BY66" s="81" t="s">
        <v>388</v>
      </c>
      <c r="CO66" s="253" t="s">
        <v>429</v>
      </c>
      <c r="CP66" s="253" t="s">
        <v>389</v>
      </c>
      <c r="CQ66" s="254">
        <v>284</v>
      </c>
      <c r="CR66" s="254">
        <v>0.33200000000000002</v>
      </c>
      <c r="CS66" s="253">
        <v>856.05</v>
      </c>
      <c r="CT66" s="253" t="s">
        <v>387</v>
      </c>
      <c r="CU66" s="254">
        <v>2E-16</v>
      </c>
      <c r="CV66" s="81" t="s">
        <v>388</v>
      </c>
      <c r="CW66" s="255" t="s">
        <v>460</v>
      </c>
      <c r="CX66" s="261" t="s">
        <v>346</v>
      </c>
      <c r="CY66" s="256" t="s">
        <v>321</v>
      </c>
      <c r="CZ66" s="257">
        <f t="shared" ref="CZ66:CZ68" si="45">CQ94</f>
        <v>7.45E-3</v>
      </c>
      <c r="DA66" s="255" t="s">
        <v>320</v>
      </c>
    </row>
    <row r="67" spans="54:105" thickTop="1" thickBot="1" x14ac:dyDescent="0.3">
      <c r="BC67" s="81" t="s">
        <v>409</v>
      </c>
      <c r="BD67" s="167">
        <v>1350</v>
      </c>
      <c r="BE67" s="167">
        <v>248</v>
      </c>
      <c r="BF67" s="81">
        <v>5.42</v>
      </c>
      <c r="BG67" s="167">
        <v>6.1000000000000004E-8</v>
      </c>
      <c r="BH67" s="81" t="s">
        <v>388</v>
      </c>
      <c r="BS67" s="81" t="s">
        <v>406</v>
      </c>
      <c r="BT67" s="167">
        <v>0.69199999999999995</v>
      </c>
      <c r="BU67" s="167">
        <v>6.7400000000000003E-3</v>
      </c>
      <c r="BV67" s="81">
        <v>102.62</v>
      </c>
      <c r="BW67" s="81" t="s">
        <v>387</v>
      </c>
      <c r="BX67" s="167">
        <v>2E-16</v>
      </c>
      <c r="BY67" s="81" t="s">
        <v>388</v>
      </c>
      <c r="CO67" s="253" t="s">
        <v>429</v>
      </c>
      <c r="CP67" s="253" t="s">
        <v>390</v>
      </c>
      <c r="CQ67" s="254">
        <v>290</v>
      </c>
      <c r="CR67" s="254">
        <v>8.3699999999999997E-2</v>
      </c>
      <c r="CS67" s="253">
        <v>3467.87</v>
      </c>
      <c r="CT67" s="253" t="s">
        <v>387</v>
      </c>
      <c r="CU67" s="254">
        <v>2E-16</v>
      </c>
      <c r="CV67" s="81" t="s">
        <v>388</v>
      </c>
      <c r="CW67" s="255" t="s">
        <v>460</v>
      </c>
      <c r="CX67" s="261" t="s">
        <v>348</v>
      </c>
      <c r="CY67" s="256" t="s">
        <v>321</v>
      </c>
      <c r="CZ67" s="257">
        <f t="shared" si="45"/>
        <v>0.69499999999999995</v>
      </c>
      <c r="DA67" s="255" t="s">
        <v>320</v>
      </c>
    </row>
    <row r="68" spans="54:105" thickTop="1" thickBot="1" x14ac:dyDescent="0.3">
      <c r="BC68" s="81" t="s">
        <v>293</v>
      </c>
      <c r="BD68" s="167">
        <v>372</v>
      </c>
      <c r="BE68" s="167">
        <v>148</v>
      </c>
      <c r="BF68" s="81">
        <v>2.5099999999999998</v>
      </c>
      <c r="BG68" s="81">
        <v>1.21E-2</v>
      </c>
      <c r="BH68" s="81" t="s">
        <v>432</v>
      </c>
      <c r="BS68" s="81" t="s">
        <v>407</v>
      </c>
      <c r="BT68" s="167">
        <v>6.6400000000000002E-9</v>
      </c>
      <c r="BU68" s="167">
        <v>3.2899999999999999E-7</v>
      </c>
      <c r="BV68" s="81">
        <v>0.02</v>
      </c>
      <c r="BW68" s="81">
        <v>0.98</v>
      </c>
      <c r="CO68" s="253" t="s">
        <v>429</v>
      </c>
      <c r="CP68" s="253" t="s">
        <v>391</v>
      </c>
      <c r="CQ68" s="254">
        <v>291</v>
      </c>
      <c r="CR68" s="254">
        <v>9.0200000000000002E-2</v>
      </c>
      <c r="CS68" s="253">
        <v>3230.43</v>
      </c>
      <c r="CT68" s="253" t="s">
        <v>387</v>
      </c>
      <c r="CU68" s="254">
        <v>2E-16</v>
      </c>
      <c r="CV68" s="81" t="s">
        <v>388</v>
      </c>
      <c r="CW68" s="255" t="s">
        <v>460</v>
      </c>
      <c r="CX68" s="261" t="s">
        <v>435</v>
      </c>
      <c r="CY68" s="256" t="s">
        <v>321</v>
      </c>
      <c r="CZ68" s="257">
        <f t="shared" si="45"/>
        <v>5.01E-11</v>
      </c>
      <c r="DA68" s="255" t="s">
        <v>320</v>
      </c>
    </row>
    <row r="69" spans="54:105" thickTop="1" thickBot="1" x14ac:dyDescent="0.3">
      <c r="BC69" s="81" t="s">
        <v>120</v>
      </c>
      <c r="BD69" s="167">
        <v>31.9</v>
      </c>
      <c r="BE69" s="167">
        <v>23.8</v>
      </c>
      <c r="BF69" s="81">
        <v>1.34</v>
      </c>
      <c r="BG69" s="81">
        <v>0.18071999999999999</v>
      </c>
      <c r="BS69" s="81" t="s">
        <v>409</v>
      </c>
      <c r="BT69" s="167">
        <v>459</v>
      </c>
      <c r="BU69" s="167">
        <v>19.3</v>
      </c>
      <c r="BV69" s="81">
        <v>23.82</v>
      </c>
      <c r="BW69" s="81" t="s">
        <v>387</v>
      </c>
      <c r="BX69" s="167">
        <v>2E-16</v>
      </c>
      <c r="BY69" s="81" t="s">
        <v>388</v>
      </c>
      <c r="CO69" s="253" t="s">
        <v>429</v>
      </c>
      <c r="CP69" s="253" t="s">
        <v>442</v>
      </c>
      <c r="CQ69" s="254">
        <v>2.4900000000000001E-12</v>
      </c>
      <c r="CR69" s="254">
        <v>1.19E-10</v>
      </c>
      <c r="CS69" s="253">
        <v>0.02</v>
      </c>
      <c r="CT69" s="253">
        <v>0.98</v>
      </c>
      <c r="CY69" s="256"/>
    </row>
    <row r="70" spans="54:105" thickTop="1" thickBot="1" x14ac:dyDescent="0.3">
      <c r="BC70" s="81" t="s">
        <v>411</v>
      </c>
      <c r="BD70" s="167">
        <v>-6.79</v>
      </c>
      <c r="BE70" s="167">
        <v>0.47699999999999998</v>
      </c>
      <c r="BF70" s="81">
        <v>-14.23</v>
      </c>
      <c r="BG70" s="81" t="s">
        <v>387</v>
      </c>
      <c r="BH70" s="167">
        <v>2E-16</v>
      </c>
      <c r="BI70" s="81" t="s">
        <v>388</v>
      </c>
      <c r="BS70" s="81" t="s">
        <v>293</v>
      </c>
      <c r="BT70" s="167">
        <v>191</v>
      </c>
      <c r="BU70" s="167">
        <v>3.38</v>
      </c>
      <c r="BV70" s="81">
        <v>56.36</v>
      </c>
      <c r="BW70" s="81" t="s">
        <v>387</v>
      </c>
      <c r="BX70" s="167">
        <v>2E-16</v>
      </c>
      <c r="BY70" s="81" t="s">
        <v>388</v>
      </c>
      <c r="CO70" s="253" t="s">
        <v>429</v>
      </c>
      <c r="CP70" s="253" t="s">
        <v>339</v>
      </c>
      <c r="CQ70" s="254">
        <v>1.6E-11</v>
      </c>
      <c r="CR70" s="254">
        <v>6.8200000000000002E-10</v>
      </c>
      <c r="CS70" s="253">
        <v>0.02</v>
      </c>
      <c r="CT70" s="253">
        <v>0.98</v>
      </c>
      <c r="CW70" s="255" t="s">
        <v>460</v>
      </c>
      <c r="CX70" s="261" t="s">
        <v>498</v>
      </c>
      <c r="CY70" s="256" t="s">
        <v>321</v>
      </c>
      <c r="CZ70" s="257">
        <f>CQ97</f>
        <v>463</v>
      </c>
      <c r="DA70" s="255" t="s">
        <v>320</v>
      </c>
    </row>
    <row r="71" spans="54:105" thickTop="1" thickBot="1" x14ac:dyDescent="0.3">
      <c r="BC71" s="81" t="s">
        <v>412</v>
      </c>
      <c r="BD71" s="167">
        <v>-4.62</v>
      </c>
      <c r="BE71" s="167">
        <v>0.26700000000000002</v>
      </c>
      <c r="BF71" s="81">
        <v>-17.32</v>
      </c>
      <c r="BG71" s="81" t="s">
        <v>387</v>
      </c>
      <c r="BH71" s="167">
        <v>2E-16</v>
      </c>
      <c r="BI71" s="81" t="s">
        <v>388</v>
      </c>
      <c r="BS71" s="81" t="s">
        <v>120</v>
      </c>
      <c r="BT71" s="167">
        <v>2.0199999999999999E-19</v>
      </c>
      <c r="BU71" s="167">
        <v>3.2300000000000002E-17</v>
      </c>
      <c r="BV71" s="81">
        <v>0.01</v>
      </c>
      <c r="BW71" s="81">
        <v>1</v>
      </c>
      <c r="CO71" s="253" t="s">
        <v>429</v>
      </c>
      <c r="CP71" s="253" t="s">
        <v>443</v>
      </c>
      <c r="CQ71" s="254">
        <v>0.251</v>
      </c>
      <c r="CR71" s="254">
        <v>5.0299999999999997E-2</v>
      </c>
      <c r="CS71" s="253">
        <v>4.99</v>
      </c>
      <c r="CT71" s="254">
        <v>6.1999999999999999E-7</v>
      </c>
      <c r="CU71" s="253" t="s">
        <v>388</v>
      </c>
      <c r="CW71" s="255" t="s">
        <v>460</v>
      </c>
      <c r="CX71" s="261" t="s">
        <v>352</v>
      </c>
      <c r="CY71" s="256" t="s">
        <v>321</v>
      </c>
      <c r="CZ71" s="257">
        <f t="shared" ref="CZ71:CZ72" si="46">CQ98</f>
        <v>185</v>
      </c>
      <c r="DA71" s="255" t="s">
        <v>320</v>
      </c>
    </row>
    <row r="72" spans="54:105" thickTop="1" thickBot="1" x14ac:dyDescent="0.3">
      <c r="BC72" s="81" t="s">
        <v>413</v>
      </c>
      <c r="BD72" s="167">
        <v>-4.95</v>
      </c>
      <c r="BE72" s="167">
        <v>0.26600000000000001</v>
      </c>
      <c r="BF72" s="81">
        <v>-18.59</v>
      </c>
      <c r="BG72" s="81" t="s">
        <v>387</v>
      </c>
      <c r="BH72" s="167">
        <v>2E-16</v>
      </c>
      <c r="BI72" s="81" t="s">
        <v>388</v>
      </c>
      <c r="BS72" s="81" t="s">
        <v>411</v>
      </c>
      <c r="BT72" s="167">
        <v>-4.5999999999999996</v>
      </c>
      <c r="BU72" s="167">
        <v>2.9600000000000001E-2</v>
      </c>
      <c r="BV72" s="81">
        <v>-155.41999999999999</v>
      </c>
      <c r="BW72" s="81" t="s">
        <v>387</v>
      </c>
      <c r="BX72" s="167">
        <v>2E-16</v>
      </c>
      <c r="BY72" s="81" t="s">
        <v>388</v>
      </c>
      <c r="CO72" s="253" t="s">
        <v>429</v>
      </c>
      <c r="CP72" s="253" t="s">
        <v>444</v>
      </c>
      <c r="CQ72" s="254">
        <v>0.91700000000000004</v>
      </c>
      <c r="CR72" s="254">
        <v>0.10100000000000001</v>
      </c>
      <c r="CS72" s="253">
        <v>9.11</v>
      </c>
      <c r="CT72" s="253" t="s">
        <v>387</v>
      </c>
      <c r="CU72" s="254">
        <v>2E-16</v>
      </c>
      <c r="CV72" s="81" t="s">
        <v>388</v>
      </c>
      <c r="CW72" s="255" t="s">
        <v>460</v>
      </c>
      <c r="CX72" s="261" t="s">
        <v>353</v>
      </c>
      <c r="CY72" s="256" t="s">
        <v>321</v>
      </c>
      <c r="CZ72" s="257">
        <f t="shared" si="46"/>
        <v>1.5399999999999999E-16</v>
      </c>
      <c r="DA72" s="255" t="s">
        <v>320</v>
      </c>
    </row>
    <row r="73" spans="54:105" thickTop="1" thickBot="1" x14ac:dyDescent="0.3">
      <c r="BC73" s="81" t="s">
        <v>414</v>
      </c>
      <c r="BD73" s="167">
        <v>-1.07</v>
      </c>
      <c r="BE73" s="167">
        <v>0.64</v>
      </c>
      <c r="BF73" s="81">
        <v>-1.68</v>
      </c>
      <c r="BG73" s="81">
        <v>9.3189999999999995E-2</v>
      </c>
      <c r="BH73" s="81" t="s">
        <v>433</v>
      </c>
      <c r="BS73" s="81" t="s">
        <v>412</v>
      </c>
      <c r="BT73" s="167">
        <v>-4.75</v>
      </c>
      <c r="BU73" s="167">
        <v>3.7699999999999997E-2</v>
      </c>
      <c r="BV73" s="81">
        <v>-126.09</v>
      </c>
      <c r="BW73" s="81" t="s">
        <v>387</v>
      </c>
      <c r="BX73" s="167">
        <v>2E-16</v>
      </c>
      <c r="BY73" s="81" t="s">
        <v>388</v>
      </c>
      <c r="CO73" s="253" t="s">
        <v>429</v>
      </c>
      <c r="CP73" s="253" t="s">
        <v>445</v>
      </c>
      <c r="CQ73" s="254">
        <v>0.41599999999999998</v>
      </c>
      <c r="CR73" s="254">
        <v>2.7E-2</v>
      </c>
      <c r="CS73" s="253">
        <v>15.4</v>
      </c>
      <c r="CT73" s="253" t="s">
        <v>387</v>
      </c>
      <c r="CU73" s="254">
        <v>2E-16</v>
      </c>
      <c r="CV73" s="81" t="s">
        <v>388</v>
      </c>
      <c r="CW73" s="255" t="s">
        <v>460</v>
      </c>
      <c r="CX73" s="261" t="s">
        <v>355</v>
      </c>
      <c r="CY73" s="256" t="s">
        <v>321</v>
      </c>
      <c r="CZ73" s="257">
        <f>1/CQ104</f>
        <v>787.40157480314951</v>
      </c>
      <c r="DA73" s="255" t="s">
        <v>320</v>
      </c>
    </row>
    <row r="74" spans="54:105" thickTop="1" thickBot="1" x14ac:dyDescent="0.3">
      <c r="BC74" s="81" t="s">
        <v>416</v>
      </c>
      <c r="BD74" s="167">
        <v>9.0299999999999998E-3</v>
      </c>
      <c r="BE74" s="167">
        <v>1.08E-3</v>
      </c>
      <c r="BF74" s="81">
        <v>8.4</v>
      </c>
      <c r="BG74" s="81" t="s">
        <v>387</v>
      </c>
      <c r="BH74" s="167">
        <v>2E-16</v>
      </c>
      <c r="BI74" s="81" t="s">
        <v>388</v>
      </c>
      <c r="BS74" s="81" t="s">
        <v>413</v>
      </c>
      <c r="BT74" s="167">
        <v>-7.88</v>
      </c>
      <c r="BU74" s="167">
        <v>6.25E-2</v>
      </c>
      <c r="BV74" s="81">
        <v>-126.09</v>
      </c>
      <c r="BW74" s="81" t="s">
        <v>387</v>
      </c>
      <c r="BX74" s="167">
        <v>2E-16</v>
      </c>
      <c r="BY74" s="81" t="s">
        <v>388</v>
      </c>
      <c r="CO74" s="253" t="s">
        <v>429</v>
      </c>
      <c r="CP74" s="253" t="s">
        <v>340</v>
      </c>
      <c r="CQ74" s="254">
        <v>0.56999999999999995</v>
      </c>
      <c r="CR74" s="254">
        <v>6.4899999999999999E-2</v>
      </c>
      <c r="CS74" s="253">
        <v>8.7899999999999991</v>
      </c>
      <c r="CT74" s="253" t="s">
        <v>387</v>
      </c>
      <c r="CU74" s="254">
        <v>2E-16</v>
      </c>
      <c r="CV74" s="81" t="s">
        <v>388</v>
      </c>
      <c r="CY74" s="256"/>
    </row>
    <row r="75" spans="54:105" thickTop="1" thickBot="1" x14ac:dyDescent="0.3">
      <c r="BC75" s="81" t="s">
        <v>417</v>
      </c>
      <c r="BD75" s="167">
        <v>531</v>
      </c>
      <c r="BE75" s="167">
        <v>102</v>
      </c>
      <c r="BF75" s="81">
        <v>5.22</v>
      </c>
      <c r="BG75" s="167">
        <v>1.9000000000000001E-7</v>
      </c>
      <c r="BH75" s="81" t="s">
        <v>388</v>
      </c>
      <c r="BS75" s="81" t="s">
        <v>414</v>
      </c>
      <c r="BT75" s="167">
        <v>-7.03</v>
      </c>
      <c r="BU75" s="167">
        <v>3.2000000000000001E-2</v>
      </c>
      <c r="BV75" s="81">
        <v>-219.87</v>
      </c>
      <c r="BW75" s="81" t="s">
        <v>387</v>
      </c>
      <c r="BX75" s="167">
        <v>2E-16</v>
      </c>
      <c r="BY75" s="81" t="s">
        <v>388</v>
      </c>
      <c r="CO75" s="253" t="s">
        <v>429</v>
      </c>
      <c r="CP75" s="253" t="s">
        <v>446</v>
      </c>
      <c r="CQ75" s="254">
        <v>0.32</v>
      </c>
      <c r="CR75" s="254">
        <v>1.41E-2</v>
      </c>
      <c r="CS75" s="253">
        <v>22.69</v>
      </c>
      <c r="CT75" s="253" t="s">
        <v>387</v>
      </c>
      <c r="CU75" s="254">
        <v>2E-16</v>
      </c>
      <c r="CV75" s="81" t="s">
        <v>388</v>
      </c>
      <c r="CW75" s="255" t="s">
        <v>460</v>
      </c>
      <c r="CX75" s="261" t="s">
        <v>425</v>
      </c>
      <c r="CY75" s="256" t="s">
        <v>321</v>
      </c>
      <c r="CZ75" s="257">
        <f>CQ115</f>
        <v>25100000</v>
      </c>
      <c r="DA75" s="255" t="s">
        <v>320</v>
      </c>
    </row>
    <row r="76" spans="54:105" thickTop="1" thickBot="1" x14ac:dyDescent="0.3">
      <c r="BC76" s="81" t="s">
        <v>418</v>
      </c>
      <c r="BD76" s="167">
        <v>697</v>
      </c>
      <c r="BE76" s="167">
        <v>233</v>
      </c>
      <c r="BF76" s="81">
        <v>2.99</v>
      </c>
      <c r="BG76" s="81">
        <v>2.7799999999999999E-3</v>
      </c>
      <c r="BH76" s="81" t="s">
        <v>426</v>
      </c>
      <c r="BS76" s="81" t="s">
        <v>416</v>
      </c>
      <c r="BT76" s="167">
        <v>1.23E-3</v>
      </c>
      <c r="BU76" s="167">
        <v>9.7600000000000001E-5</v>
      </c>
      <c r="BV76" s="81">
        <v>12.65</v>
      </c>
      <c r="BW76" s="81" t="s">
        <v>387</v>
      </c>
      <c r="BX76" s="167">
        <v>2E-16</v>
      </c>
      <c r="BY76" s="81" t="s">
        <v>388</v>
      </c>
      <c r="CO76" s="253" t="s">
        <v>429</v>
      </c>
      <c r="CP76" s="253" t="s">
        <v>447</v>
      </c>
      <c r="CQ76" s="254">
        <v>3.6400000000000002E-2</v>
      </c>
      <c r="CR76" s="254">
        <v>6.1500000000000001E-3</v>
      </c>
      <c r="CS76" s="253">
        <v>5.92</v>
      </c>
      <c r="CT76" s="254">
        <v>3.3999999999999998E-9</v>
      </c>
      <c r="CU76" s="253" t="s">
        <v>388</v>
      </c>
      <c r="CW76" s="255" t="s">
        <v>460</v>
      </c>
      <c r="CX76" s="261" t="s">
        <v>362</v>
      </c>
      <c r="CY76" s="256" t="s">
        <v>321</v>
      </c>
      <c r="CZ76" s="257">
        <f>CQ116</f>
        <v>42200000</v>
      </c>
      <c r="DA76" s="255" t="s">
        <v>320</v>
      </c>
    </row>
    <row r="77" spans="54:105" thickTop="1" thickBot="1" x14ac:dyDescent="0.3">
      <c r="BS77" s="81" t="s">
        <v>417</v>
      </c>
      <c r="BT77" s="167">
        <v>399</v>
      </c>
      <c r="BU77" s="167">
        <v>7.06</v>
      </c>
      <c r="BV77" s="81">
        <v>56.49</v>
      </c>
      <c r="BW77" s="81" t="s">
        <v>387</v>
      </c>
      <c r="BX77" s="167">
        <v>2E-16</v>
      </c>
      <c r="BY77" s="81" t="s">
        <v>388</v>
      </c>
      <c r="CO77" s="253" t="s">
        <v>429</v>
      </c>
      <c r="CP77" s="253" t="s">
        <v>448</v>
      </c>
      <c r="CQ77" s="254">
        <v>7.1600000000000001E-6</v>
      </c>
      <c r="CR77" s="254">
        <v>5.1799999999999999E-5</v>
      </c>
      <c r="CS77" s="253">
        <v>0.14000000000000001</v>
      </c>
      <c r="CT77" s="253">
        <v>0.89</v>
      </c>
      <c r="CW77" s="255" t="s">
        <v>460</v>
      </c>
      <c r="CX77" s="261" t="s">
        <v>368</v>
      </c>
      <c r="CY77" s="256" t="s">
        <v>321</v>
      </c>
      <c r="CZ77" s="257">
        <f>CQ121</f>
        <v>246</v>
      </c>
      <c r="DA77" s="255" t="s">
        <v>320</v>
      </c>
    </row>
    <row r="78" spans="54:105" thickTop="1" thickBot="1" x14ac:dyDescent="0.3">
      <c r="BS78" s="81" t="s">
        <v>418</v>
      </c>
      <c r="BT78" s="167">
        <v>2310</v>
      </c>
      <c r="BU78" s="167">
        <v>108</v>
      </c>
      <c r="BV78" s="81">
        <v>21.36</v>
      </c>
      <c r="BW78" s="81" t="s">
        <v>387</v>
      </c>
      <c r="BX78" s="167">
        <v>2E-16</v>
      </c>
      <c r="BY78" s="81" t="s">
        <v>388</v>
      </c>
      <c r="CO78" s="253" t="s">
        <v>429</v>
      </c>
      <c r="CP78" s="253" t="s">
        <v>341</v>
      </c>
      <c r="CQ78" s="254">
        <v>5.7599999999999998E-10</v>
      </c>
      <c r="CR78" s="254">
        <v>1.9499999999999999E-8</v>
      </c>
      <c r="CS78" s="253">
        <v>0.03</v>
      </c>
      <c r="CT78" s="253">
        <v>0.98</v>
      </c>
      <c r="CW78" s="255" t="s">
        <v>460</v>
      </c>
      <c r="CX78" s="261" t="s">
        <v>370</v>
      </c>
      <c r="CY78" s="256" t="s">
        <v>321</v>
      </c>
      <c r="CZ78" s="257">
        <f t="shared" ref="CZ78:CZ79" si="47">CQ122</f>
        <v>3.7399999999999998E-4</v>
      </c>
      <c r="DA78" s="255" t="s">
        <v>320</v>
      </c>
    </row>
    <row r="79" spans="54:105" thickTop="1" thickBot="1" x14ac:dyDescent="0.3">
      <c r="BB79" s="81" t="s">
        <v>429</v>
      </c>
      <c r="BC79" s="81" t="s">
        <v>380</v>
      </c>
      <c r="BD79" s="81" t="s">
        <v>381</v>
      </c>
      <c r="BE79" s="81" t="s">
        <v>382</v>
      </c>
      <c r="BF79" s="81" t="s">
        <v>383</v>
      </c>
      <c r="BG79" s="81" t="s">
        <v>384</v>
      </c>
      <c r="BH79" s="81" t="s">
        <v>385</v>
      </c>
      <c r="CO79" s="253" t="s">
        <v>429</v>
      </c>
      <c r="CP79" s="253" t="s">
        <v>449</v>
      </c>
      <c r="CQ79" s="254">
        <v>1.2099999999999999E-5</v>
      </c>
      <c r="CR79" s="254">
        <v>1.8900000000000001E-4</v>
      </c>
      <c r="CS79" s="253">
        <v>0.06</v>
      </c>
      <c r="CT79" s="253">
        <v>0.95</v>
      </c>
      <c r="CW79" s="255" t="s">
        <v>460</v>
      </c>
      <c r="CX79" s="261" t="s">
        <v>372</v>
      </c>
      <c r="CY79" s="256" t="s">
        <v>321</v>
      </c>
      <c r="CZ79" s="257">
        <f t="shared" si="47"/>
        <v>308</v>
      </c>
      <c r="DA79" s="255" t="s">
        <v>320</v>
      </c>
    </row>
    <row r="80" spans="54:105" thickTop="1" thickBot="1" x14ac:dyDescent="0.3">
      <c r="BB80" s="81" t="s">
        <v>429</v>
      </c>
      <c r="BC80" s="81" t="s">
        <v>423</v>
      </c>
      <c r="BD80" s="167">
        <v>291</v>
      </c>
      <c r="BE80" s="167">
        <v>0.112</v>
      </c>
      <c r="BF80" s="81">
        <v>2609.3000000000002</v>
      </c>
      <c r="BG80" s="81" t="s">
        <v>387</v>
      </c>
      <c r="BH80" s="167">
        <v>2E-16</v>
      </c>
      <c r="BI80" s="81" t="s">
        <v>388</v>
      </c>
      <c r="CO80" s="253" t="s">
        <v>429</v>
      </c>
      <c r="CP80" s="253" t="s">
        <v>450</v>
      </c>
      <c r="CQ80" s="254">
        <v>2.3700000000000001E-16</v>
      </c>
      <c r="CR80" s="254">
        <v>1.7E-14</v>
      </c>
      <c r="CS80" s="253">
        <v>0.01</v>
      </c>
      <c r="CT80" s="253">
        <v>0.99</v>
      </c>
    </row>
    <row r="81" spans="54:100" thickTop="1" thickBot="1" x14ac:dyDescent="0.3">
      <c r="BB81" s="81" t="s">
        <v>429</v>
      </c>
      <c r="BC81" s="81" t="s">
        <v>424</v>
      </c>
      <c r="BD81" s="167">
        <v>291</v>
      </c>
      <c r="BE81" s="167">
        <v>3.9800000000000002E-2</v>
      </c>
      <c r="BF81" s="81">
        <v>7295.15</v>
      </c>
      <c r="BG81" s="81" t="s">
        <v>387</v>
      </c>
      <c r="BH81" s="167">
        <v>2E-16</v>
      </c>
      <c r="BI81" s="81" t="s">
        <v>388</v>
      </c>
      <c r="BS81" s="81" t="s">
        <v>422</v>
      </c>
      <c r="CO81" s="253" t="s">
        <v>429</v>
      </c>
      <c r="CP81" s="253" t="s">
        <v>451</v>
      </c>
      <c r="CQ81" s="254">
        <v>0.85399999999999998</v>
      </c>
      <c r="CR81" s="254">
        <v>5.6099999999999997E-2</v>
      </c>
      <c r="CS81" s="253">
        <v>15.22</v>
      </c>
      <c r="CT81" s="253" t="s">
        <v>387</v>
      </c>
      <c r="CU81" s="254">
        <v>2E-16</v>
      </c>
      <c r="CV81" s="81" t="s">
        <v>388</v>
      </c>
    </row>
    <row r="82" spans="54:100" thickTop="1" thickBot="1" x14ac:dyDescent="0.3">
      <c r="BB82" s="81" t="s">
        <v>429</v>
      </c>
      <c r="BC82" s="81" t="s">
        <v>356</v>
      </c>
      <c r="BD82" s="167">
        <v>6.6500000000000004E-2</v>
      </c>
      <c r="BE82" s="167">
        <v>1.2700000000000001E-3</v>
      </c>
      <c r="BF82" s="81">
        <v>52.59</v>
      </c>
      <c r="BG82" s="81" t="s">
        <v>387</v>
      </c>
      <c r="BH82" s="167">
        <v>2E-16</v>
      </c>
      <c r="BI82" s="81" t="s">
        <v>388</v>
      </c>
      <c r="BS82" s="81" t="s">
        <v>379</v>
      </c>
      <c r="CO82" s="253" t="s">
        <v>429</v>
      </c>
      <c r="CP82" s="253" t="s">
        <v>452</v>
      </c>
      <c r="CQ82" s="254">
        <v>1.94</v>
      </c>
      <c r="CR82" s="254">
        <v>0.14000000000000001</v>
      </c>
      <c r="CS82" s="253">
        <v>13.86</v>
      </c>
      <c r="CT82" s="253" t="s">
        <v>387</v>
      </c>
      <c r="CU82" s="254">
        <v>2E-16</v>
      </c>
      <c r="CV82" s="81" t="s">
        <v>388</v>
      </c>
    </row>
    <row r="83" spans="54:100" thickTop="1" thickBot="1" x14ac:dyDescent="0.3">
      <c r="BB83" s="81" t="s">
        <v>429</v>
      </c>
      <c r="BC83" s="81" t="s">
        <v>358</v>
      </c>
      <c r="BD83" s="167">
        <v>0.246</v>
      </c>
      <c r="BE83" s="167">
        <v>7.6600000000000001E-3</v>
      </c>
      <c r="BF83" s="81">
        <v>32.04</v>
      </c>
      <c r="BG83" s="81" t="s">
        <v>387</v>
      </c>
      <c r="BH83" s="167">
        <v>2E-16</v>
      </c>
      <c r="BI83" s="81" t="s">
        <v>388</v>
      </c>
      <c r="BS83" s="81" t="s">
        <v>380</v>
      </c>
      <c r="BT83" s="81" t="s">
        <v>381</v>
      </c>
      <c r="BU83" s="81" t="s">
        <v>382</v>
      </c>
      <c r="BV83" s="81" t="s">
        <v>383</v>
      </c>
      <c r="BW83" s="81" t="s">
        <v>384</v>
      </c>
      <c r="BX83" s="81" t="s">
        <v>385</v>
      </c>
      <c r="CO83" s="253" t="s">
        <v>429</v>
      </c>
      <c r="CP83" s="253" t="s">
        <v>453</v>
      </c>
      <c r="CQ83" s="254">
        <v>0.65800000000000003</v>
      </c>
      <c r="CR83" s="254">
        <v>2.9499999999999998E-2</v>
      </c>
      <c r="CS83" s="253">
        <v>22.28</v>
      </c>
      <c r="CT83" s="253" t="s">
        <v>387</v>
      </c>
      <c r="CU83" s="254">
        <v>2E-16</v>
      </c>
      <c r="CV83" s="81" t="s">
        <v>388</v>
      </c>
    </row>
    <row r="84" spans="54:100" thickTop="1" thickBot="1" x14ac:dyDescent="0.3">
      <c r="BB84" s="81" t="s">
        <v>429</v>
      </c>
      <c r="BC84" s="81" t="s">
        <v>425</v>
      </c>
      <c r="BD84" s="167">
        <v>248000</v>
      </c>
      <c r="BE84" s="167">
        <v>22200</v>
      </c>
      <c r="BF84" s="81">
        <v>11.17</v>
      </c>
      <c r="BG84" s="81" t="s">
        <v>387</v>
      </c>
      <c r="BH84" s="167">
        <v>2E-16</v>
      </c>
      <c r="BI84" s="81" t="s">
        <v>388</v>
      </c>
      <c r="BS84" s="81" t="s">
        <v>423</v>
      </c>
      <c r="BT84" s="167">
        <v>290</v>
      </c>
      <c r="BU84" s="167">
        <v>0.34799999999999998</v>
      </c>
      <c r="BV84" s="81">
        <v>833.57</v>
      </c>
      <c r="BW84" s="81" t="s">
        <v>387</v>
      </c>
      <c r="BX84" s="167">
        <v>2E-16</v>
      </c>
      <c r="BY84" s="81" t="s">
        <v>388</v>
      </c>
      <c r="CO84" s="253" t="s">
        <v>429</v>
      </c>
      <c r="CP84" s="253" t="s">
        <v>454</v>
      </c>
      <c r="CQ84" s="254">
        <v>2.4400000000000001E-12</v>
      </c>
      <c r="CR84" s="254">
        <v>1.1800000000000001E-10</v>
      </c>
      <c r="CS84" s="253">
        <v>0.02</v>
      </c>
      <c r="CT84" s="253">
        <v>0.98</v>
      </c>
    </row>
    <row r="85" spans="54:100" thickTop="1" thickBot="1" x14ac:dyDescent="0.3">
      <c r="BB85" s="81" t="s">
        <v>429</v>
      </c>
      <c r="BC85" s="81" t="s">
        <v>362</v>
      </c>
      <c r="BD85" s="167">
        <v>6990000</v>
      </c>
      <c r="BE85" s="167">
        <v>43300</v>
      </c>
      <c r="BF85" s="81">
        <v>161.22</v>
      </c>
      <c r="BG85" s="81" t="s">
        <v>387</v>
      </c>
      <c r="BH85" s="167">
        <v>2E-16</v>
      </c>
      <c r="BI85" s="81" t="s">
        <v>388</v>
      </c>
      <c r="BS85" s="81" t="s">
        <v>424</v>
      </c>
      <c r="BT85" s="167">
        <v>292</v>
      </c>
      <c r="BU85" s="167">
        <v>0.40400000000000003</v>
      </c>
      <c r="BV85" s="81">
        <v>723.61</v>
      </c>
      <c r="BW85" s="81" t="s">
        <v>387</v>
      </c>
      <c r="BX85" s="167">
        <v>2E-16</v>
      </c>
      <c r="BY85" s="81" t="s">
        <v>388</v>
      </c>
      <c r="CO85" s="253" t="s">
        <v>429</v>
      </c>
      <c r="CP85" s="253" t="s">
        <v>306</v>
      </c>
      <c r="CQ85" s="254">
        <v>996000000</v>
      </c>
      <c r="CR85" s="254">
        <v>169000</v>
      </c>
      <c r="CS85" s="253">
        <v>5907.37</v>
      </c>
      <c r="CT85" s="253" t="s">
        <v>387</v>
      </c>
      <c r="CU85" s="254">
        <v>2E-16</v>
      </c>
      <c r="CV85" s="81" t="s">
        <v>388</v>
      </c>
    </row>
    <row r="86" spans="54:100" thickTop="1" thickBot="1" x14ac:dyDescent="0.3">
      <c r="BB86" s="81" t="s">
        <v>429</v>
      </c>
      <c r="BC86" s="81" t="s">
        <v>403</v>
      </c>
      <c r="BD86" s="167">
        <v>3.27</v>
      </c>
      <c r="BE86" s="167">
        <v>0.71599999999999997</v>
      </c>
      <c r="BF86" s="81">
        <v>4.57</v>
      </c>
      <c r="BG86" s="167">
        <v>5.2000000000000002E-6</v>
      </c>
      <c r="BH86" s="81" t="s">
        <v>388</v>
      </c>
      <c r="BS86" s="81" t="s">
        <v>356</v>
      </c>
      <c r="BT86" s="167">
        <v>3.0199999999999999E-9</v>
      </c>
      <c r="BU86" s="167">
        <v>1.24E-7</v>
      </c>
      <c r="BV86" s="81">
        <v>0.02</v>
      </c>
      <c r="BW86" s="81">
        <v>0.98050000000000004</v>
      </c>
      <c r="CO86" s="253" t="s">
        <v>429</v>
      </c>
      <c r="CP86" s="253" t="s">
        <v>398</v>
      </c>
      <c r="CQ86" s="254">
        <v>708000</v>
      </c>
      <c r="CR86" s="254">
        <v>10200</v>
      </c>
      <c r="CS86" s="253">
        <v>69.400000000000006</v>
      </c>
      <c r="CT86" s="253" t="s">
        <v>387</v>
      </c>
      <c r="CU86" s="254">
        <v>2E-16</v>
      </c>
      <c r="CV86" s="81" t="s">
        <v>388</v>
      </c>
    </row>
    <row r="87" spans="54:100" thickTop="1" thickBot="1" x14ac:dyDescent="0.3">
      <c r="BB87" s="81" t="s">
        <v>429</v>
      </c>
      <c r="BC87" s="81" t="s">
        <v>427</v>
      </c>
      <c r="BD87" s="167">
        <v>-1.33</v>
      </c>
      <c r="BE87" s="167">
        <v>0.96699999999999997</v>
      </c>
      <c r="BF87" s="81">
        <v>-1.38</v>
      </c>
      <c r="BG87" s="81">
        <v>0.17</v>
      </c>
      <c r="BS87" s="81" t="s">
        <v>358</v>
      </c>
      <c r="BT87" s="167">
        <v>3.7999999999999998E-11</v>
      </c>
      <c r="BU87" s="167">
        <v>1.9500000000000001E-9</v>
      </c>
      <c r="BV87" s="81">
        <v>0.02</v>
      </c>
      <c r="BW87" s="81">
        <v>0.98440000000000005</v>
      </c>
      <c r="CO87" s="253" t="s">
        <v>429</v>
      </c>
      <c r="CP87" s="253" t="s">
        <v>299</v>
      </c>
      <c r="CQ87" s="254">
        <v>31600000</v>
      </c>
      <c r="CR87" s="254">
        <v>5160000</v>
      </c>
      <c r="CS87" s="253">
        <v>6.13</v>
      </c>
      <c r="CT87" s="254">
        <v>9.5999999999999999E-10</v>
      </c>
      <c r="CU87" s="253" t="s">
        <v>388</v>
      </c>
    </row>
    <row r="88" spans="54:100" thickTop="1" thickBot="1" x14ac:dyDescent="0.3">
      <c r="BB88" s="81" t="s">
        <v>429</v>
      </c>
      <c r="BC88" s="81" t="s">
        <v>434</v>
      </c>
      <c r="BD88" s="167">
        <v>5.4399999999999997E-2</v>
      </c>
      <c r="BE88" s="167">
        <v>1.76E-4</v>
      </c>
      <c r="BF88" s="81">
        <v>309.37</v>
      </c>
      <c r="BG88" s="81" t="s">
        <v>387</v>
      </c>
      <c r="BH88" s="167">
        <v>2E-16</v>
      </c>
      <c r="BI88" s="81" t="s">
        <v>388</v>
      </c>
      <c r="BS88" s="81" t="s">
        <v>425</v>
      </c>
      <c r="BT88" s="167">
        <v>25100000</v>
      </c>
      <c r="BU88" s="167">
        <v>3300000</v>
      </c>
      <c r="BV88" s="81">
        <v>7.62</v>
      </c>
      <c r="BW88" s="167">
        <v>3.7E-14</v>
      </c>
      <c r="BX88" s="81" t="s">
        <v>388</v>
      </c>
      <c r="CO88" s="253" t="s">
        <v>429</v>
      </c>
      <c r="CP88" s="253" t="s">
        <v>301</v>
      </c>
      <c r="CQ88" s="254">
        <v>6440000</v>
      </c>
      <c r="CR88" s="254">
        <v>127000</v>
      </c>
      <c r="CS88" s="253">
        <v>50.85</v>
      </c>
      <c r="CT88" s="253" t="s">
        <v>387</v>
      </c>
      <c r="CU88" s="254">
        <v>2E-16</v>
      </c>
      <c r="CV88" s="81" t="s">
        <v>388</v>
      </c>
    </row>
    <row r="89" spans="54:100" thickTop="1" thickBot="1" x14ac:dyDescent="0.3">
      <c r="BB89" s="81" t="s">
        <v>429</v>
      </c>
      <c r="BC89" s="81" t="s">
        <v>435</v>
      </c>
      <c r="BD89" s="167">
        <v>0.16</v>
      </c>
      <c r="BE89" s="167">
        <v>5.0500000000000002E-4</v>
      </c>
      <c r="BF89" s="81">
        <v>315.95999999999998</v>
      </c>
      <c r="BG89" s="81" t="s">
        <v>387</v>
      </c>
      <c r="BH89" s="167">
        <v>2E-16</v>
      </c>
      <c r="BI89" s="81" t="s">
        <v>388</v>
      </c>
      <c r="BS89" s="81" t="s">
        <v>362</v>
      </c>
      <c r="BT89" s="167">
        <v>42200000</v>
      </c>
      <c r="BU89" s="167">
        <v>13300000</v>
      </c>
      <c r="BV89" s="81">
        <v>3.17</v>
      </c>
      <c r="BW89" s="81">
        <v>1.5E-3</v>
      </c>
      <c r="BX89" s="81" t="s">
        <v>426</v>
      </c>
      <c r="CO89" s="253" t="s">
        <v>429</v>
      </c>
      <c r="CP89" s="253" t="s">
        <v>399</v>
      </c>
      <c r="CQ89" s="254">
        <v>-1.81</v>
      </c>
      <c r="CR89" s="254">
        <v>3.32E-2</v>
      </c>
      <c r="CS89" s="253">
        <v>-54.6</v>
      </c>
      <c r="CT89" s="253" t="s">
        <v>387</v>
      </c>
      <c r="CU89" s="254">
        <v>2E-16</v>
      </c>
      <c r="CV89" s="81" t="s">
        <v>388</v>
      </c>
    </row>
    <row r="90" spans="54:100" thickTop="1" thickBot="1" x14ac:dyDescent="0.3">
      <c r="BB90" s="81" t="s">
        <v>429</v>
      </c>
      <c r="BC90" s="81" t="s">
        <v>415</v>
      </c>
      <c r="BD90" s="167">
        <v>-6.96</v>
      </c>
      <c r="BE90" s="167">
        <v>3.44E-2</v>
      </c>
      <c r="BF90" s="81">
        <v>-202.39</v>
      </c>
      <c r="BG90" s="81" t="s">
        <v>387</v>
      </c>
      <c r="BH90" s="167">
        <v>2E-16</v>
      </c>
      <c r="BI90" s="81" t="s">
        <v>388</v>
      </c>
      <c r="BS90" s="81" t="s">
        <v>403</v>
      </c>
      <c r="BT90" s="167">
        <v>8.73</v>
      </c>
      <c r="BU90" s="167">
        <v>6.3299999999999995E-2</v>
      </c>
      <c r="BV90" s="81">
        <v>137.88999999999999</v>
      </c>
      <c r="BW90" s="81" t="s">
        <v>387</v>
      </c>
      <c r="BX90" s="167">
        <v>2E-16</v>
      </c>
      <c r="BY90" s="81" t="s">
        <v>388</v>
      </c>
      <c r="CO90" s="253" t="s">
        <v>429</v>
      </c>
      <c r="CP90" s="253" t="s">
        <v>400</v>
      </c>
      <c r="CQ90" s="254">
        <v>-23</v>
      </c>
      <c r="CR90" s="254">
        <v>2.1999999999999999E-2</v>
      </c>
      <c r="CS90" s="253">
        <v>-1044.5999999999999</v>
      </c>
      <c r="CT90" s="253" t="s">
        <v>387</v>
      </c>
      <c r="CU90" s="254">
        <v>2E-16</v>
      </c>
      <c r="CV90" s="81" t="s">
        <v>388</v>
      </c>
    </row>
    <row r="91" spans="54:100" thickTop="1" thickBot="1" x14ac:dyDescent="0.3">
      <c r="BB91" s="81" t="s">
        <v>429</v>
      </c>
      <c r="BC91" s="81" t="s">
        <v>428</v>
      </c>
      <c r="BD91" s="167">
        <v>-3.98</v>
      </c>
      <c r="BE91" s="167">
        <v>4.7100000000000003E-2</v>
      </c>
      <c r="BF91" s="81">
        <v>-84.36</v>
      </c>
      <c r="BG91" s="81" t="s">
        <v>387</v>
      </c>
      <c r="BH91" s="167">
        <v>2E-16</v>
      </c>
      <c r="BI91" s="81" t="s">
        <v>388</v>
      </c>
      <c r="BS91" s="81" t="s">
        <v>427</v>
      </c>
      <c r="BT91" s="167">
        <v>8.16</v>
      </c>
      <c r="BU91" s="167">
        <v>0.12</v>
      </c>
      <c r="BV91" s="81">
        <v>67.790000000000006</v>
      </c>
      <c r="BW91" s="81" t="s">
        <v>387</v>
      </c>
      <c r="BX91" s="167">
        <v>2E-16</v>
      </c>
      <c r="BY91" s="81" t="s">
        <v>388</v>
      </c>
      <c r="CO91" s="253" t="s">
        <v>429</v>
      </c>
      <c r="CP91" s="253" t="s">
        <v>401</v>
      </c>
      <c r="CQ91" s="254">
        <v>-25.8</v>
      </c>
      <c r="CR91" s="254">
        <v>9.0900000000000009E-3</v>
      </c>
      <c r="CS91" s="253">
        <v>-2836.26</v>
      </c>
      <c r="CT91" s="253" t="s">
        <v>387</v>
      </c>
      <c r="CU91" s="254">
        <v>2E-16</v>
      </c>
      <c r="CV91" s="81" t="s">
        <v>388</v>
      </c>
    </row>
    <row r="92" spans="54:100" thickTop="1" thickBot="1" x14ac:dyDescent="0.3">
      <c r="BB92" s="81" t="s">
        <v>429</v>
      </c>
      <c r="BC92" s="81" t="s">
        <v>368</v>
      </c>
      <c r="BD92" s="167">
        <v>476</v>
      </c>
      <c r="BE92" s="167">
        <v>0.70699999999999996</v>
      </c>
      <c r="BF92" s="81">
        <v>673.36</v>
      </c>
      <c r="BG92" s="81" t="s">
        <v>387</v>
      </c>
      <c r="BH92" s="167">
        <v>2E-16</v>
      </c>
      <c r="BI92" s="81" t="s">
        <v>388</v>
      </c>
      <c r="BS92" s="81" t="s">
        <v>415</v>
      </c>
      <c r="BT92" s="167">
        <v>-5.0999999999999996</v>
      </c>
      <c r="BU92" s="167">
        <v>5.1200000000000002E-2</v>
      </c>
      <c r="BV92" s="81">
        <v>-99.56</v>
      </c>
      <c r="BW92" s="81" t="s">
        <v>387</v>
      </c>
      <c r="BX92" s="167">
        <v>2E-16</v>
      </c>
      <c r="BY92" s="81" t="s">
        <v>388</v>
      </c>
      <c r="CO92" s="253" t="s">
        <v>429</v>
      </c>
      <c r="CP92" s="253" t="s">
        <v>402</v>
      </c>
      <c r="CQ92" s="254">
        <v>-28.1</v>
      </c>
      <c r="CR92" s="254">
        <v>1.8800000000000001E-2</v>
      </c>
      <c r="CS92" s="253">
        <v>-1494.4</v>
      </c>
      <c r="CT92" s="253" t="s">
        <v>387</v>
      </c>
      <c r="CU92" s="254">
        <v>2E-16</v>
      </c>
      <c r="CV92" s="81" t="s">
        <v>388</v>
      </c>
    </row>
    <row r="93" spans="54:100" thickTop="1" thickBot="1" x14ac:dyDescent="0.3">
      <c r="BB93" s="81" t="s">
        <v>429</v>
      </c>
      <c r="BC93" s="81" t="s">
        <v>370</v>
      </c>
      <c r="BD93" s="167">
        <v>3410</v>
      </c>
      <c r="BE93" s="167">
        <v>3.6</v>
      </c>
      <c r="BF93" s="81">
        <v>945.88</v>
      </c>
      <c r="BG93" s="81" t="s">
        <v>387</v>
      </c>
      <c r="BH93" s="167">
        <v>2E-16</v>
      </c>
      <c r="BI93" s="81" t="s">
        <v>388</v>
      </c>
      <c r="BS93" s="81" t="s">
        <v>428</v>
      </c>
      <c r="BT93" s="167">
        <v>-4.79</v>
      </c>
      <c r="BU93" s="167">
        <v>3.9399999999999998E-2</v>
      </c>
      <c r="BV93" s="81">
        <v>-121.46</v>
      </c>
      <c r="BW93" s="81" t="s">
        <v>387</v>
      </c>
      <c r="BX93" s="167">
        <v>2E-16</v>
      </c>
      <c r="BY93" s="81" t="s">
        <v>388</v>
      </c>
      <c r="CO93" s="253" t="s">
        <v>429</v>
      </c>
      <c r="CP93" s="253" t="s">
        <v>404</v>
      </c>
      <c r="CQ93" s="254">
        <v>9.4299999999999995E-2</v>
      </c>
      <c r="CR93" s="254">
        <v>4.2300000000000003E-3</v>
      </c>
      <c r="CS93" s="253">
        <v>22.29</v>
      </c>
      <c r="CT93" s="253" t="s">
        <v>387</v>
      </c>
      <c r="CU93" s="254">
        <v>2E-16</v>
      </c>
      <c r="CV93" s="81" t="s">
        <v>388</v>
      </c>
    </row>
    <row r="94" spans="54:100" thickTop="1" thickBot="1" x14ac:dyDescent="0.3">
      <c r="BB94" s="81" t="s">
        <v>429</v>
      </c>
      <c r="BC94" s="81" t="s">
        <v>372</v>
      </c>
      <c r="BD94" s="167">
        <v>989</v>
      </c>
      <c r="BE94" s="167">
        <v>2.68</v>
      </c>
      <c r="BF94" s="81">
        <v>369.05</v>
      </c>
      <c r="BG94" s="81" t="s">
        <v>387</v>
      </c>
      <c r="BH94" s="167">
        <v>2E-16</v>
      </c>
      <c r="BI94" s="81" t="s">
        <v>388</v>
      </c>
      <c r="BS94" s="81" t="s">
        <v>368</v>
      </c>
      <c r="BT94" s="167">
        <v>246</v>
      </c>
      <c r="BU94" s="167">
        <v>4.6100000000000003</v>
      </c>
      <c r="BV94" s="81">
        <v>53.3</v>
      </c>
      <c r="BW94" s="81" t="s">
        <v>387</v>
      </c>
      <c r="BX94" s="167">
        <v>2E-16</v>
      </c>
      <c r="BY94" s="81" t="s">
        <v>388</v>
      </c>
      <c r="CO94" s="253" t="s">
        <v>429</v>
      </c>
      <c r="CP94" s="253" t="s">
        <v>405</v>
      </c>
      <c r="CQ94" s="254">
        <v>7.45E-3</v>
      </c>
      <c r="CR94" s="254">
        <v>2.5399999999999999E-4</v>
      </c>
      <c r="CS94" s="253">
        <v>29.32</v>
      </c>
      <c r="CT94" s="253" t="s">
        <v>387</v>
      </c>
      <c r="CU94" s="254">
        <v>2E-16</v>
      </c>
      <c r="CV94" s="81" t="s">
        <v>388</v>
      </c>
    </row>
    <row r="95" spans="54:100" thickTop="1" thickBot="1" x14ac:dyDescent="0.3">
      <c r="BS95" s="81" t="s">
        <v>370</v>
      </c>
      <c r="BT95" s="167">
        <v>3.7399999999999998E-4</v>
      </c>
      <c r="BU95" s="167">
        <v>1.9E-2</v>
      </c>
      <c r="BV95" s="81">
        <v>0.02</v>
      </c>
      <c r="BW95" s="81">
        <v>0.98429999999999995</v>
      </c>
      <c r="CO95" s="253" t="s">
        <v>429</v>
      </c>
      <c r="CP95" s="253" t="s">
        <v>406</v>
      </c>
      <c r="CQ95" s="254">
        <v>0.69499999999999995</v>
      </c>
      <c r="CR95" s="254">
        <v>4.5799999999999999E-3</v>
      </c>
      <c r="CS95" s="253">
        <v>151.77000000000001</v>
      </c>
      <c r="CT95" s="253" t="s">
        <v>387</v>
      </c>
      <c r="CU95" s="254">
        <v>2E-16</v>
      </c>
      <c r="CV95" s="81" t="s">
        <v>388</v>
      </c>
    </row>
    <row r="96" spans="54:100" thickTop="1" thickBot="1" x14ac:dyDescent="0.3">
      <c r="BS96" s="81" t="s">
        <v>372</v>
      </c>
      <c r="BT96" s="167">
        <v>308</v>
      </c>
      <c r="BU96" s="167">
        <v>6.33</v>
      </c>
      <c r="BV96" s="81">
        <v>48.59</v>
      </c>
      <c r="BW96" s="81" t="s">
        <v>387</v>
      </c>
      <c r="BX96" s="167">
        <v>2E-16</v>
      </c>
      <c r="BY96" s="81" t="s">
        <v>388</v>
      </c>
      <c r="CO96" s="253" t="s">
        <v>429</v>
      </c>
      <c r="CP96" s="253" t="s">
        <v>407</v>
      </c>
      <c r="CQ96" s="254">
        <v>5.01E-11</v>
      </c>
      <c r="CR96" s="254">
        <v>1.4100000000000001E-9</v>
      </c>
      <c r="CS96" s="253">
        <v>0.04</v>
      </c>
      <c r="CT96" s="253">
        <v>0.97</v>
      </c>
    </row>
    <row r="97" spans="93:100" thickTop="1" thickBot="1" x14ac:dyDescent="0.3">
      <c r="CO97" s="253" t="s">
        <v>429</v>
      </c>
      <c r="CP97" s="253" t="s">
        <v>409</v>
      </c>
      <c r="CQ97" s="254">
        <v>463</v>
      </c>
      <c r="CR97" s="254">
        <v>7.79</v>
      </c>
      <c r="CS97" s="253">
        <v>59.43</v>
      </c>
      <c r="CT97" s="253" t="s">
        <v>387</v>
      </c>
      <c r="CU97" s="254">
        <v>2E-16</v>
      </c>
      <c r="CV97" s="81" t="s">
        <v>388</v>
      </c>
    </row>
    <row r="98" spans="93:100" thickTop="1" thickBot="1" x14ac:dyDescent="0.3">
      <c r="CO98" s="253" t="s">
        <v>429</v>
      </c>
      <c r="CP98" s="253" t="s">
        <v>293</v>
      </c>
      <c r="CQ98" s="254">
        <v>185</v>
      </c>
      <c r="CR98" s="254">
        <v>2.06</v>
      </c>
      <c r="CS98" s="253">
        <v>89.9</v>
      </c>
      <c r="CT98" s="253" t="s">
        <v>387</v>
      </c>
      <c r="CU98" s="254">
        <v>2E-16</v>
      </c>
      <c r="CV98" s="81" t="s">
        <v>388</v>
      </c>
    </row>
    <row r="99" spans="93:100" thickTop="1" thickBot="1" x14ac:dyDescent="0.3">
      <c r="CO99" s="253" t="s">
        <v>429</v>
      </c>
      <c r="CP99" s="253" t="s">
        <v>120</v>
      </c>
      <c r="CQ99" s="254">
        <v>1.5399999999999999E-16</v>
      </c>
      <c r="CR99" s="254">
        <v>8.3600000000000002E-15</v>
      </c>
      <c r="CS99" s="253">
        <v>0.02</v>
      </c>
      <c r="CT99" s="253">
        <v>0.99</v>
      </c>
    </row>
    <row r="100" spans="93:100" thickTop="1" thickBot="1" x14ac:dyDescent="0.3">
      <c r="CO100" s="253" t="s">
        <v>429</v>
      </c>
      <c r="CP100" s="253" t="s">
        <v>411</v>
      </c>
      <c r="CQ100" s="254">
        <v>-4.53</v>
      </c>
      <c r="CR100" s="254">
        <v>1.7399999999999999E-2</v>
      </c>
      <c r="CS100" s="253">
        <v>-260.18</v>
      </c>
      <c r="CT100" s="253" t="s">
        <v>387</v>
      </c>
      <c r="CU100" s="254">
        <v>2E-16</v>
      </c>
      <c r="CV100" s="81" t="s">
        <v>388</v>
      </c>
    </row>
    <row r="101" spans="93:100" thickTop="1" thickBot="1" x14ac:dyDescent="0.3">
      <c r="CO101" s="253" t="s">
        <v>429</v>
      </c>
      <c r="CP101" s="253" t="s">
        <v>412</v>
      </c>
      <c r="CQ101" s="254">
        <v>-4.75</v>
      </c>
      <c r="CR101" s="254">
        <v>2.07E-2</v>
      </c>
      <c r="CS101" s="253">
        <v>-229.24</v>
      </c>
      <c r="CT101" s="253" t="s">
        <v>387</v>
      </c>
      <c r="CU101" s="254">
        <v>2E-16</v>
      </c>
      <c r="CV101" s="81" t="s">
        <v>388</v>
      </c>
    </row>
    <row r="102" spans="93:100" thickTop="1" thickBot="1" x14ac:dyDescent="0.3">
      <c r="CO102" s="253" t="s">
        <v>429</v>
      </c>
      <c r="CP102" s="253" t="s">
        <v>413</v>
      </c>
      <c r="CQ102" s="254">
        <v>-7.82</v>
      </c>
      <c r="CR102" s="254">
        <v>3.1899999999999998E-2</v>
      </c>
      <c r="CS102" s="253">
        <v>-245.39</v>
      </c>
      <c r="CT102" s="253" t="s">
        <v>387</v>
      </c>
      <c r="CU102" s="254">
        <v>2E-16</v>
      </c>
      <c r="CV102" s="81" t="s">
        <v>388</v>
      </c>
    </row>
    <row r="103" spans="93:100" thickTop="1" thickBot="1" x14ac:dyDescent="0.3">
      <c r="CO103" s="253" t="s">
        <v>429</v>
      </c>
      <c r="CP103" s="253" t="s">
        <v>414</v>
      </c>
      <c r="CQ103" s="254">
        <v>-7.09</v>
      </c>
      <c r="CR103" s="254">
        <v>2.4299999999999999E-2</v>
      </c>
      <c r="CS103" s="253">
        <v>-291.55</v>
      </c>
      <c r="CT103" s="253" t="s">
        <v>387</v>
      </c>
      <c r="CU103" s="254">
        <v>2E-16</v>
      </c>
      <c r="CV103" s="81" t="s">
        <v>388</v>
      </c>
    </row>
    <row r="104" spans="93:100" thickTop="1" thickBot="1" x14ac:dyDescent="0.3">
      <c r="CO104" s="253" t="s">
        <v>429</v>
      </c>
      <c r="CP104" s="253" t="s">
        <v>416</v>
      </c>
      <c r="CQ104" s="254">
        <v>1.2700000000000001E-3</v>
      </c>
      <c r="CR104" s="254">
        <v>4.0200000000000001E-5</v>
      </c>
      <c r="CS104" s="253">
        <v>31.65</v>
      </c>
      <c r="CT104" s="253" t="s">
        <v>387</v>
      </c>
      <c r="CU104" s="254">
        <v>2E-16</v>
      </c>
      <c r="CV104" s="81" t="s">
        <v>388</v>
      </c>
    </row>
    <row r="105" spans="93:100" thickTop="1" thickBot="1" x14ac:dyDescent="0.3">
      <c r="CO105" s="253" t="s">
        <v>429</v>
      </c>
      <c r="CP105" s="253" t="s">
        <v>417</v>
      </c>
      <c r="CQ105" s="254">
        <v>387</v>
      </c>
      <c r="CR105" s="254">
        <v>4.18</v>
      </c>
      <c r="CS105" s="253">
        <v>92.37</v>
      </c>
      <c r="CT105" s="253" t="s">
        <v>387</v>
      </c>
      <c r="CU105" s="254">
        <v>2E-16</v>
      </c>
      <c r="CV105" s="81" t="s">
        <v>388</v>
      </c>
    </row>
    <row r="106" spans="93:100" thickTop="1" thickBot="1" x14ac:dyDescent="0.3">
      <c r="CO106" s="253" t="s">
        <v>429</v>
      </c>
      <c r="CP106" s="253" t="s">
        <v>418</v>
      </c>
      <c r="CQ106" s="254">
        <v>1920</v>
      </c>
      <c r="CR106" s="254">
        <v>3.74</v>
      </c>
      <c r="CS106" s="253">
        <v>512.21</v>
      </c>
      <c r="CT106" s="253" t="s">
        <v>387</v>
      </c>
      <c r="CU106" s="254">
        <v>2E-16</v>
      </c>
      <c r="CV106" s="81" t="s">
        <v>388</v>
      </c>
    </row>
    <row r="108" spans="93:100" thickTop="1" thickBot="1" x14ac:dyDescent="0.3">
      <c r="CO108" s="253" t="s">
        <v>429</v>
      </c>
      <c r="CP108" s="253" t="s">
        <v>420</v>
      </c>
      <c r="CQ108" s="253" t="s">
        <v>422</v>
      </c>
    </row>
    <row r="109" spans="93:100" thickTop="1" thickBot="1" x14ac:dyDescent="0.3">
      <c r="CO109" s="253" t="s">
        <v>429</v>
      </c>
      <c r="CP109" s="253" t="s">
        <v>379</v>
      </c>
    </row>
    <row r="110" spans="93:100" thickTop="1" thickBot="1" x14ac:dyDescent="0.3">
      <c r="CO110" s="253" t="s">
        <v>429</v>
      </c>
      <c r="CP110" s="253" t="s">
        <v>380</v>
      </c>
      <c r="CQ110" s="253" t="s">
        <v>381</v>
      </c>
      <c r="CR110" s="253" t="s">
        <v>382</v>
      </c>
      <c r="CS110" s="253" t="s">
        <v>383</v>
      </c>
      <c r="CT110" s="253" t="s">
        <v>384</v>
      </c>
      <c r="CU110" s="253" t="s">
        <v>385</v>
      </c>
    </row>
    <row r="111" spans="93:100" thickTop="1" thickBot="1" x14ac:dyDescent="0.3">
      <c r="CO111" s="253" t="s">
        <v>429</v>
      </c>
      <c r="CP111" s="253" t="s">
        <v>423</v>
      </c>
      <c r="CQ111" s="254">
        <v>290</v>
      </c>
      <c r="CR111" s="254">
        <v>0.34799999999999998</v>
      </c>
      <c r="CS111" s="253">
        <v>833.57</v>
      </c>
      <c r="CT111" s="253" t="s">
        <v>387</v>
      </c>
      <c r="CU111" s="254">
        <v>2E-16</v>
      </c>
      <c r="CV111" s="81" t="s">
        <v>388</v>
      </c>
    </row>
    <row r="112" spans="93:100" thickTop="1" thickBot="1" x14ac:dyDescent="0.3">
      <c r="CO112" s="253" t="s">
        <v>429</v>
      </c>
      <c r="CP112" s="253" t="s">
        <v>424</v>
      </c>
      <c r="CQ112" s="254">
        <v>292</v>
      </c>
      <c r="CR112" s="254">
        <v>0.40400000000000003</v>
      </c>
      <c r="CS112" s="253">
        <v>723.61</v>
      </c>
      <c r="CT112" s="253" t="s">
        <v>387</v>
      </c>
      <c r="CU112" s="254">
        <v>2E-16</v>
      </c>
      <c r="CV112" s="81" t="s">
        <v>388</v>
      </c>
    </row>
    <row r="113" spans="93:100" thickTop="1" thickBot="1" x14ac:dyDescent="0.3">
      <c r="CO113" s="253" t="s">
        <v>429</v>
      </c>
      <c r="CP113" s="253" t="s">
        <v>356</v>
      </c>
      <c r="CQ113" s="254">
        <v>3.0199999999999999E-9</v>
      </c>
      <c r="CR113" s="254">
        <v>1.24E-7</v>
      </c>
      <c r="CS113" s="253">
        <v>0.02</v>
      </c>
      <c r="CT113" s="253">
        <v>0.98050000000000004</v>
      </c>
    </row>
    <row r="114" spans="93:100" thickTop="1" thickBot="1" x14ac:dyDescent="0.3">
      <c r="CO114" s="253" t="s">
        <v>429</v>
      </c>
      <c r="CP114" s="253" t="s">
        <v>358</v>
      </c>
      <c r="CQ114" s="254">
        <v>3.7999999999999998E-11</v>
      </c>
      <c r="CR114" s="254">
        <v>1.9500000000000001E-9</v>
      </c>
      <c r="CS114" s="253">
        <v>0.02</v>
      </c>
      <c r="CT114" s="253">
        <v>0.98440000000000005</v>
      </c>
    </row>
    <row r="115" spans="93:100" thickTop="1" thickBot="1" x14ac:dyDescent="0.3">
      <c r="CO115" s="253" t="s">
        <v>429</v>
      </c>
      <c r="CP115" s="253" t="s">
        <v>425</v>
      </c>
      <c r="CQ115" s="254">
        <v>25100000</v>
      </c>
      <c r="CR115" s="254">
        <v>3300000</v>
      </c>
      <c r="CS115" s="253">
        <v>7.62</v>
      </c>
      <c r="CT115" s="254">
        <v>3.7E-14</v>
      </c>
      <c r="CU115" s="253" t="s">
        <v>388</v>
      </c>
    </row>
    <row r="116" spans="93:100" thickTop="1" thickBot="1" x14ac:dyDescent="0.3">
      <c r="CO116" s="253" t="s">
        <v>429</v>
      </c>
      <c r="CP116" s="253" t="s">
        <v>362</v>
      </c>
      <c r="CQ116" s="254">
        <v>42200000</v>
      </c>
      <c r="CR116" s="254">
        <v>13300000</v>
      </c>
      <c r="CS116" s="253">
        <v>3.17</v>
      </c>
      <c r="CT116" s="253">
        <v>1.5E-3</v>
      </c>
      <c r="CU116" s="253" t="s">
        <v>426</v>
      </c>
    </row>
    <row r="117" spans="93:100" thickTop="1" thickBot="1" x14ac:dyDescent="0.3">
      <c r="CO117" s="253" t="s">
        <v>429</v>
      </c>
      <c r="CP117" s="253" t="s">
        <v>403</v>
      </c>
      <c r="CQ117" s="254">
        <v>8.73</v>
      </c>
      <c r="CR117" s="254">
        <v>6.3299999999999995E-2</v>
      </c>
      <c r="CS117" s="253">
        <v>137.88999999999999</v>
      </c>
      <c r="CT117" s="253" t="s">
        <v>387</v>
      </c>
      <c r="CU117" s="254">
        <v>2E-16</v>
      </c>
      <c r="CV117" s="81" t="s">
        <v>388</v>
      </c>
    </row>
    <row r="118" spans="93:100" thickTop="1" thickBot="1" x14ac:dyDescent="0.3">
      <c r="CO118" s="253" t="s">
        <v>429</v>
      </c>
      <c r="CP118" s="253" t="s">
        <v>427</v>
      </c>
      <c r="CQ118" s="254">
        <v>8.16</v>
      </c>
      <c r="CR118" s="254">
        <v>0.12</v>
      </c>
      <c r="CS118" s="253">
        <v>67.790000000000006</v>
      </c>
      <c r="CT118" s="253" t="s">
        <v>387</v>
      </c>
      <c r="CU118" s="254">
        <v>2E-16</v>
      </c>
      <c r="CV118" s="81" t="s">
        <v>388</v>
      </c>
    </row>
    <row r="119" spans="93:100" thickTop="1" thickBot="1" x14ac:dyDescent="0.3">
      <c r="CO119" s="253" t="s">
        <v>429</v>
      </c>
      <c r="CP119" s="253" t="s">
        <v>415</v>
      </c>
      <c r="CQ119" s="254">
        <v>-5.0999999999999996</v>
      </c>
      <c r="CR119" s="254">
        <v>5.1200000000000002E-2</v>
      </c>
      <c r="CS119" s="253">
        <v>-99.56</v>
      </c>
      <c r="CT119" s="253" t="s">
        <v>387</v>
      </c>
      <c r="CU119" s="254">
        <v>2E-16</v>
      </c>
      <c r="CV119" s="81" t="s">
        <v>388</v>
      </c>
    </row>
    <row r="120" spans="93:100" thickTop="1" thickBot="1" x14ac:dyDescent="0.3">
      <c r="CO120" s="253" t="s">
        <v>429</v>
      </c>
      <c r="CP120" s="253" t="s">
        <v>428</v>
      </c>
      <c r="CQ120" s="254">
        <v>-4.79</v>
      </c>
      <c r="CR120" s="254">
        <v>3.9399999999999998E-2</v>
      </c>
      <c r="CS120" s="253">
        <v>-121.46</v>
      </c>
      <c r="CT120" s="253" t="s">
        <v>387</v>
      </c>
      <c r="CU120" s="254">
        <v>2E-16</v>
      </c>
      <c r="CV120" s="81" t="s">
        <v>388</v>
      </c>
    </row>
    <row r="121" spans="93:100" thickTop="1" thickBot="1" x14ac:dyDescent="0.3">
      <c r="CO121" s="253" t="s">
        <v>429</v>
      </c>
      <c r="CP121" s="253" t="s">
        <v>368</v>
      </c>
      <c r="CQ121" s="254">
        <v>246</v>
      </c>
      <c r="CR121" s="254">
        <v>4.6100000000000003</v>
      </c>
      <c r="CS121" s="253">
        <v>53.3</v>
      </c>
      <c r="CT121" s="253" t="s">
        <v>387</v>
      </c>
      <c r="CU121" s="254">
        <v>2E-16</v>
      </c>
      <c r="CV121" s="81" t="s">
        <v>388</v>
      </c>
    </row>
    <row r="122" spans="93:100" thickTop="1" thickBot="1" x14ac:dyDescent="0.3">
      <c r="CO122" s="253" t="s">
        <v>429</v>
      </c>
      <c r="CP122" s="253" t="s">
        <v>370</v>
      </c>
      <c r="CQ122" s="254">
        <v>3.7399999999999998E-4</v>
      </c>
      <c r="CR122" s="254">
        <v>1.9E-2</v>
      </c>
      <c r="CS122" s="253">
        <v>0.02</v>
      </c>
      <c r="CT122" s="253">
        <v>0.98429999999999995</v>
      </c>
    </row>
    <row r="123" spans="93:100" thickTop="1" thickBot="1" x14ac:dyDescent="0.3">
      <c r="CO123" s="253" t="s">
        <v>429</v>
      </c>
      <c r="CP123" s="253" t="s">
        <v>372</v>
      </c>
      <c r="CQ123" s="254">
        <v>308</v>
      </c>
      <c r="CR123" s="254">
        <v>6.33</v>
      </c>
      <c r="CS123" s="253">
        <v>48.59</v>
      </c>
      <c r="CT123" s="253" t="s">
        <v>387</v>
      </c>
      <c r="CU123" s="254">
        <v>2E-16</v>
      </c>
      <c r="CV123" s="81" t="s">
        <v>388</v>
      </c>
    </row>
  </sheetData>
  <mergeCells count="8">
    <mergeCell ref="E36:F36"/>
    <mergeCell ref="A1:G1"/>
    <mergeCell ref="A3:H3"/>
    <mergeCell ref="J3:T3"/>
    <mergeCell ref="V3:AG3"/>
    <mergeCell ref="K4:O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25"/>
  <sheetViews>
    <sheetView topLeftCell="CD36" zoomScale="70" zoomScaleNormal="70" workbookViewId="0">
      <selection activeCell="DD4" sqref="DD4:DI80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68" width="9.140625" style="81"/>
    <col min="69" max="69" width="13.5703125" style="81" bestFit="1" customWidth="1"/>
    <col min="70" max="70" width="9.140625" style="81"/>
    <col min="71" max="71" width="9.140625" style="171"/>
    <col min="72" max="72" width="9.140625" style="81"/>
    <col min="73" max="73" width="11.7109375" style="81" customWidth="1"/>
    <col min="74" max="78" width="9.140625" style="81"/>
    <col min="79" max="82" width="9.140625" style="172"/>
    <col min="83" max="83" width="16.5703125" style="172" customWidth="1"/>
    <col min="84" max="84" width="9.140625" style="172"/>
    <col min="85" max="85" width="9.140625" style="81"/>
    <col min="86" max="87" width="9.140625" style="248"/>
    <col min="88" max="88" width="15" style="81" customWidth="1"/>
    <col min="89" max="89" width="12.140625" style="79" customWidth="1"/>
    <col min="90" max="91" width="11.28515625" style="79" customWidth="1"/>
    <col min="92" max="93" width="9.140625" style="81"/>
    <col min="94" max="100" width="9.140625" style="253"/>
    <col min="101" max="101" width="9.140625" style="81"/>
    <col min="102" max="102" width="15.5703125" style="255" bestFit="1" customWidth="1"/>
    <col min="103" max="104" width="9.140625" style="255"/>
    <col min="105" max="105" width="12.5703125" style="255" customWidth="1"/>
    <col min="106" max="106" width="9.140625" style="255"/>
    <col min="107" max="107" width="9.140625" style="81"/>
    <col min="108" max="112" width="9.140625" style="170"/>
    <col min="113" max="16384" width="9.140625" style="81"/>
  </cols>
  <sheetData>
    <row r="1" spans="1:112" ht="20.25" customHeight="1" thickTop="1" thickBot="1" x14ac:dyDescent="0.35">
      <c r="A1" s="309" t="s">
        <v>310</v>
      </c>
      <c r="B1" s="309"/>
      <c r="C1" s="309"/>
      <c r="D1" s="309"/>
      <c r="E1" s="309"/>
      <c r="F1" s="309"/>
      <c r="G1" s="309"/>
      <c r="AO1" s="160" t="s">
        <v>312</v>
      </c>
      <c r="BC1" s="81" t="s">
        <v>377</v>
      </c>
      <c r="BT1" s="81" t="s">
        <v>378</v>
      </c>
    </row>
    <row r="2" spans="1:112" thickTop="1" thickBot="1" x14ac:dyDescent="0.3">
      <c r="AO2" s="81" t="s">
        <v>313</v>
      </c>
      <c r="CJ2" s="81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</row>
    <row r="3" spans="1:112" thickTop="1" thickBot="1" x14ac:dyDescent="0.3">
      <c r="A3" s="312" t="s">
        <v>1</v>
      </c>
      <c r="B3" s="313"/>
      <c r="C3" s="313"/>
      <c r="D3" s="313"/>
      <c r="E3" s="313"/>
      <c r="F3" s="313"/>
      <c r="G3" s="313"/>
      <c r="H3" s="314"/>
      <c r="I3" s="288"/>
      <c r="K3" s="306" t="s">
        <v>2</v>
      </c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4"/>
      <c r="W3" s="311" t="s">
        <v>3</v>
      </c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06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D3" s="81" t="s">
        <v>420</v>
      </c>
      <c r="BE3" s="81" t="s">
        <v>430</v>
      </c>
      <c r="BM3" s="166" t="s">
        <v>316</v>
      </c>
      <c r="BN3" s="161"/>
      <c r="BO3" s="161"/>
      <c r="BP3" s="161"/>
      <c r="BQ3" s="162"/>
      <c r="BR3" s="161"/>
      <c r="BT3" s="81" t="s">
        <v>379</v>
      </c>
      <c r="CA3" s="172" t="s">
        <v>316</v>
      </c>
      <c r="CE3" s="173"/>
      <c r="CJ3" s="81" t="s">
        <v>319</v>
      </c>
      <c r="CK3" s="249">
        <f>AZ4</f>
        <v>0.15329867501846428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</row>
    <row r="4" spans="1:112" ht="15.75" customHeight="1" thickTop="1" thickBot="1" x14ac:dyDescent="0.3">
      <c r="A4" s="176" t="s">
        <v>6</v>
      </c>
      <c r="B4" s="177">
        <f>'Tabula data'!B5</f>
        <v>531.70000000000005</v>
      </c>
      <c r="C4" s="177" t="s">
        <v>7</v>
      </c>
      <c r="D4" s="176" t="s">
        <v>8</v>
      </c>
      <c r="E4" s="177"/>
      <c r="F4" s="177"/>
      <c r="G4" s="178">
        <f>SUM(H6:H13)</f>
        <v>30.599999999999998</v>
      </c>
      <c r="H4" s="179" t="s">
        <v>9</v>
      </c>
      <c r="I4" s="187"/>
      <c r="L4" s="315" t="s">
        <v>2</v>
      </c>
      <c r="M4" s="316"/>
      <c r="N4" s="316"/>
      <c r="O4" s="316"/>
      <c r="P4" s="317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0.15329867501846428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0.15329867501846428</v>
      </c>
      <c r="BA4" s="168" t="s">
        <v>320</v>
      </c>
      <c r="BD4" s="81" t="s">
        <v>379</v>
      </c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s="81" t="s">
        <v>322</v>
      </c>
      <c r="CK4" s="249">
        <f t="shared" ref="CK4:CK49" si="0">AZ5</f>
        <v>0.38555379170255122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429</v>
      </c>
      <c r="CQ4" s="253" t="s">
        <v>420</v>
      </c>
      <c r="CR4" s="253" t="s">
        <v>441</v>
      </c>
    </row>
    <row r="5" spans="1:112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s="81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0.2816515182597264</v>
      </c>
      <c r="AB5" s="226" t="s">
        <v>5</v>
      </c>
      <c r="AC5" s="226"/>
      <c r="AD5" s="226" t="s">
        <v>22</v>
      </c>
      <c r="AE5" s="229">
        <f>SUM(AE7:AE10)</f>
        <v>59808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0.38555379170255122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0.38555379170255122</v>
      </c>
      <c r="BA5" s="168" t="s">
        <v>320</v>
      </c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s="81" t="s">
        <v>323</v>
      </c>
      <c r="CK5" s="249">
        <f t="shared" si="0"/>
        <v>3.3807174217386021E-2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X5" s="255" t="s">
        <v>460</v>
      </c>
      <c r="CY5" s="256" t="s">
        <v>461</v>
      </c>
      <c r="CZ5" s="256" t="s">
        <v>321</v>
      </c>
      <c r="DA5" s="257">
        <f>CR12</f>
        <v>0.108</v>
      </c>
      <c r="DB5" s="255" t="s">
        <v>320</v>
      </c>
      <c r="DD5" s="170" t="s">
        <v>460</v>
      </c>
      <c r="DE5" s="289" t="s">
        <v>461</v>
      </c>
      <c r="DF5" s="289" t="s">
        <v>321</v>
      </c>
      <c r="DG5" s="170">
        <f>O$11*$Z$37*$AP$4</f>
        <v>0.26298387699417547</v>
      </c>
      <c r="DH5" s="170" t="s">
        <v>320</v>
      </c>
    </row>
    <row r="6" spans="1:112" ht="15" customHeight="1" thickTop="1" thickBot="1" x14ac:dyDescent="0.3">
      <c r="A6" s="185" t="s">
        <v>34</v>
      </c>
      <c r="B6" s="186">
        <f>'Tabula data'!B4</f>
        <v>193.4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0.12091503267973858</v>
      </c>
      <c r="G6" s="183"/>
      <c r="H6" s="190">
        <f>'Tabula data'!B22*'Tabula RefULG 1'!C45</f>
        <v>3.7</v>
      </c>
      <c r="I6" s="202"/>
      <c r="K6" s="81" t="s">
        <v>24</v>
      </c>
      <c r="L6" s="211">
        <v>0</v>
      </c>
      <c r="M6" s="212">
        <v>1</v>
      </c>
      <c r="N6" s="212" t="s">
        <v>25</v>
      </c>
      <c r="O6" s="213">
        <f>'Tabula data'!B19*C43</f>
        <v>16.822408211117601</v>
      </c>
      <c r="P6" s="214" t="s">
        <v>26</v>
      </c>
      <c r="Q6" s="30">
        <f t="shared" ref="Q6:Q31" si="7">VLOOKUP(N6,$X$5:$AA$391,4,0)</f>
        <v>1.6946440466045722</v>
      </c>
      <c r="R6" s="30">
        <f t="shared" ref="R6:R31" si="8">Q6*O6</f>
        <v>28.507993924522314</v>
      </c>
      <c r="S6" s="30">
        <f t="shared" ref="S6:S14" si="9">VLOOKUP(N6,$X$5:$AE$391,8,0)*O6</f>
        <v>5136554.1231826479</v>
      </c>
      <c r="T6" s="30">
        <f t="shared" ref="T6:T14" si="10">S6/O6</f>
        <v>305340</v>
      </c>
      <c r="U6" s="30">
        <f t="shared" ref="U6:U14" si="11">VLOOKUP(N6,$X$5:$AG$391,10,0)*O6</f>
        <v>3045192.3343765088</v>
      </c>
      <c r="V6" s="31"/>
      <c r="W6" s="15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3.3807174217386021E-2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3.3807174217386021E-2</v>
      </c>
      <c r="BA6" s="168" t="s">
        <v>320</v>
      </c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s="81" t="s">
        <v>324</v>
      </c>
      <c r="CK6" s="249">
        <f t="shared" si="0"/>
        <v>0.19621418761463261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X6" s="255" t="s">
        <v>460</v>
      </c>
      <c r="CY6" s="256" t="s">
        <v>462</v>
      </c>
      <c r="CZ6" s="256" t="s">
        <v>321</v>
      </c>
      <c r="DA6" s="257">
        <f t="shared" ref="DA6:DA23" si="12">CR13</f>
        <v>0.63600000000000001</v>
      </c>
      <c r="DB6" s="255" t="s">
        <v>320</v>
      </c>
      <c r="DD6" s="170" t="s">
        <v>460</v>
      </c>
      <c r="DE6" s="289" t="s">
        <v>462</v>
      </c>
      <c r="DF6" s="289" t="s">
        <v>321</v>
      </c>
      <c r="DG6" s="170">
        <f>O$10*$Z$37*$AP$4</f>
        <v>0.26658639585710936</v>
      </c>
      <c r="DH6" s="170" t="s">
        <v>320</v>
      </c>
    </row>
    <row r="7" spans="1:112" ht="15" customHeight="1" thickTop="1" thickBot="1" x14ac:dyDescent="0.3">
      <c r="A7" s="188" t="s">
        <v>42</v>
      </c>
      <c r="B7" s="191">
        <f>'Tabula data'!B14</f>
        <v>88.800000000000011</v>
      </c>
      <c r="C7" s="192" t="s">
        <v>9</v>
      </c>
      <c r="D7" s="188" t="s">
        <v>43</v>
      </c>
      <c r="E7" s="183" t="s">
        <v>36</v>
      </c>
      <c r="F7" s="189">
        <f t="shared" si="6"/>
        <v>0.11928104575163399</v>
      </c>
      <c r="G7" s="183"/>
      <c r="H7" s="190">
        <f>'Tabula data'!B23*'Tabula RefULG 1'!C45</f>
        <v>3.65</v>
      </c>
      <c r="I7" s="202"/>
      <c r="K7" s="81" t="s">
        <v>38</v>
      </c>
      <c r="L7" s="215">
        <v>0</v>
      </c>
      <c r="M7" s="216">
        <v>1</v>
      </c>
      <c r="N7" s="216" t="s">
        <v>25</v>
      </c>
      <c r="O7" s="217">
        <f>'Tabula data'!B20*C43</f>
        <v>35.733053277868223</v>
      </c>
      <c r="P7" s="218" t="s">
        <v>39</v>
      </c>
      <c r="Q7" s="30">
        <f t="shared" si="7"/>
        <v>1.6946440466045722</v>
      </c>
      <c r="R7" s="30">
        <f t="shared" si="8"/>
        <v>60.554806004343376</v>
      </c>
      <c r="S7" s="30">
        <f t="shared" si="9"/>
        <v>10910730.487864284</v>
      </c>
      <c r="T7" s="30">
        <f t="shared" si="10"/>
        <v>305340</v>
      </c>
      <c r="U7" s="30">
        <f t="shared" si="11"/>
        <v>6468397.3043597071</v>
      </c>
      <c r="V7" s="31"/>
      <c r="W7" s="153"/>
      <c r="X7" s="182"/>
      <c r="Y7" s="183" t="s">
        <v>40</v>
      </c>
      <c r="Z7" s="183">
        <v>2.5000000000000001E-2</v>
      </c>
      <c r="AA7" s="183">
        <v>1.3</v>
      </c>
      <c r="AB7" s="183">
        <v>1700</v>
      </c>
      <c r="AC7" s="183">
        <v>840</v>
      </c>
      <c r="AD7" s="233">
        <f>Z7/AA7</f>
        <v>1.9230769230769232E-2</v>
      </c>
      <c r="AE7" s="184">
        <f>Z7*AB7*AC7</f>
        <v>35700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0.19621418761463261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0.19621418761463261</v>
      </c>
      <c r="BA7" s="168" t="s">
        <v>320</v>
      </c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292</v>
      </c>
      <c r="CS7" s="254">
        <v>4.2900000000000001E-2</v>
      </c>
      <c r="CT7" s="253">
        <v>6801.28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0.28699999999999998</v>
      </c>
      <c r="DB7" s="255" t="s">
        <v>320</v>
      </c>
      <c r="DD7" s="170" t="s">
        <v>460</v>
      </c>
      <c r="DE7" s="290" t="s">
        <v>463</v>
      </c>
      <c r="DF7" s="289" t="s">
        <v>321</v>
      </c>
      <c r="DG7" s="170">
        <f>O$12*$Z$37*$AP$4</f>
        <v>0.30261158448644848</v>
      </c>
      <c r="DH7" s="170" t="s">
        <v>320</v>
      </c>
    </row>
    <row r="8" spans="1:112" ht="15" customHeight="1" thickTop="1" thickBot="1" x14ac:dyDescent="0.3">
      <c r="A8" s="188" t="s">
        <v>47</v>
      </c>
      <c r="B8" s="191">
        <f>B6-B7</f>
        <v>104.6</v>
      </c>
      <c r="C8" s="183" t="s">
        <v>9</v>
      </c>
      <c r="D8" s="188" t="s">
        <v>48</v>
      </c>
      <c r="E8" s="183" t="s">
        <v>36</v>
      </c>
      <c r="F8" s="189">
        <f t="shared" si="6"/>
        <v>0.13725490196078433</v>
      </c>
      <c r="G8" s="183"/>
      <c r="H8" s="190">
        <f>'Tabula data'!B24*C45</f>
        <v>4.2</v>
      </c>
      <c r="I8" s="202"/>
      <c r="K8" s="81" t="s">
        <v>44</v>
      </c>
      <c r="L8" s="215">
        <v>0</v>
      </c>
      <c r="M8" s="216">
        <v>1</v>
      </c>
      <c r="N8" s="216" t="s">
        <v>25</v>
      </c>
      <c r="O8" s="217">
        <f>O6</f>
        <v>16.822408211117601</v>
      </c>
      <c r="P8" s="218" t="s">
        <v>45</v>
      </c>
      <c r="Q8" s="30">
        <f t="shared" si="7"/>
        <v>1.6946440466045722</v>
      </c>
      <c r="R8" s="30">
        <f t="shared" si="8"/>
        <v>28.507993924522314</v>
      </c>
      <c r="S8" s="30">
        <f t="shared" si="9"/>
        <v>5136554.1231826479</v>
      </c>
      <c r="T8" s="30">
        <f t="shared" si="10"/>
        <v>305340</v>
      </c>
      <c r="U8" s="30">
        <f t="shared" si="11"/>
        <v>3045192.3343765088</v>
      </c>
      <c r="V8" s="31"/>
      <c r="W8" s="15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s="81" t="s">
        <v>325</v>
      </c>
      <c r="CK8" s="251">
        <f t="shared" si="0"/>
        <v>1635553.9200000004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289</v>
      </c>
      <c r="CS8" s="254">
        <v>4.4200000000000003E-2</v>
      </c>
      <c r="CT8" s="253">
        <v>6542.88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0.18099999999999999</v>
      </c>
      <c r="DB8" s="255" t="s">
        <v>320</v>
      </c>
      <c r="DD8" s="170" t="s">
        <v>460</v>
      </c>
      <c r="DE8" s="291" t="s">
        <v>464</v>
      </c>
      <c r="DF8" s="289" t="s">
        <v>321</v>
      </c>
      <c r="DG8" s="170">
        <f>O$13*$Z$37*$AP$4</f>
        <v>0.27018891472004331</v>
      </c>
      <c r="DH8" s="170" t="s">
        <v>320</v>
      </c>
    </row>
    <row r="9" spans="1:112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0.12254901960784315</v>
      </c>
      <c r="G9" s="183"/>
      <c r="H9" s="190">
        <f>'Tabula data'!B25*'Tabula RefULG 1'!C45</f>
        <v>3.75</v>
      </c>
      <c r="I9" s="202"/>
      <c r="K9" s="81" t="s">
        <v>49</v>
      </c>
      <c r="L9" s="215">
        <v>0</v>
      </c>
      <c r="M9" s="216">
        <v>1</v>
      </c>
      <c r="N9" s="216" t="s">
        <v>25</v>
      </c>
      <c r="O9" s="217">
        <v>0</v>
      </c>
      <c r="P9" s="218" t="s">
        <v>50</v>
      </c>
      <c r="Q9" s="30">
        <f t="shared" si="7"/>
        <v>1.6946440466045722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153"/>
      <c r="X9" s="182"/>
      <c r="Y9" s="193" t="s">
        <v>51</v>
      </c>
      <c r="Z9" s="286">
        <v>0.115</v>
      </c>
      <c r="AA9" s="183">
        <v>3.5999999999999997E-2</v>
      </c>
      <c r="AB9" s="183">
        <v>80</v>
      </c>
      <c r="AC9" s="183">
        <v>840</v>
      </c>
      <c r="AD9" s="233">
        <f>Z9/AA9</f>
        <v>3.1944444444444446</v>
      </c>
      <c r="AE9" s="184">
        <f>Z9*AB9*AC9</f>
        <v>7728.0000000000009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1635553.9200000004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1635553.9200000004</v>
      </c>
      <c r="BA9" s="168" t="s">
        <v>320</v>
      </c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s="81" t="s">
        <v>326</v>
      </c>
      <c r="CK9" s="251">
        <f t="shared" si="0"/>
        <v>12558781.973112725</v>
      </c>
      <c r="CL9" s="251">
        <f t="shared" ref="CL9:CL49" si="13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296</v>
      </c>
      <c r="CS9" s="254">
        <v>5.3800000000000001E-2</v>
      </c>
      <c r="CT9" s="253">
        <v>5501.95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0.309</v>
      </c>
      <c r="DB9" s="255" t="s">
        <v>320</v>
      </c>
      <c r="DD9" s="170" t="s">
        <v>460</v>
      </c>
      <c r="DE9" s="291" t="s">
        <v>465</v>
      </c>
      <c r="DF9" s="289" t="s">
        <v>321</v>
      </c>
      <c r="DG9" s="170">
        <f>O$11*$Z$37*$AP$5</f>
        <v>0.66141752966572653</v>
      </c>
      <c r="DH9" s="170" t="s">
        <v>320</v>
      </c>
    </row>
    <row r="10" spans="1:112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0.12091503267973858</v>
      </c>
      <c r="G10" s="183"/>
      <c r="H10" s="194">
        <f>'Tabula data'!B22*(1-C45)</f>
        <v>3.7</v>
      </c>
      <c r="I10" s="200"/>
      <c r="K10" s="81" t="s">
        <v>53</v>
      </c>
      <c r="L10" s="215">
        <v>0</v>
      </c>
      <c r="M10" s="216">
        <v>1</v>
      </c>
      <c r="N10" s="216" t="s">
        <v>54</v>
      </c>
      <c r="O10" s="217">
        <f>H6</f>
        <v>3.7</v>
      </c>
      <c r="P10" s="218" t="s">
        <v>26</v>
      </c>
      <c r="Q10" s="30">
        <f t="shared" si="7"/>
        <v>2</v>
      </c>
      <c r="R10" s="30">
        <f t="shared" si="8"/>
        <v>7.4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15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12558781.973112725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4">AP10</f>
        <v>12558781.973112725</v>
      </c>
      <c r="BA10" s="168" t="s">
        <v>320</v>
      </c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5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6">BU19</f>
        <v>44000000</v>
      </c>
      <c r="CF10" s="174" t="s">
        <v>320</v>
      </c>
      <c r="CJ10" s="81" t="s">
        <v>327</v>
      </c>
      <c r="CK10" s="251">
        <f t="shared" si="0"/>
        <v>9916707.6854363121</v>
      </c>
      <c r="CL10" s="251">
        <f t="shared" si="13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292</v>
      </c>
      <c r="CS10" s="254">
        <v>6.6600000000000006E-2</v>
      </c>
      <c r="CT10" s="253">
        <v>4386.71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0.621</v>
      </c>
      <c r="DB10" s="255" t="s">
        <v>320</v>
      </c>
      <c r="DD10" s="170" t="s">
        <v>460</v>
      </c>
      <c r="DE10" s="291" t="s">
        <v>466</v>
      </c>
      <c r="DF10" s="289" t="s">
        <v>321</v>
      </c>
      <c r="DG10" s="170">
        <f>O$10*$Z$37*$AP$5</f>
        <v>0.6704780437707365</v>
      </c>
      <c r="DH10" s="170" t="s">
        <v>320</v>
      </c>
    </row>
    <row r="11" spans="1:112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0.11928104575163399</v>
      </c>
      <c r="G11" s="183"/>
      <c r="H11" s="194">
        <f>'Tabula data'!B23*(1-'Tabula RefULG 1'!C45)</f>
        <v>3.65</v>
      </c>
      <c r="I11" s="200"/>
      <c r="K11" s="81" t="s">
        <v>57</v>
      </c>
      <c r="L11" s="215">
        <v>0</v>
      </c>
      <c r="M11" s="216">
        <v>1</v>
      </c>
      <c r="N11" s="216" t="s">
        <v>54</v>
      </c>
      <c r="O11" s="217">
        <f>H7</f>
        <v>3.65</v>
      </c>
      <c r="P11" s="218" t="s">
        <v>39</v>
      </c>
      <c r="Q11" s="30">
        <f t="shared" si="7"/>
        <v>2</v>
      </c>
      <c r="R11" s="30">
        <f t="shared" si="8"/>
        <v>7.3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15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SUM(U27,U30)/2</f>
        <v>9916707.6854363121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4"/>
        <v>9916707.6854363121</v>
      </c>
      <c r="BA11" s="168" t="s">
        <v>320</v>
      </c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5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6"/>
        <v>26300000</v>
      </c>
      <c r="CF11" s="174" t="s">
        <v>320</v>
      </c>
      <c r="CJ11" s="81" t="s">
        <v>328</v>
      </c>
      <c r="CK11" s="251">
        <f t="shared" si="0"/>
        <v>9853248.0000000019</v>
      </c>
      <c r="CL11" s="251">
        <f t="shared" si="13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289</v>
      </c>
      <c r="CS11" s="254">
        <v>6.2600000000000003E-2</v>
      </c>
      <c r="CT11" s="253">
        <v>4618.01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0.39</v>
      </c>
      <c r="DB11" s="255" t="s">
        <v>320</v>
      </c>
      <c r="DD11" s="170" t="s">
        <v>460</v>
      </c>
      <c r="DE11" s="291" t="s">
        <v>467</v>
      </c>
      <c r="DF11" s="289" t="s">
        <v>321</v>
      </c>
      <c r="DG11" s="170">
        <f>O$12*$Z$37*$AP$5</f>
        <v>0.76108318482083614</v>
      </c>
      <c r="DH11" s="170" t="s">
        <v>320</v>
      </c>
    </row>
    <row r="12" spans="1:112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0.13725490196078433</v>
      </c>
      <c r="G12" s="183"/>
      <c r="H12" s="194">
        <f>'Tabula data'!B24*(1-'Tabula RefULG 1'!C45)</f>
        <v>4.2</v>
      </c>
      <c r="I12" s="200"/>
      <c r="K12" s="81" t="s">
        <v>59</v>
      </c>
      <c r="L12" s="215">
        <v>0</v>
      </c>
      <c r="M12" s="216">
        <v>1</v>
      </c>
      <c r="N12" s="216" t="s">
        <v>54</v>
      </c>
      <c r="O12" s="217">
        <f>H8</f>
        <v>4.2</v>
      </c>
      <c r="P12" s="218" t="s">
        <v>45</v>
      </c>
      <c r="Q12" s="30">
        <f t="shared" si="7"/>
        <v>2</v>
      </c>
      <c r="R12" s="30">
        <f t="shared" si="8"/>
        <v>8.4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15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9853248.0000000019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4"/>
        <v>9853248.0000000019</v>
      </c>
      <c r="BA12" s="168" t="s">
        <v>320</v>
      </c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0.108</v>
      </c>
      <c r="CS12" s="254">
        <v>1.77E-2</v>
      </c>
      <c r="CT12" s="253">
        <v>6.1</v>
      </c>
      <c r="CU12" s="254">
        <v>1.0999999999999999E-9</v>
      </c>
      <c r="CV12" s="254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0.39</v>
      </c>
      <c r="DB12" s="255" t="s">
        <v>320</v>
      </c>
      <c r="DD12" s="170" t="s">
        <v>460</v>
      </c>
      <c r="DE12" s="290" t="s">
        <v>468</v>
      </c>
      <c r="DF12" s="289" t="s">
        <v>321</v>
      </c>
      <c r="DG12" s="170">
        <f>O$13*$Z$37*$AP$5</f>
        <v>0.67953855787574646</v>
      </c>
      <c r="DH12" s="170" t="s">
        <v>320</v>
      </c>
    </row>
    <row r="13" spans="1:112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0.12254901960784315</v>
      </c>
      <c r="G13" s="183"/>
      <c r="H13" s="194">
        <f>'Tabula data'!B25*(1-'Tabula RefULG 1'!C45)</f>
        <v>3.75</v>
      </c>
      <c r="I13" s="200"/>
      <c r="K13" s="81" t="s">
        <v>60</v>
      </c>
      <c r="L13" s="215">
        <v>0</v>
      </c>
      <c r="M13" s="216">
        <v>1</v>
      </c>
      <c r="N13" s="216" t="s">
        <v>54</v>
      </c>
      <c r="O13" s="217">
        <f>H9</f>
        <v>3.75</v>
      </c>
      <c r="P13" s="218" t="s">
        <v>50</v>
      </c>
      <c r="Q13" s="30">
        <f t="shared" si="7"/>
        <v>2</v>
      </c>
      <c r="R13" s="30">
        <f t="shared" si="8"/>
        <v>7.5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153"/>
      <c r="X13" s="225" t="s">
        <v>64</v>
      </c>
      <c r="Y13" s="226"/>
      <c r="Z13" s="227" t="s">
        <v>21</v>
      </c>
      <c r="AA13" s="228">
        <f>1/(1/8+SUM(AD15:AD19)+1/23)</f>
        <v>1.6946440466045722</v>
      </c>
      <c r="AB13" s="226" t="s">
        <v>5</v>
      </c>
      <c r="AC13" s="226"/>
      <c r="AD13" s="226" t="s">
        <v>22</v>
      </c>
      <c r="AE13" s="229">
        <f>SUM(AE15:AE20)</f>
        <v>305340</v>
      </c>
      <c r="AF13" s="14" t="s">
        <v>23</v>
      </c>
      <c r="AG13" s="14">
        <f>SUM(AE18:AE19)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s="81" t="s">
        <v>329</v>
      </c>
      <c r="CK13" s="249">
        <f t="shared" si="0"/>
        <v>4.5989602505539282E-2</v>
      </c>
      <c r="CL13" s="249">
        <f t="shared" si="13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0.63600000000000001</v>
      </c>
      <c r="CS13" s="254">
        <v>4.0099999999999997E-2</v>
      </c>
      <c r="CT13" s="253">
        <v>15.89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2"/>
        <v>0.35899999999999999</v>
      </c>
      <c r="DB13" s="255" t="s">
        <v>320</v>
      </c>
      <c r="DD13" s="170" t="s">
        <v>460</v>
      </c>
      <c r="DE13" s="292" t="s">
        <v>469</v>
      </c>
      <c r="DF13" s="289" t="s">
        <v>321</v>
      </c>
      <c r="DG13" s="170">
        <f>O$11*$Z$37*$AP$6</f>
        <v>5.7996207369925716E-2</v>
      </c>
      <c r="DH13" s="170" t="s">
        <v>320</v>
      </c>
    </row>
    <row r="14" spans="1:112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s="81" t="s">
        <v>61</v>
      </c>
      <c r="L14" s="215" t="s">
        <v>62</v>
      </c>
      <c r="M14" s="216">
        <v>1</v>
      </c>
      <c r="N14" s="216" t="s">
        <v>63</v>
      </c>
      <c r="O14" s="217">
        <f>B7</f>
        <v>88.800000000000011</v>
      </c>
      <c r="P14" s="218"/>
      <c r="Q14" s="30">
        <f t="shared" si="7"/>
        <v>2.8187919463087252</v>
      </c>
      <c r="R14" s="30">
        <f t="shared" si="8"/>
        <v>250.30872483221484</v>
      </c>
      <c r="S14" s="30">
        <f t="shared" si="9"/>
        <v>33349728.000000004</v>
      </c>
      <c r="T14" s="30">
        <f t="shared" si="10"/>
        <v>375560</v>
      </c>
      <c r="U14" s="30">
        <f t="shared" si="11"/>
        <v>9853248.0000000019</v>
      </c>
      <c r="V14" s="31"/>
      <c r="W14" s="15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AP4*0.3</f>
        <v>4.5989602505539282E-2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4.5989602505539282E-2</v>
      </c>
      <c r="BA14" s="168" t="s">
        <v>320</v>
      </c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s="81" t="s">
        <v>330</v>
      </c>
      <c r="CK14" s="249">
        <f t="shared" si="0"/>
        <v>0.11566613751076536</v>
      </c>
      <c r="CL14" s="249">
        <f t="shared" si="13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0.28699999999999998</v>
      </c>
      <c r="CS14" s="254">
        <v>8.9599999999999992E-3</v>
      </c>
      <c r="CT14" s="253">
        <v>32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7.1899999999999998E-6</v>
      </c>
      <c r="DB14" s="255" t="s">
        <v>320</v>
      </c>
      <c r="DD14" s="170" t="s">
        <v>460</v>
      </c>
      <c r="DE14" s="292" t="s">
        <v>470</v>
      </c>
      <c r="DF14" s="289" t="s">
        <v>321</v>
      </c>
      <c r="DG14" s="170">
        <f>O$10*$Z$37*$AP$6</f>
        <v>5.8790675964034284E-2</v>
      </c>
      <c r="DH14" s="170" t="s">
        <v>320</v>
      </c>
    </row>
    <row r="15" spans="1:112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s="81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0.2816515182597264</v>
      </c>
      <c r="R15" s="30">
        <f t="shared" si="8"/>
        <v>0</v>
      </c>
      <c r="S15" s="30">
        <f>VLOOKUP(N15,$X$5:$AE$391,8,0)*O25</f>
        <v>6064531.2000000002</v>
      </c>
      <c r="T15" s="30">
        <f>S15/O25</f>
        <v>59808</v>
      </c>
      <c r="U15" s="30">
        <f>VLOOKUP(N15,$X$5:$AG$391,10,0)*O25</f>
        <v>1660932</v>
      </c>
      <c r="V15" s="31"/>
      <c r="W15" s="153"/>
      <c r="X15" s="182"/>
      <c r="Y15" s="183" t="s">
        <v>76</v>
      </c>
      <c r="Z15" s="183">
        <v>0.08</v>
      </c>
      <c r="AA15" s="183">
        <v>1.1000000000000001</v>
      </c>
      <c r="AB15" s="183">
        <v>1850</v>
      </c>
      <c r="AC15" s="193">
        <v>840</v>
      </c>
      <c r="AD15" s="233">
        <f>Z15/AA15</f>
        <v>7.2727272727272724E-2</v>
      </c>
      <c r="AE15" s="184">
        <f>AB15*AC15*Z15</f>
        <v>124320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AP5*0.3</f>
        <v>0.11566613751076536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0.11566613751076536</v>
      </c>
      <c r="BA15" s="168" t="s">
        <v>320</v>
      </c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7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18">BU27</f>
        <v>0.14699999999999999</v>
      </c>
      <c r="CF15" s="174" t="s">
        <v>320</v>
      </c>
      <c r="CJ15" s="81" t="s">
        <v>331</v>
      </c>
      <c r="CK15" s="249">
        <f t="shared" si="0"/>
        <v>0.71014215226521571</v>
      </c>
      <c r="CL15" s="249">
        <f t="shared" si="13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0.18099999999999999</v>
      </c>
      <c r="CS15" s="254">
        <v>9.6100000000000005E-3</v>
      </c>
      <c r="CT15" s="253">
        <v>18.87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0.13700000000000001</v>
      </c>
      <c r="DB15" s="255" t="s">
        <v>320</v>
      </c>
      <c r="DD15" s="170" t="s">
        <v>460</v>
      </c>
      <c r="DE15" s="292" t="s">
        <v>471</v>
      </c>
      <c r="DF15" s="289" t="s">
        <v>321</v>
      </c>
      <c r="DG15" s="170">
        <f>O$12*$Z$37*$AP$6</f>
        <v>6.673536190512E-2</v>
      </c>
      <c r="DH15" s="170" t="s">
        <v>320</v>
      </c>
    </row>
    <row r="16" spans="1:112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1.3940744625065551</v>
      </c>
      <c r="G16" s="193" t="s">
        <v>70</v>
      </c>
      <c r="H16" s="184"/>
      <c r="I16" s="183"/>
      <c r="K16" s="81" t="s">
        <v>67</v>
      </c>
      <c r="L16" s="215">
        <v>0</v>
      </c>
      <c r="M16" s="216">
        <v>1</v>
      </c>
      <c r="N16" s="216" t="s">
        <v>68</v>
      </c>
      <c r="O16" s="217">
        <f>'Tabula data'!B21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31" si="19">VLOOKUP(N16,$X$5:$AE$391,8,0)*O16</f>
        <v>346940</v>
      </c>
      <c r="T16" s="30">
        <f t="shared" ref="T16:T31" si="20">S16/O16</f>
        <v>36520</v>
      </c>
      <c r="U16" s="30">
        <f t="shared" ref="U16:U31" si="21">VLOOKUP(N16,$X$5:$AG$391,10,0)*O16</f>
        <v>1631910</v>
      </c>
      <c r="V16" s="31"/>
      <c r="W16" s="153"/>
      <c r="X16" s="182"/>
      <c r="Y16" s="183" t="s">
        <v>271</v>
      </c>
      <c r="Z16" s="183">
        <v>0</v>
      </c>
      <c r="AA16" s="183">
        <v>0</v>
      </c>
      <c r="AB16" s="183">
        <v>0</v>
      </c>
      <c r="AC16" s="183">
        <v>0</v>
      </c>
      <c r="AD16" s="233">
        <v>0.16</v>
      </c>
      <c r="AE16" s="184">
        <f>Z16*AB16*AC16</f>
        <v>0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AP6*0.3+0.7</f>
        <v>0.71014215226521571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0.71014215226521571</v>
      </c>
      <c r="BA16" s="168" t="s">
        <v>320</v>
      </c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7"/>
        <v>0.53700000000000003</v>
      </c>
      <c r="BR16" s="168" t="s">
        <v>320</v>
      </c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18"/>
        <v>0.73599999999999999</v>
      </c>
      <c r="CF16" s="174" t="s">
        <v>320</v>
      </c>
      <c r="CJ16" s="81" t="s">
        <v>332</v>
      </c>
      <c r="CK16" s="249">
        <f t="shared" si="0"/>
        <v>5.8864256284389779E-2</v>
      </c>
      <c r="CL16" s="249">
        <f t="shared" si="13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0.309</v>
      </c>
      <c r="CS16" s="254">
        <v>3.1199999999999999E-2</v>
      </c>
      <c r="CT16" s="253">
        <v>9.8800000000000008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0.14899999999999999</v>
      </c>
      <c r="DB16" s="255" t="s">
        <v>320</v>
      </c>
      <c r="DD16" s="170" t="s">
        <v>460</v>
      </c>
      <c r="DE16" s="292" t="s">
        <v>472</v>
      </c>
      <c r="DF16" s="289" t="s">
        <v>321</v>
      </c>
      <c r="DG16" s="170">
        <f>O$13*$Z$37*$AP$6</f>
        <v>5.9585144558142858E-2</v>
      </c>
      <c r="DH16" s="170" t="s">
        <v>320</v>
      </c>
    </row>
    <row r="17" spans="1:112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1.9720785935884175</v>
      </c>
      <c r="G17" s="193"/>
      <c r="H17" s="184"/>
      <c r="I17" s="183"/>
      <c r="K17" s="81" t="s">
        <v>71</v>
      </c>
      <c r="L17" s="215">
        <v>0</v>
      </c>
      <c r="M17" s="216">
        <v>2</v>
      </c>
      <c r="N17" s="216" t="s">
        <v>25</v>
      </c>
      <c r="O17" s="217">
        <f>'Tabula data'!B19*(1-C43)</f>
        <v>19.815584446879509</v>
      </c>
      <c r="P17" s="218" t="s">
        <v>26</v>
      </c>
      <c r="Q17" s="30">
        <f t="shared" si="7"/>
        <v>1.6946440466045722</v>
      </c>
      <c r="R17" s="30">
        <f t="shared" si="8"/>
        <v>33.580362212894514</v>
      </c>
      <c r="S17" s="30">
        <f t="shared" si="19"/>
        <v>6050490.5550101893</v>
      </c>
      <c r="T17" s="30">
        <f t="shared" si="20"/>
        <v>305340</v>
      </c>
      <c r="U17" s="30">
        <f t="shared" si="21"/>
        <v>3587017.0965741291</v>
      </c>
      <c r="V17" s="31"/>
      <c r="W17" s="153"/>
      <c r="X17" s="182"/>
      <c r="Y17" s="183" t="s">
        <v>272</v>
      </c>
      <c r="Z17" s="183">
        <v>0</v>
      </c>
      <c r="AA17" s="183">
        <v>3.5999999999999997E-2</v>
      </c>
      <c r="AB17" s="183">
        <v>26</v>
      </c>
      <c r="AC17" s="183">
        <v>1470</v>
      </c>
      <c r="AD17" s="233">
        <f>Z17/AA17</f>
        <v>0</v>
      </c>
      <c r="AE17" s="184">
        <f>Z17*AB17*AC17</f>
        <v>0</v>
      </c>
      <c r="AF17" s="149" t="s">
        <v>273</v>
      </c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5.8864256284389779E-2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5.8864256284389779E-2</v>
      </c>
      <c r="BA17" s="168" t="s">
        <v>320</v>
      </c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7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18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0.621</v>
      </c>
      <c r="CS17" s="254">
        <v>6.8000000000000005E-2</v>
      </c>
      <c r="CT17" s="253">
        <v>9.1199999999999992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2"/>
        <v>0.27500000000000002</v>
      </c>
      <c r="DB17" s="255" t="s">
        <v>320</v>
      </c>
      <c r="DD17" s="170" t="s">
        <v>460</v>
      </c>
      <c r="DE17" s="292" t="s">
        <v>473</v>
      </c>
      <c r="DF17" s="289" t="s">
        <v>321</v>
      </c>
      <c r="DG17" s="170">
        <f>O$11*$Z$37*$AP$7</f>
        <v>0.33660543885290217</v>
      </c>
      <c r="DH17" s="170" t="s">
        <v>320</v>
      </c>
    </row>
    <row r="18" spans="1:112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1.9720785935884175</v>
      </c>
      <c r="G18" s="193"/>
      <c r="H18" s="184"/>
      <c r="I18" s="183"/>
      <c r="K18" s="81" t="s">
        <v>75</v>
      </c>
      <c r="L18" s="215">
        <v>0</v>
      </c>
      <c r="M18" s="216">
        <v>2</v>
      </c>
      <c r="N18" s="216" t="s">
        <v>25</v>
      </c>
      <c r="O18" s="217">
        <f>'Tabula data'!B20*(1-C43)</f>
        <v>42.090961406137552</v>
      </c>
      <c r="P18" s="218" t="s">
        <v>39</v>
      </c>
      <c r="Q18" s="30">
        <f t="shared" si="7"/>
        <v>1.6946440466045722</v>
      </c>
      <c r="R18" s="30">
        <f t="shared" si="8"/>
        <v>71.329197162773823</v>
      </c>
      <c r="S18" s="30">
        <f t="shared" si="19"/>
        <v>12852054.15575004</v>
      </c>
      <c r="T18" s="30">
        <f t="shared" si="20"/>
        <v>305340</v>
      </c>
      <c r="U18" s="30">
        <f t="shared" si="21"/>
        <v>7619305.8337390209</v>
      </c>
      <c r="V18" s="31"/>
      <c r="W18" s="153"/>
      <c r="X18" s="182"/>
      <c r="Y18" s="193" t="s">
        <v>376</v>
      </c>
      <c r="Z18" s="183">
        <v>0.14000000000000001</v>
      </c>
      <c r="AA18" s="183">
        <v>0.9</v>
      </c>
      <c r="AB18" s="183">
        <v>1400</v>
      </c>
      <c r="AC18" s="193">
        <v>840</v>
      </c>
      <c r="AD18" s="233">
        <f>Z18/AA18</f>
        <v>0.15555555555555556</v>
      </c>
      <c r="AE18" s="184">
        <f>Z18*AB18*AC18</f>
        <v>164640.00000000003</v>
      </c>
      <c r="AF18" s="14" t="s">
        <v>274</v>
      </c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s="81" t="s">
        <v>333</v>
      </c>
      <c r="CK18" s="252">
        <f t="shared" si="0"/>
        <v>158.07615881036227</v>
      </c>
      <c r="CL18" s="252">
        <f t="shared" si="13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0.39</v>
      </c>
      <c r="CS18" s="254">
        <v>1.67E-2</v>
      </c>
      <c r="CT18" s="253">
        <v>23.33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1.99E-7</v>
      </c>
      <c r="DB18" s="255" t="s">
        <v>320</v>
      </c>
      <c r="DD18" s="170" t="s">
        <v>460</v>
      </c>
      <c r="DE18" s="292" t="s">
        <v>474</v>
      </c>
      <c r="DF18" s="289" t="s">
        <v>321</v>
      </c>
      <c r="DG18" s="170">
        <f>O$10*$Z$37*$AP$7</f>
        <v>0.34121647226184609</v>
      </c>
      <c r="DH18" s="170" t="s">
        <v>320</v>
      </c>
    </row>
    <row r="19" spans="1:112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s="81" t="s">
        <v>79</v>
      </c>
      <c r="L19" s="215">
        <v>0</v>
      </c>
      <c r="M19" s="216">
        <v>2</v>
      </c>
      <c r="N19" s="216" t="s">
        <v>25</v>
      </c>
      <c r="O19" s="217">
        <f>O17</f>
        <v>19.815584446879509</v>
      </c>
      <c r="P19" s="218" t="s">
        <v>45</v>
      </c>
      <c r="Q19" s="30">
        <f t="shared" si="7"/>
        <v>1.6946440466045722</v>
      </c>
      <c r="R19" s="30">
        <f t="shared" si="8"/>
        <v>33.580362212894514</v>
      </c>
      <c r="S19" s="30">
        <f t="shared" si="19"/>
        <v>6050490.5550101893</v>
      </c>
      <c r="T19" s="30">
        <f t="shared" si="20"/>
        <v>305340</v>
      </c>
      <c r="U19" s="30">
        <f t="shared" si="21"/>
        <v>3587017.0965741291</v>
      </c>
      <c r="V19" s="31"/>
      <c r="W19" s="153"/>
      <c r="X19" s="199"/>
      <c r="Y19" s="181" t="s">
        <v>275</v>
      </c>
      <c r="Z19" s="181">
        <v>0.02</v>
      </c>
      <c r="AA19" s="181">
        <v>0.6</v>
      </c>
      <c r="AB19" s="181">
        <v>975</v>
      </c>
      <c r="AC19" s="181">
        <v>840</v>
      </c>
      <c r="AD19" s="234">
        <f>Z19/AA19</f>
        <v>3.3333333333333333E-2</v>
      </c>
      <c r="AE19" s="204">
        <f>Z19*AB19*AC19</f>
        <v>16380</v>
      </c>
      <c r="AF19" s="14"/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SUM(O6:O9)*(1/(SUM(AD18:AD19)+1/4))</f>
        <v>158.07615881036227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158.07615881036227</v>
      </c>
      <c r="BA19" s="168" t="s">
        <v>320</v>
      </c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s="81" t="s">
        <v>334</v>
      </c>
      <c r="CK19" s="252">
        <f t="shared" si="0"/>
        <v>184.63366336633666</v>
      </c>
      <c r="CL19" s="252">
        <f t="shared" si="13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0.39</v>
      </c>
      <c r="CS19" s="254">
        <v>1.89E-2</v>
      </c>
      <c r="CT19" s="253">
        <v>20.64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0.22900000000000001</v>
      </c>
      <c r="DB19" s="255" t="s">
        <v>320</v>
      </c>
      <c r="DD19" s="170" t="s">
        <v>460</v>
      </c>
      <c r="DE19" s="290" t="s">
        <v>475</v>
      </c>
      <c r="DF19" s="289" t="s">
        <v>321</v>
      </c>
      <c r="DG19" s="170">
        <f>O$12*$Z$37*$AP$7</f>
        <v>0.38732680635128475</v>
      </c>
      <c r="DH19" s="170" t="s">
        <v>320</v>
      </c>
    </row>
    <row r="20" spans="1:112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0.15822130299896586</v>
      </c>
      <c r="G20" s="193"/>
      <c r="H20" s="184"/>
      <c r="I20" s="183"/>
      <c r="K20" s="81" t="s">
        <v>82</v>
      </c>
      <c r="L20" s="215">
        <v>0</v>
      </c>
      <c r="M20" s="216">
        <v>2</v>
      </c>
      <c r="N20" s="216" t="s">
        <v>25</v>
      </c>
      <c r="O20" s="217">
        <v>0</v>
      </c>
      <c r="P20" s="218" t="s">
        <v>50</v>
      </c>
      <c r="Q20" s="30">
        <f t="shared" si="7"/>
        <v>1.6946440466045722</v>
      </c>
      <c r="R20" s="30">
        <f t="shared" si="8"/>
        <v>0</v>
      </c>
      <c r="S20" s="30">
        <f t="shared" si="19"/>
        <v>0</v>
      </c>
      <c r="T20" s="30" t="e">
        <f t="shared" si="20"/>
        <v>#DIV/0!</v>
      </c>
      <c r="U20" s="30">
        <f t="shared" si="21"/>
        <v>0</v>
      </c>
      <c r="V20" s="31"/>
      <c r="W20" s="153"/>
      <c r="X20" s="223"/>
      <c r="Y20" s="223"/>
      <c r="Z20" s="223"/>
      <c r="AA20" s="223"/>
      <c r="AB20" s="223"/>
      <c r="AC20" s="223"/>
      <c r="AD20" s="223"/>
      <c r="AE20" s="223"/>
      <c r="AF20" s="14"/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SUM(O14)*1/(SUM(AD42:AD43)+1/3)</f>
        <v>184.63366336633666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2">AP20</f>
        <v>184.63366336633666</v>
      </c>
      <c r="BA20" s="168" t="s">
        <v>320</v>
      </c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3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4">BU32</f>
        <v>172</v>
      </c>
      <c r="CF20" s="174" t="s">
        <v>320</v>
      </c>
      <c r="CJ20" s="81" t="s">
        <v>335</v>
      </c>
      <c r="CK20" s="252">
        <f t="shared" si="0"/>
        <v>223.4480638854225</v>
      </c>
      <c r="CL20" s="252">
        <f t="shared" si="13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0.35899999999999999</v>
      </c>
      <c r="CS20" s="254">
        <v>7.0800000000000002E-2</v>
      </c>
      <c r="CT20" s="253">
        <v>5.07</v>
      </c>
      <c r="CU20" s="254">
        <v>4.0999999999999999E-7</v>
      </c>
      <c r="CV20" s="253" t="s">
        <v>388</v>
      </c>
      <c r="CX20" s="255" t="s">
        <v>460</v>
      </c>
      <c r="CY20" s="259" t="s">
        <v>476</v>
      </c>
      <c r="CZ20" s="256" t="s">
        <v>321</v>
      </c>
      <c r="DA20" s="257">
        <f t="shared" si="12"/>
        <v>0.26800000000000002</v>
      </c>
      <c r="DB20" s="255" t="s">
        <v>320</v>
      </c>
      <c r="DD20" s="170" t="s">
        <v>460</v>
      </c>
      <c r="DE20" s="291" t="s">
        <v>476</v>
      </c>
      <c r="DF20" s="289" t="s">
        <v>321</v>
      </c>
      <c r="DG20" s="170">
        <f>O$13*$Z$37*$AP$7</f>
        <v>0.34582750567078996</v>
      </c>
      <c r="DH20" s="170" t="s">
        <v>320</v>
      </c>
    </row>
    <row r="21" spans="1:112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0.15822130299896586</v>
      </c>
      <c r="G21" s="193"/>
      <c r="H21" s="184"/>
      <c r="I21" s="183"/>
      <c r="K21" s="81" t="s">
        <v>84</v>
      </c>
      <c r="L21" s="215">
        <v>0</v>
      </c>
      <c r="M21" s="216">
        <v>2</v>
      </c>
      <c r="N21" s="216" t="s">
        <v>54</v>
      </c>
      <c r="O21" s="217">
        <f>H10</f>
        <v>3.7</v>
      </c>
      <c r="P21" s="218" t="s">
        <v>26</v>
      </c>
      <c r="Q21" s="30">
        <f t="shared" si="7"/>
        <v>2</v>
      </c>
      <c r="R21" s="30">
        <f t="shared" si="8"/>
        <v>7.4</v>
      </c>
      <c r="S21" s="30">
        <f t="shared" si="19"/>
        <v>0</v>
      </c>
      <c r="T21" s="30">
        <f t="shared" si="20"/>
        <v>0</v>
      </c>
      <c r="U21" s="30">
        <f t="shared" si="21"/>
        <v>0</v>
      </c>
      <c r="V21" s="31"/>
      <c r="W21" s="153"/>
      <c r="X21" s="225" t="s">
        <v>85</v>
      </c>
      <c r="Y21" s="226"/>
      <c r="Z21" s="227" t="s">
        <v>21</v>
      </c>
      <c r="AA21" s="228">
        <f>(1/(1/4+SUM(AD23:AD25)+1/4))</f>
        <v>1.210762331838565</v>
      </c>
      <c r="AB21" s="226" t="s">
        <v>5</v>
      </c>
      <c r="AC21" s="226"/>
      <c r="AD21" s="226" t="s">
        <v>22</v>
      </c>
      <c r="AE21" s="229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317</v>
      </c>
      <c r="AN21" s="81" t="s">
        <v>318</v>
      </c>
      <c r="AO21" s="81" t="s">
        <v>335</v>
      </c>
      <c r="AP21" s="81">
        <f>2*AA21*O27+O30*1*AA52</f>
        <v>223.4480638854225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2"/>
        <v>223.4480638854225</v>
      </c>
      <c r="BA21" s="168" t="s">
        <v>320</v>
      </c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3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4"/>
        <v>517</v>
      </c>
      <c r="CF21" s="174" t="s">
        <v>320</v>
      </c>
      <c r="CJ21" s="81" t="s">
        <v>336</v>
      </c>
      <c r="CK21" s="252">
        <f t="shared" si="0"/>
        <v>91.340248711679521</v>
      </c>
      <c r="CL21" s="252">
        <f t="shared" si="13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7.1899999999999998E-6</v>
      </c>
      <c r="CS21" s="254">
        <v>6.2899999999999997E-5</v>
      </c>
      <c r="CT21" s="253">
        <v>0.11</v>
      </c>
      <c r="CU21" s="253">
        <v>0.90900000000000003</v>
      </c>
      <c r="CX21" s="255" t="s">
        <v>460</v>
      </c>
      <c r="CY21" s="259" t="s">
        <v>477</v>
      </c>
      <c r="CZ21" s="256" t="s">
        <v>321</v>
      </c>
      <c r="DA21" s="257">
        <f t="shared" si="12"/>
        <v>0.11</v>
      </c>
      <c r="DB21" s="255" t="s">
        <v>320</v>
      </c>
      <c r="DD21" s="170" t="s">
        <v>460</v>
      </c>
      <c r="DE21" s="291" t="s">
        <v>477</v>
      </c>
      <c r="DF21" s="289" t="s">
        <v>321</v>
      </c>
      <c r="DG21" s="170">
        <f>O$11*$Z$37*$AP$42</f>
        <v>0.39649694711726985</v>
      </c>
      <c r="DH21" s="170" t="s">
        <v>320</v>
      </c>
    </row>
    <row r="22" spans="1:112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8.0230728893550082E-2</v>
      </c>
      <c r="G22" s="183"/>
      <c r="H22" s="184"/>
      <c r="I22" s="183"/>
      <c r="K22" s="81" t="s">
        <v>87</v>
      </c>
      <c r="L22" s="215">
        <v>0</v>
      </c>
      <c r="M22" s="216">
        <v>2</v>
      </c>
      <c r="N22" s="216" t="s">
        <v>54</v>
      </c>
      <c r="O22" s="217">
        <f>H11</f>
        <v>3.65</v>
      </c>
      <c r="P22" s="218" t="s">
        <v>39</v>
      </c>
      <c r="Q22" s="30">
        <f t="shared" si="7"/>
        <v>2</v>
      </c>
      <c r="R22" s="30">
        <f t="shared" si="8"/>
        <v>7.3</v>
      </c>
      <c r="S22" s="30">
        <f t="shared" si="19"/>
        <v>0</v>
      </c>
      <c r="T22" s="30">
        <f t="shared" si="20"/>
        <v>0</v>
      </c>
      <c r="U22" s="30">
        <f t="shared" si="21"/>
        <v>0</v>
      </c>
      <c r="V22" s="31"/>
      <c r="W22" s="153"/>
      <c r="X22" s="230"/>
      <c r="Y22" s="231" t="s">
        <v>27</v>
      </c>
      <c r="Z22" s="231" t="s">
        <v>28</v>
      </c>
      <c r="AA22" s="231" t="s">
        <v>29</v>
      </c>
      <c r="AB22" s="231" t="s">
        <v>30</v>
      </c>
      <c r="AC22" s="231" t="s">
        <v>31</v>
      </c>
      <c r="AD22" s="231" t="s">
        <v>32</v>
      </c>
      <c r="AE22" s="232" t="s">
        <v>33</v>
      </c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 Ref1'!B60+SUM(R10:R13)+R16</f>
        <v>91.340248711679521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2"/>
        <v>91.340248711679521</v>
      </c>
      <c r="BA22" s="168" t="s">
        <v>320</v>
      </c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3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4"/>
        <v>256</v>
      </c>
      <c r="CF22" s="174" t="s">
        <v>320</v>
      </c>
      <c r="CJ22" s="81" t="s">
        <v>337</v>
      </c>
      <c r="CK22" s="252">
        <f t="shared" si="0"/>
        <v>251.18204112945287</v>
      </c>
      <c r="CL22" s="252">
        <f t="shared" si="13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0.13700000000000001</v>
      </c>
      <c r="CS22" s="254">
        <v>3.2399999999999998E-2</v>
      </c>
      <c r="CT22" s="253">
        <v>4.2300000000000004</v>
      </c>
      <c r="CU22" s="254">
        <v>2.4000000000000001E-5</v>
      </c>
      <c r="CV22" s="253" t="s">
        <v>388</v>
      </c>
      <c r="CX22" s="255" t="s">
        <v>460</v>
      </c>
      <c r="CY22" s="259" t="s">
        <v>478</v>
      </c>
      <c r="CZ22" s="256" t="s">
        <v>321</v>
      </c>
      <c r="DA22" s="257">
        <f t="shared" si="12"/>
        <v>0.57599999999999996</v>
      </c>
      <c r="DB22" s="255" t="s">
        <v>320</v>
      </c>
      <c r="DD22" s="170" t="s">
        <v>460</v>
      </c>
      <c r="DE22" s="291" t="s">
        <v>478</v>
      </c>
      <c r="DF22" s="289" t="s">
        <v>321</v>
      </c>
      <c r="DG22" s="170">
        <f>O$10*$Z$37*$AP$42</f>
        <v>0.40192841214627356</v>
      </c>
      <c r="DH22" s="170" t="s">
        <v>320</v>
      </c>
    </row>
    <row r="23" spans="1:112" ht="15" customHeight="1" thickTop="1" thickBot="1" x14ac:dyDescent="0.3">
      <c r="A23" s="185" t="s">
        <v>91</v>
      </c>
      <c r="B23" s="186">
        <f>B17+B6</f>
        <v>193.4</v>
      </c>
      <c r="C23" s="196" t="s">
        <v>9</v>
      </c>
      <c r="D23" s="182"/>
      <c r="E23" s="183"/>
      <c r="F23" s="183"/>
      <c r="G23" s="183"/>
      <c r="H23" s="184"/>
      <c r="I23" s="183"/>
      <c r="K23" s="81" t="s">
        <v>89</v>
      </c>
      <c r="L23" s="215">
        <v>0</v>
      </c>
      <c r="M23" s="216">
        <v>2</v>
      </c>
      <c r="N23" s="216" t="s">
        <v>54</v>
      </c>
      <c r="O23" s="217">
        <f>H12</f>
        <v>4.2</v>
      </c>
      <c r="P23" s="218" t="s">
        <v>45</v>
      </c>
      <c r="Q23" s="30">
        <f t="shared" si="7"/>
        <v>2</v>
      </c>
      <c r="R23" s="30">
        <f t="shared" si="8"/>
        <v>8.4</v>
      </c>
      <c r="S23" s="30">
        <f t="shared" si="19"/>
        <v>0</v>
      </c>
      <c r="T23" s="30">
        <f t="shared" si="20"/>
        <v>0</v>
      </c>
      <c r="U23" s="30">
        <f t="shared" si="21"/>
        <v>0</v>
      </c>
      <c r="V23" s="31"/>
      <c r="W23" s="153"/>
      <c r="X23" s="182"/>
      <c r="Y23" s="183" t="s">
        <v>90</v>
      </c>
      <c r="Z23" s="183">
        <v>0.02</v>
      </c>
      <c r="AA23" s="183">
        <v>0.6</v>
      </c>
      <c r="AB23" s="183">
        <v>975</v>
      </c>
      <c r="AC23" s="183">
        <v>840</v>
      </c>
      <c r="AD23" s="233">
        <f>Z23/AA23</f>
        <v>3.3333333333333333E-2</v>
      </c>
      <c r="AE23" s="184">
        <f>Z23*AB23*AC23</f>
        <v>16380</v>
      </c>
      <c r="AF23" s="14"/>
      <c r="AG23" s="14"/>
      <c r="AH23" s="14"/>
      <c r="AM23" s="159" t="s">
        <v>317</v>
      </c>
      <c r="AN23" s="81" t="s">
        <v>318</v>
      </c>
      <c r="AO23" s="81" t="s">
        <v>337</v>
      </c>
      <c r="AP23" s="81">
        <f>SUM(O6:O9)*1/(SUM(AD15:AD17)+1/23)</f>
        <v>251.18204112945287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2"/>
        <v>251.18204112945287</v>
      </c>
      <c r="BA23" s="168" t="s">
        <v>320</v>
      </c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s="81" t="s">
        <v>338</v>
      </c>
      <c r="CK23" s="252">
        <f t="shared" si="0"/>
        <v>97.654165086555082</v>
      </c>
      <c r="CL23" s="252">
        <f t="shared" si="13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0.14899999999999999</v>
      </c>
      <c r="CS23" s="254">
        <v>3.7999999999999999E-2</v>
      </c>
      <c r="CT23" s="253">
        <v>3.92</v>
      </c>
      <c r="CU23" s="254">
        <v>8.8999999999999995E-5</v>
      </c>
      <c r="CV23" s="253" t="s">
        <v>388</v>
      </c>
      <c r="CX23" s="255" t="s">
        <v>460</v>
      </c>
      <c r="CY23" s="258" t="s">
        <v>479</v>
      </c>
      <c r="CZ23" s="256" t="s">
        <v>321</v>
      </c>
      <c r="DA23" s="257">
        <f t="shared" si="12"/>
        <v>0.192</v>
      </c>
      <c r="DB23" s="255" t="s">
        <v>320</v>
      </c>
      <c r="DD23" s="170" t="s">
        <v>460</v>
      </c>
      <c r="DE23" s="290" t="s">
        <v>479</v>
      </c>
      <c r="DF23" s="289" t="s">
        <v>321</v>
      </c>
      <c r="DG23" s="170">
        <f>O$12*$Z$37*$AP$42</f>
        <v>0.45624306243631058</v>
      </c>
      <c r="DH23" s="170" t="s">
        <v>320</v>
      </c>
    </row>
    <row r="24" spans="1:112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0.54084798345398133</v>
      </c>
      <c r="G24" s="183"/>
      <c r="H24" s="184"/>
      <c r="I24" s="183"/>
      <c r="K24" s="81" t="s">
        <v>92</v>
      </c>
      <c r="L24" s="215">
        <v>0</v>
      </c>
      <c r="M24" s="216">
        <v>2</v>
      </c>
      <c r="N24" s="216" t="s">
        <v>54</v>
      </c>
      <c r="O24" s="217">
        <f>H13</f>
        <v>3.75</v>
      </c>
      <c r="P24" s="218" t="s">
        <v>50</v>
      </c>
      <c r="Q24" s="30">
        <f t="shared" si="7"/>
        <v>2</v>
      </c>
      <c r="R24" s="30">
        <f t="shared" si="8"/>
        <v>7.5</v>
      </c>
      <c r="S24" s="30">
        <f t="shared" si="19"/>
        <v>0</v>
      </c>
      <c r="T24" s="30">
        <f t="shared" si="20"/>
        <v>0</v>
      </c>
      <c r="U24" s="30">
        <f t="shared" si="21"/>
        <v>0</v>
      </c>
      <c r="V24" s="31"/>
      <c r="W24" s="153"/>
      <c r="X24" s="182"/>
      <c r="Y24" s="183" t="s">
        <v>93</v>
      </c>
      <c r="Z24" s="183">
        <v>0.14000000000000001</v>
      </c>
      <c r="AA24" s="183">
        <v>0.54</v>
      </c>
      <c r="AB24" s="183">
        <v>1400</v>
      </c>
      <c r="AC24" s="183">
        <v>840</v>
      </c>
      <c r="AD24" s="233">
        <f>Z24/AA24</f>
        <v>0.25925925925925924</v>
      </c>
      <c r="AE24" s="184">
        <f>Z24*AB24*AC24</f>
        <v>164640.00000000003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SUM(O14)*1/(SUM(AD44:AD46)/'Verwarming Tabula 2zone RefULG1'!H28)</f>
        <v>97.654165086555082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2"/>
        <v>97.654165086555082</v>
      </c>
      <c r="BA24" s="168" t="s">
        <v>320</v>
      </c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0.27500000000000002</v>
      </c>
      <c r="CS24" s="254">
        <v>1.9699999999999999E-2</v>
      </c>
      <c r="CT24" s="253">
        <v>13.98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2.53E-2</v>
      </c>
      <c r="DB24" s="255" t="s">
        <v>320</v>
      </c>
      <c r="DD24" s="170" t="s">
        <v>460</v>
      </c>
      <c r="DE24" s="289" t="s">
        <v>480</v>
      </c>
      <c r="DF24" s="289" t="s">
        <v>321</v>
      </c>
      <c r="DG24" s="170">
        <f>O$13*$Z$37*$AP$42</f>
        <v>0.40735987717527727</v>
      </c>
      <c r="DH24" s="170" t="s">
        <v>320</v>
      </c>
    </row>
    <row r="25" spans="1:112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s="81" t="s">
        <v>96</v>
      </c>
      <c r="L25" s="215">
        <v>0</v>
      </c>
      <c r="M25" s="216">
        <v>2</v>
      </c>
      <c r="N25" s="216" t="s">
        <v>20</v>
      </c>
      <c r="O25" s="217">
        <f>'Tabula data'!B7</f>
        <v>101.4</v>
      </c>
      <c r="P25" s="218" t="s">
        <v>97</v>
      </c>
      <c r="Q25" s="30">
        <f t="shared" si="7"/>
        <v>0.2816515182597264</v>
      </c>
      <c r="R25" s="30">
        <f t="shared" si="8"/>
        <v>28.559463951536259</v>
      </c>
      <c r="S25" s="30">
        <f t="shared" si="19"/>
        <v>6064531.2000000002</v>
      </c>
      <c r="T25" s="30">
        <f t="shared" si="20"/>
        <v>59808</v>
      </c>
      <c r="U25" s="30">
        <f t="shared" si="21"/>
        <v>1660932</v>
      </c>
      <c r="V25" s="31"/>
      <c r="W25" s="153"/>
      <c r="X25" s="199"/>
      <c r="Y25" s="181" t="s">
        <v>90</v>
      </c>
      <c r="Z25" s="181">
        <v>0.02</v>
      </c>
      <c r="AA25" s="181">
        <v>0.6</v>
      </c>
      <c r="AB25" s="181">
        <v>975</v>
      </c>
      <c r="AC25" s="181">
        <v>840</v>
      </c>
      <c r="AD25" s="234">
        <f>Z25/AA25</f>
        <v>3.3333333333333333E-2</v>
      </c>
      <c r="AE25" s="20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CA25" s="174"/>
      <c r="CB25" s="174"/>
      <c r="CC25" s="174"/>
      <c r="CD25" s="174"/>
      <c r="CE25" s="173"/>
      <c r="CF25" s="174"/>
      <c r="CJ25" s="81" t="s">
        <v>339</v>
      </c>
      <c r="CK25" s="249">
        <f t="shared" si="0"/>
        <v>0.3390162690893378</v>
      </c>
      <c r="CL25" s="249">
        <f t="shared" si="13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1.99E-7</v>
      </c>
      <c r="CS25" s="254">
        <v>1.64E-6</v>
      </c>
      <c r="CT25" s="253">
        <v>0.12</v>
      </c>
      <c r="CU25" s="253">
        <v>0.90400000000000003</v>
      </c>
      <c r="CZ25" s="256"/>
      <c r="DF25" s="289"/>
    </row>
    <row r="26" spans="1:112" ht="15" customHeight="1" thickTop="1" thickBot="1" x14ac:dyDescent="0.3">
      <c r="A26" s="185" t="s">
        <v>100</v>
      </c>
      <c r="B26" s="203">
        <f>'Tabula data'!B6</f>
        <v>381.4</v>
      </c>
      <c r="C26" s="197" t="s">
        <v>9</v>
      </c>
      <c r="D26" s="182"/>
      <c r="E26" s="183"/>
      <c r="F26" s="183"/>
      <c r="G26" s="183"/>
      <c r="H26" s="184"/>
      <c r="I26" s="183"/>
      <c r="K26" s="81" t="s">
        <v>98</v>
      </c>
      <c r="L26" s="215">
        <v>1</v>
      </c>
      <c r="M26" s="216">
        <v>2</v>
      </c>
      <c r="N26" s="216" t="s">
        <v>99</v>
      </c>
      <c r="O26" s="217">
        <f>'Tabula data'!B4-'Tabula data'!B14</f>
        <v>104.6</v>
      </c>
      <c r="P26" s="218"/>
      <c r="Q26" s="30">
        <f t="shared" si="7"/>
        <v>1.0482529118136439</v>
      </c>
      <c r="R26" s="30">
        <f t="shared" si="8"/>
        <v>109.64725457570714</v>
      </c>
      <c r="S26" s="30">
        <f t="shared" si="19"/>
        <v>48695484</v>
      </c>
      <c r="T26" s="30">
        <f t="shared" si="20"/>
        <v>465540</v>
      </c>
      <c r="U26" s="30">
        <f t="shared" si="21"/>
        <v>48695484</v>
      </c>
      <c r="V26" s="31"/>
      <c r="W26" s="153"/>
      <c r="X26" s="223"/>
      <c r="Y26" s="223"/>
      <c r="Z26" s="223"/>
      <c r="AA26" s="223"/>
      <c r="AB26" s="223"/>
      <c r="AC26" s="223"/>
      <c r="AD26" s="223"/>
      <c r="AE26" s="223"/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0.3390162690893378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0.3390162690893378</v>
      </c>
      <c r="BA26" s="168" t="s">
        <v>320</v>
      </c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s="81" t="s">
        <v>340</v>
      </c>
      <c r="CK26" s="249">
        <f t="shared" si="0"/>
        <v>0.4390113750995821</v>
      </c>
      <c r="CL26" s="249">
        <f t="shared" si="13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0.22900000000000001</v>
      </c>
      <c r="CS26" s="254">
        <v>1.11E-2</v>
      </c>
      <c r="CT26" s="253">
        <v>20.65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9"/>
      <c r="DF26" s="289"/>
    </row>
    <row r="27" spans="1:112" ht="15" customHeight="1" thickTop="1" thickBot="1" x14ac:dyDescent="0.3">
      <c r="A27" s="182"/>
      <c r="B27" s="202">
        <f>SUM(O6:O25)</f>
        <v>381.4</v>
      </c>
      <c r="C27" s="184" t="s">
        <v>9</v>
      </c>
      <c r="D27" s="182"/>
      <c r="E27" s="183"/>
      <c r="F27" s="183"/>
      <c r="G27" s="183"/>
      <c r="H27" s="184"/>
      <c r="I27" s="183"/>
      <c r="K27" s="81" t="s">
        <v>101</v>
      </c>
      <c r="L27" s="215">
        <v>1</v>
      </c>
      <c r="M27" s="216">
        <v>1</v>
      </c>
      <c r="N27" s="216" t="s">
        <v>85</v>
      </c>
      <c r="O27" s="217">
        <f>SUM(O6:O9)</f>
        <v>69.377869700103432</v>
      </c>
      <c r="P27" s="218"/>
      <c r="Q27" s="30">
        <f t="shared" si="7"/>
        <v>1.210762331838565</v>
      </c>
      <c r="R27" s="30">
        <f t="shared" si="8"/>
        <v>84.000111296089358</v>
      </c>
      <c r="S27" s="30">
        <f t="shared" si="19"/>
        <v>13695191.47880042</v>
      </c>
      <c r="T27" s="30">
        <f t="shared" si="20"/>
        <v>197400.00000000003</v>
      </c>
      <c r="U27" s="30">
        <f t="shared" si="21"/>
        <v>13695191.47880042</v>
      </c>
      <c r="V27" s="31"/>
      <c r="W27" s="153"/>
      <c r="X27" s="225" t="s">
        <v>99</v>
      </c>
      <c r="Y27" s="226"/>
      <c r="Z27" s="227" t="s">
        <v>21</v>
      </c>
      <c r="AA27" s="228">
        <f>1/(1/5+SUM(AD29:AD32)+1/3)</f>
        <v>1.0482529118136439</v>
      </c>
      <c r="AB27" s="226" t="s">
        <v>5</v>
      </c>
      <c r="AC27" s="226"/>
      <c r="AD27" s="226" t="s">
        <v>22</v>
      </c>
      <c r="AE27" s="229">
        <f>SUM(AE29:AE33)</f>
        <v>465540</v>
      </c>
      <c r="AF27" s="14" t="s">
        <v>23</v>
      </c>
      <c r="AG27" s="14">
        <f>SUM(AE29:AE32)</f>
        <v>465540</v>
      </c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0.4390113750995821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5">AP27</f>
        <v>0.4390113750995821</v>
      </c>
      <c r="BA27" s="168" t="s">
        <v>320</v>
      </c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6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7">BU54</f>
        <v>0.22700000000000001</v>
      </c>
      <c r="CF27" s="174" t="s">
        <v>320</v>
      </c>
      <c r="CJ27" s="81" t="s">
        <v>341</v>
      </c>
      <c r="CK27" s="249">
        <f t="shared" si="0"/>
        <v>2.8325079598911795E-2</v>
      </c>
      <c r="CL27" s="249">
        <f t="shared" si="13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0.26800000000000002</v>
      </c>
      <c r="CS27" s="254">
        <v>1.15E-2</v>
      </c>
      <c r="CT27" s="253">
        <v>23.21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10900000</v>
      </c>
      <c r="DB27" s="255" t="s">
        <v>320</v>
      </c>
      <c r="DD27" s="170" t="s">
        <v>460</v>
      </c>
      <c r="DE27" s="289" t="s">
        <v>328</v>
      </c>
      <c r="DF27" s="289" t="s">
        <v>321</v>
      </c>
      <c r="DG27" s="293">
        <f>AP12</f>
        <v>9853248.0000000019</v>
      </c>
      <c r="DH27" s="170" t="s">
        <v>320</v>
      </c>
    </row>
    <row r="28" spans="1:112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s="81" t="s">
        <v>102</v>
      </c>
      <c r="L28" s="215">
        <v>2</v>
      </c>
      <c r="M28" s="216">
        <v>2</v>
      </c>
      <c r="N28" s="216" t="s">
        <v>85</v>
      </c>
      <c r="O28" s="217">
        <f>SUM(O17:O20)</f>
        <v>81.722130299896577</v>
      </c>
      <c r="P28" s="218"/>
      <c r="Q28" s="30">
        <f t="shared" si="7"/>
        <v>1.210762331838565</v>
      </c>
      <c r="R28" s="30">
        <f t="shared" si="8"/>
        <v>98.946077044717825</v>
      </c>
      <c r="S28" s="30">
        <f t="shared" si="19"/>
        <v>16131948.521199586</v>
      </c>
      <c r="T28" s="30">
        <f t="shared" si="20"/>
        <v>197400.00000000003</v>
      </c>
      <c r="U28" s="30">
        <f t="shared" si="21"/>
        <v>16131948.521199586</v>
      </c>
      <c r="V28" s="31"/>
      <c r="X28" s="230"/>
      <c r="Y28" s="231" t="s">
        <v>27</v>
      </c>
      <c r="Z28" s="231" t="s">
        <v>28</v>
      </c>
      <c r="AA28" s="231" t="s">
        <v>29</v>
      </c>
      <c r="AB28" s="231" t="s">
        <v>30</v>
      </c>
      <c r="AC28" s="231" t="s">
        <v>31</v>
      </c>
      <c r="AD28" s="231" t="s">
        <v>32</v>
      </c>
      <c r="AE28" s="232" t="s">
        <v>33</v>
      </c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2.8325079598911795E-2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5"/>
        <v>2.8325079598911795E-2</v>
      </c>
      <c r="BA28" s="168" t="s">
        <v>320</v>
      </c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6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7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0.11</v>
      </c>
      <c r="CS28" s="254">
        <v>2.4899999999999999E-2</v>
      </c>
      <c r="CT28" s="253">
        <v>4.41</v>
      </c>
      <c r="CU28" s="254">
        <v>1.1E-5</v>
      </c>
      <c r="CV28" s="254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28">CR34</f>
        <v>1500000</v>
      </c>
      <c r="DB28" s="255" t="s">
        <v>320</v>
      </c>
      <c r="DD28" s="170" t="s">
        <v>460</v>
      </c>
      <c r="DE28" s="291" t="s">
        <v>325</v>
      </c>
      <c r="DF28" s="289" t="s">
        <v>321</v>
      </c>
      <c r="DG28" s="293">
        <f>AP9</f>
        <v>1635553.9200000004</v>
      </c>
      <c r="DH28" s="170" t="s">
        <v>320</v>
      </c>
    </row>
    <row r="29" spans="1:112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L29" s="215">
        <v>2</v>
      </c>
      <c r="M29" s="216">
        <v>2</v>
      </c>
      <c r="N29" s="216" t="s">
        <v>99</v>
      </c>
      <c r="O29" s="217">
        <f>B8-B7</f>
        <v>15.799999999999983</v>
      </c>
      <c r="P29" s="222"/>
      <c r="Q29" s="30">
        <f t="shared" si="7"/>
        <v>1.0482529118136439</v>
      </c>
      <c r="R29" s="30">
        <f t="shared" si="8"/>
        <v>16.562396006655554</v>
      </c>
      <c r="S29" s="30">
        <f t="shared" si="19"/>
        <v>7355531.9999999916</v>
      </c>
      <c r="T29" s="30">
        <f t="shared" si="20"/>
        <v>465540</v>
      </c>
      <c r="U29" s="30">
        <f t="shared" si="21"/>
        <v>7355531.9999999916</v>
      </c>
      <c r="X29" s="205"/>
      <c r="Y29" s="206" t="s">
        <v>103</v>
      </c>
      <c r="Z29" s="206">
        <v>0.02</v>
      </c>
      <c r="AA29" s="206">
        <v>0.18</v>
      </c>
      <c r="AB29" s="206">
        <v>550</v>
      </c>
      <c r="AC29" s="206">
        <v>1880</v>
      </c>
      <c r="AD29" s="236">
        <f>Z29/AA29</f>
        <v>0.11111111111111112</v>
      </c>
      <c r="AE29" s="237">
        <f>Z29*AB29*AC29</f>
        <v>20680</v>
      </c>
      <c r="AF29" s="14" t="s">
        <v>104</v>
      </c>
      <c r="AG29" s="14"/>
      <c r="AH29" s="14"/>
      <c r="AQ29" s="81" t="s">
        <v>320</v>
      </c>
      <c r="AV29" s="168"/>
      <c r="AW29" s="168"/>
      <c r="AX29" s="168"/>
      <c r="AY29" s="169"/>
      <c r="BA29" s="168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s="81" t="s">
        <v>342</v>
      </c>
      <c r="CK29" s="251">
        <f t="shared" si="0"/>
        <v>1162464.1599999999</v>
      </c>
      <c r="CL29" s="251">
        <f t="shared" si="13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0.57599999999999996</v>
      </c>
      <c r="CS29" s="254">
        <v>5.5399999999999998E-2</v>
      </c>
      <c r="CT29" s="253">
        <v>10.4</v>
      </c>
      <c r="CU29" s="253" t="s">
        <v>387</v>
      </c>
      <c r="CV29" s="254">
        <v>2E-16</v>
      </c>
      <c r="CW29" s="81" t="s">
        <v>388</v>
      </c>
      <c r="CX29" s="255" t="s">
        <v>460</v>
      </c>
      <c r="CY29" s="259" t="s">
        <v>326</v>
      </c>
      <c r="CZ29" s="256" t="s">
        <v>321</v>
      </c>
      <c r="DA29" s="257">
        <f t="shared" si="28"/>
        <v>12000000</v>
      </c>
      <c r="DB29" s="255" t="s">
        <v>320</v>
      </c>
      <c r="DD29" s="170" t="s">
        <v>460</v>
      </c>
      <c r="DE29" s="291" t="s">
        <v>326</v>
      </c>
      <c r="DF29" s="289" t="s">
        <v>321</v>
      </c>
      <c r="DG29" s="293">
        <f>AP10</f>
        <v>12558781.973112725</v>
      </c>
      <c r="DH29" s="170" t="s">
        <v>320</v>
      </c>
    </row>
    <row r="30" spans="1:112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L30" s="215" t="s">
        <v>509</v>
      </c>
      <c r="M30" s="216">
        <v>1</v>
      </c>
      <c r="N30" s="216" t="s">
        <v>510</v>
      </c>
      <c r="O30" s="217">
        <f>O7</f>
        <v>35.733053277868223</v>
      </c>
      <c r="P30" s="218"/>
      <c r="Q30" s="30">
        <f t="shared" si="7"/>
        <v>1.5517241379310345</v>
      </c>
      <c r="R30" s="30">
        <f t="shared" si="8"/>
        <v>55.447841293243791</v>
      </c>
      <c r="S30" s="30">
        <f t="shared" si="19"/>
        <v>6138223.8920722036</v>
      </c>
      <c r="T30" s="30">
        <f t="shared" si="20"/>
        <v>171780</v>
      </c>
      <c r="U30" s="30">
        <f t="shared" si="21"/>
        <v>6138223.8920722036</v>
      </c>
      <c r="X30" s="182"/>
      <c r="Y30" s="183" t="s">
        <v>129</v>
      </c>
      <c r="Z30" s="183">
        <v>0.08</v>
      </c>
      <c r="AA30" s="183">
        <v>0.6</v>
      </c>
      <c r="AB30" s="183">
        <v>1100</v>
      </c>
      <c r="AC30" s="183">
        <v>860</v>
      </c>
      <c r="AD30" s="233">
        <f>Z30/AA30</f>
        <v>0.13333333333333333</v>
      </c>
      <c r="AE30" s="184">
        <f>Z30*AB30*AC30</f>
        <v>75680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1162464.1599999999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1162464.1599999999</v>
      </c>
      <c r="BA30" s="168" t="s">
        <v>320</v>
      </c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s="81" t="s">
        <v>343</v>
      </c>
      <c r="CK30" s="251">
        <f t="shared" si="0"/>
        <v>16454272.026887279</v>
      </c>
      <c r="CL30" s="251">
        <f t="shared" si="13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0.192</v>
      </c>
      <c r="CS30" s="254">
        <v>1.38E-2</v>
      </c>
      <c r="CT30" s="253">
        <v>13.93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28"/>
        <v>9600000</v>
      </c>
      <c r="DB30" s="255" t="s">
        <v>320</v>
      </c>
      <c r="DD30" s="170" t="s">
        <v>460</v>
      </c>
      <c r="DE30" s="291" t="s">
        <v>327</v>
      </c>
      <c r="DF30" s="289" t="s">
        <v>321</v>
      </c>
      <c r="DG30" s="293">
        <f>AP11</f>
        <v>9916707.6854363121</v>
      </c>
      <c r="DH30" s="170" t="s">
        <v>320</v>
      </c>
    </row>
    <row r="31" spans="1:112" ht="15" customHeight="1" thickTop="1" thickBot="1" x14ac:dyDescent="0.3">
      <c r="L31" s="220" t="s">
        <v>509</v>
      </c>
      <c r="M31" s="221">
        <v>2</v>
      </c>
      <c r="N31" s="221" t="s">
        <v>510</v>
      </c>
      <c r="O31" s="217">
        <f>O18</f>
        <v>42.090961406137552</v>
      </c>
      <c r="P31" s="222"/>
      <c r="Q31" s="30">
        <f t="shared" si="7"/>
        <v>1.5517241379310345</v>
      </c>
      <c r="R31" s="30">
        <f t="shared" si="8"/>
        <v>65.313560802627237</v>
      </c>
      <c r="S31" s="30">
        <f t="shared" si="19"/>
        <v>7230385.3503463091</v>
      </c>
      <c r="T31" s="30">
        <f t="shared" si="20"/>
        <v>171780</v>
      </c>
      <c r="U31" s="30">
        <f t="shared" si="21"/>
        <v>7230385.3503463091</v>
      </c>
      <c r="X31" s="182"/>
      <c r="Y31" s="183" t="s">
        <v>276</v>
      </c>
      <c r="Z31" s="183">
        <v>0.2</v>
      </c>
      <c r="AA31" s="183">
        <v>1.4</v>
      </c>
      <c r="AB31" s="183">
        <v>2100</v>
      </c>
      <c r="AC31" s="183">
        <v>840</v>
      </c>
      <c r="AD31" s="233">
        <f>Z31/AA31</f>
        <v>0.14285714285714288</v>
      </c>
      <c r="AE31" s="184">
        <f>Z31*AB31*AC31</f>
        <v>352800</v>
      </c>
      <c r="AF31" s="14"/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16454272.026887279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29">AP31</f>
        <v>16454272.026887279</v>
      </c>
      <c r="BA31" s="168" t="s">
        <v>320</v>
      </c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0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1">BU59</f>
        <v>37600000</v>
      </c>
      <c r="CF31" s="174" t="s">
        <v>320</v>
      </c>
      <c r="CJ31" s="81" t="s">
        <v>344</v>
      </c>
      <c r="CK31" s="251">
        <f t="shared" si="0"/>
        <v>30717865.871545888</v>
      </c>
      <c r="CL31" s="251">
        <f t="shared" si="13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2.53E-2</v>
      </c>
      <c r="CS31" s="254">
        <v>1.29E-2</v>
      </c>
      <c r="CT31" s="253">
        <v>1.96</v>
      </c>
      <c r="CU31" s="253">
        <v>0.05</v>
      </c>
      <c r="CV31" s="254" t="s">
        <v>432</v>
      </c>
      <c r="CZ31" s="256"/>
      <c r="DF31" s="289"/>
    </row>
    <row r="32" spans="1:112" ht="15" customHeight="1" thickTop="1" thickBot="1" x14ac:dyDescent="0.3">
      <c r="L32" s="81"/>
      <c r="M32" s="81"/>
      <c r="N32" s="81"/>
      <c r="Q32" s="81"/>
      <c r="R32" s="81"/>
      <c r="X32" s="199"/>
      <c r="Y32" s="181" t="s">
        <v>80</v>
      </c>
      <c r="Z32" s="181">
        <v>0.02</v>
      </c>
      <c r="AA32" s="181">
        <v>0.6</v>
      </c>
      <c r="AB32" s="181">
        <v>975</v>
      </c>
      <c r="AC32" s="181">
        <v>840</v>
      </c>
      <c r="AD32" s="234">
        <f>Z32/AA32</f>
        <v>3.3333333333333333E-2</v>
      </c>
      <c r="AE32" s="204">
        <f>Z32*AB32*AC32</f>
        <v>16380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SUM(U28,U31,U29)</f>
        <v>30717865.871545888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29"/>
        <v>30717865.871545888</v>
      </c>
      <c r="BA32" s="168" t="s">
        <v>320</v>
      </c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0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1"/>
        <v>6950000</v>
      </c>
      <c r="CF32" s="174" t="s">
        <v>320</v>
      </c>
      <c r="CJ32" s="81" t="s">
        <v>345</v>
      </c>
      <c r="CK32" s="249">
        <f t="shared" si="0"/>
        <v>0.10170488072680134</v>
      </c>
      <c r="CL32" s="249">
        <f t="shared" si="13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1630000000</v>
      </c>
      <c r="CS32" s="254">
        <v>138000000</v>
      </c>
      <c r="CT32" s="253">
        <v>11.81</v>
      </c>
      <c r="CU32" s="253" t="s">
        <v>387</v>
      </c>
      <c r="CV32" s="254">
        <v>2E-16</v>
      </c>
      <c r="CW32" s="81" t="s">
        <v>388</v>
      </c>
      <c r="CX32" s="255" t="s">
        <v>460</v>
      </c>
      <c r="CY32" s="259" t="s">
        <v>333</v>
      </c>
      <c r="CZ32" s="256" t="s">
        <v>321</v>
      </c>
      <c r="DA32" s="257">
        <f>CR47</f>
        <v>158</v>
      </c>
      <c r="DB32" s="255" t="s">
        <v>320</v>
      </c>
      <c r="DD32" s="170" t="s">
        <v>460</v>
      </c>
      <c r="DE32" s="291" t="s">
        <v>333</v>
      </c>
      <c r="DF32" s="289" t="s">
        <v>321</v>
      </c>
      <c r="DG32" s="170">
        <f>AP19</f>
        <v>158.07615881036227</v>
      </c>
      <c r="DH32" s="170" t="s">
        <v>320</v>
      </c>
    </row>
    <row r="33" spans="1:11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06" t="s">
        <v>112</v>
      </c>
      <c r="F33" s="306"/>
      <c r="G33" s="72" t="s">
        <v>113</v>
      </c>
      <c r="L33" s="81"/>
      <c r="M33" s="81"/>
      <c r="N33" s="81"/>
      <c r="Q33" s="69" t="s">
        <v>106</v>
      </c>
      <c r="R33" s="70">
        <f>SUM(R4:R13)+R14*0.5+SUM(R17:R25)+R16</f>
        <v>508.9745418095946</v>
      </c>
      <c r="S33" s="69" t="s">
        <v>107</v>
      </c>
      <c r="X33" s="183"/>
      <c r="Y33" s="183"/>
      <c r="Z33" s="183"/>
      <c r="AA33" s="183"/>
      <c r="AB33" s="183"/>
      <c r="AC33" s="183"/>
      <c r="AD33" s="233"/>
      <c r="AE33" s="183"/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AP26*0.3</f>
        <v>0.10170488072680134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29"/>
        <v>0.10170488072680134</v>
      </c>
      <c r="BA33" s="168" t="s">
        <v>320</v>
      </c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s="81" t="s">
        <v>346</v>
      </c>
      <c r="CK33" s="249">
        <f t="shared" si="0"/>
        <v>0.13170341252987464</v>
      </c>
      <c r="CL33" s="249">
        <f t="shared" si="13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10900000</v>
      </c>
      <c r="CS33" s="254">
        <v>322000</v>
      </c>
      <c r="CT33" s="253">
        <v>33.76</v>
      </c>
      <c r="CU33" s="253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2">CR48</f>
        <v>144</v>
      </c>
      <c r="DB33" s="255" t="s">
        <v>320</v>
      </c>
      <c r="DD33" s="170" t="s">
        <v>460</v>
      </c>
      <c r="DE33" s="291" t="s">
        <v>334</v>
      </c>
      <c r="DF33" s="289" t="s">
        <v>321</v>
      </c>
      <c r="DG33" s="170">
        <f>AP20</f>
        <v>184.63366336633666</v>
      </c>
      <c r="DH33" s="170" t="s">
        <v>320</v>
      </c>
    </row>
    <row r="34" spans="1:112" ht="15" customHeight="1" thickTop="1" thickBot="1" x14ac:dyDescent="0.3">
      <c r="A34" s="73">
        <v>1</v>
      </c>
      <c r="B34" s="74">
        <f>B7*3.5</f>
        <v>310.80000000000007</v>
      </c>
      <c r="C34" s="73"/>
      <c r="D34" s="73" t="s">
        <v>42</v>
      </c>
      <c r="E34" s="307">
        <v>21</v>
      </c>
      <c r="F34" s="307"/>
      <c r="G34" s="76">
        <f>VLOOKUP(D34,A6:B22,2,0)</f>
        <v>88.800000000000011</v>
      </c>
      <c r="L34" s="81"/>
      <c r="M34" s="81"/>
      <c r="N34" s="81"/>
      <c r="Q34" s="81"/>
      <c r="R34" s="81">
        <f>G4*Z37</f>
        <v>14.381999999999998</v>
      </c>
      <c r="X34" s="223"/>
      <c r="Y34" s="223"/>
      <c r="Z34" s="224" t="s">
        <v>4</v>
      </c>
      <c r="AA34" s="224">
        <v>5</v>
      </c>
      <c r="AB34" s="224" t="s">
        <v>5</v>
      </c>
      <c r="AC34" s="223"/>
      <c r="AD34" s="223"/>
      <c r="AE34" s="223"/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AP27*0.3</f>
        <v>0.13170341252987464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29"/>
        <v>0.13170341252987464</v>
      </c>
      <c r="BA34" s="168" t="s">
        <v>320</v>
      </c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3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34">BU66</f>
        <v>7.8100000000000001E-3</v>
      </c>
      <c r="CF34" s="174" t="s">
        <v>320</v>
      </c>
      <c r="CJ34" s="81" t="s">
        <v>348</v>
      </c>
      <c r="CK34" s="249">
        <f t="shared" si="0"/>
        <v>0.70849752387967346</v>
      </c>
      <c r="CL34" s="249">
        <f t="shared" si="13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1500000</v>
      </c>
      <c r="CS34" s="254">
        <v>6820</v>
      </c>
      <c r="CT34" s="253">
        <v>220.68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2"/>
        <v>272</v>
      </c>
      <c r="DB34" s="255" t="s">
        <v>320</v>
      </c>
      <c r="DD34" s="170" t="s">
        <v>460</v>
      </c>
      <c r="DE34" s="292" t="s">
        <v>335</v>
      </c>
      <c r="DF34" s="289" t="s">
        <v>321</v>
      </c>
      <c r="DG34" s="170">
        <f>AP21</f>
        <v>223.4480638854225</v>
      </c>
      <c r="DH34" s="170" t="s">
        <v>320</v>
      </c>
    </row>
    <row r="35" spans="1:112" ht="15" customHeight="1" thickTop="1" thickBot="1" x14ac:dyDescent="0.3">
      <c r="A35" s="73">
        <v>2</v>
      </c>
      <c r="B35" s="74">
        <f>B4-B34</f>
        <v>220.89999999999998</v>
      </c>
      <c r="C35" s="73"/>
      <c r="D35" s="73" t="s">
        <v>116</v>
      </c>
      <c r="E35" s="77">
        <v>18</v>
      </c>
      <c r="F35" s="77"/>
      <c r="G35" s="76">
        <f>VLOOKUP(D35,A7:B23,2,0)</f>
        <v>104.6</v>
      </c>
      <c r="L35" s="81"/>
      <c r="M35" s="81"/>
      <c r="N35" s="81" t="s">
        <v>114</v>
      </c>
      <c r="O35" s="153">
        <f>SUM(R6:R9,R15,R17:R20,R25)</f>
        <v>284.62017939348709</v>
      </c>
      <c r="P35" s="153"/>
      <c r="Q35" s="81"/>
      <c r="R35" s="81"/>
      <c r="X35" s="225" t="s">
        <v>115</v>
      </c>
      <c r="Y35" s="226"/>
      <c r="Z35" s="227" t="s">
        <v>21</v>
      </c>
      <c r="AA35" s="207">
        <v>2</v>
      </c>
      <c r="AB35" s="226" t="s">
        <v>5</v>
      </c>
      <c r="AC35" s="226"/>
      <c r="AD35" s="226" t="s">
        <v>22</v>
      </c>
      <c r="AE35" s="229">
        <f>SUM(AE36:AE37)</f>
        <v>0</v>
      </c>
      <c r="AF35" s="14" t="s">
        <v>23</v>
      </c>
      <c r="AG35" s="14">
        <f>SUM(AE37:AE38)</f>
        <v>0</v>
      </c>
      <c r="AH35" s="14"/>
      <c r="AM35" s="159" t="s">
        <v>317</v>
      </c>
      <c r="AN35" s="81" t="s">
        <v>318</v>
      </c>
      <c r="AO35" s="81" t="s">
        <v>348</v>
      </c>
      <c r="AP35" s="81">
        <f>AP28*0.3+0.7</f>
        <v>0.70849752387967346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29"/>
        <v>0.70849752387967346</v>
      </c>
      <c r="BA35" s="168" t="s">
        <v>320</v>
      </c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3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34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12000000</v>
      </c>
      <c r="CS35" s="254">
        <v>154000</v>
      </c>
      <c r="CT35" s="253">
        <v>77.72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2"/>
        <v>74.8</v>
      </c>
      <c r="DB35" s="255" t="s">
        <v>320</v>
      </c>
      <c r="DD35" s="170" t="s">
        <v>460</v>
      </c>
      <c r="DE35" s="292" t="s">
        <v>336</v>
      </c>
      <c r="DF35" s="289" t="s">
        <v>321</v>
      </c>
      <c r="DG35" s="170">
        <f>AP22</f>
        <v>91.340248711679521</v>
      </c>
      <c r="DH35" s="170" t="s">
        <v>320</v>
      </c>
    </row>
    <row r="36" spans="1:11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08" t="s">
        <v>119</v>
      </c>
      <c r="F36" s="308"/>
      <c r="G36" s="76">
        <f>B17</f>
        <v>0</v>
      </c>
      <c r="L36" s="81"/>
      <c r="M36" s="81"/>
      <c r="N36" s="81" t="s">
        <v>117</v>
      </c>
      <c r="O36" s="153">
        <f>SUM(R10:R13,R21:R24)</f>
        <v>61.199999999999996</v>
      </c>
      <c r="Q36" s="81"/>
      <c r="R36" s="81"/>
      <c r="X36" s="205"/>
      <c r="Y36" s="206" t="s">
        <v>16</v>
      </c>
      <c r="Z36" s="206">
        <v>1.361</v>
      </c>
      <c r="AA36" s="206" t="s">
        <v>5</v>
      </c>
      <c r="AB36" s="206"/>
      <c r="AC36" s="206"/>
      <c r="AD36" s="206">
        <f>(AA35-(1-AD37)*Z36)/AD37</f>
        <v>3.9169999999999998</v>
      </c>
      <c r="AE36" s="238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s="81" t="s">
        <v>350</v>
      </c>
      <c r="CK36" s="252">
        <f t="shared" si="0"/>
        <v>291.6601821456062</v>
      </c>
      <c r="CL36" s="252">
        <f t="shared" si="13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9600000</v>
      </c>
      <c r="CS36" s="254">
        <v>100000</v>
      </c>
      <c r="CT36" s="253">
        <v>95.77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284</v>
      </c>
      <c r="DB36" s="255" t="s">
        <v>320</v>
      </c>
      <c r="DD36" s="170" t="s">
        <v>460</v>
      </c>
      <c r="DE36" s="294" t="s">
        <v>338</v>
      </c>
      <c r="DF36" s="289" t="s">
        <v>321</v>
      </c>
      <c r="DG36" s="170">
        <f>AP24</f>
        <v>97.654165086555082</v>
      </c>
      <c r="DH36" s="170" t="s">
        <v>320</v>
      </c>
    </row>
    <row r="37" spans="1:112" ht="15" customHeight="1" thickTop="1" thickBot="1" x14ac:dyDescent="0.3">
      <c r="L37" s="81"/>
      <c r="M37" s="81"/>
      <c r="N37" s="81" t="s">
        <v>120</v>
      </c>
      <c r="O37" s="153">
        <f>'Verwarming Tabula'!B60</f>
        <v>138.03320000000002</v>
      </c>
      <c r="Q37" s="81"/>
      <c r="R37" s="81"/>
      <c r="X37" s="199"/>
      <c r="Y37" s="181" t="s">
        <v>121</v>
      </c>
      <c r="Z37" s="181">
        <v>0.47</v>
      </c>
      <c r="AA37" s="181"/>
      <c r="AB37" s="181"/>
      <c r="AC37" s="181"/>
      <c r="AD37" s="181">
        <v>0.25</v>
      </c>
      <c r="AE37" s="204"/>
      <c r="AF37" s="149" t="s">
        <v>277</v>
      </c>
      <c r="AG37" s="14"/>
      <c r="AH37" s="14"/>
      <c r="AM37" s="159" t="s">
        <v>317</v>
      </c>
      <c r="AN37" s="81" t="s">
        <v>318</v>
      </c>
      <c r="AO37" s="81" t="s">
        <v>350</v>
      </c>
      <c r="AP37" s="81">
        <f>SUM(O17:O20)*(1/(SUM(AD18:AD19)/2+1/4))+O25*(1/(SUM(AD9:AD10)/2+1/4))</f>
        <v>291.6601821456062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291.6601821456062</v>
      </c>
      <c r="BA37" s="168" t="s">
        <v>320</v>
      </c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s="81" t="s">
        <v>352</v>
      </c>
      <c r="CK37" s="252">
        <f t="shared" si="0"/>
        <v>296.33050690537397</v>
      </c>
      <c r="CL37" s="252">
        <f t="shared" si="13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-8.91</v>
      </c>
      <c r="CS37" s="254">
        <v>0.14299999999999999</v>
      </c>
      <c r="CT37" s="253">
        <v>-62.43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230.94688221709009</v>
      </c>
      <c r="DB37" s="255" t="s">
        <v>320</v>
      </c>
      <c r="DD37" s="170" t="s">
        <v>460</v>
      </c>
      <c r="DE37" s="294" t="s">
        <v>337</v>
      </c>
      <c r="DF37" s="289" t="s">
        <v>321</v>
      </c>
      <c r="DG37" s="170">
        <f>AP23</f>
        <v>251.18204112945287</v>
      </c>
      <c r="DH37" s="170" t="s">
        <v>320</v>
      </c>
    </row>
    <row r="38" spans="1:112" ht="15" customHeight="1" thickTop="1" thickBot="1" x14ac:dyDescent="0.3">
      <c r="B38" s="153"/>
      <c r="L38" s="81"/>
      <c r="M38" s="81"/>
      <c r="N38" s="81"/>
      <c r="O38" s="153"/>
      <c r="Q38" s="81"/>
      <c r="R38" s="81"/>
      <c r="X38" s="223"/>
      <c r="Y38" s="223"/>
      <c r="Z38" s="223"/>
      <c r="AA38" s="223"/>
      <c r="AB38" s="223"/>
      <c r="AC38" s="223"/>
      <c r="AD38" s="223"/>
      <c r="AE38" s="223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2*AA21*O28+1*O31*AA52+2*O29*AA27</f>
        <v>296.33050690537397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35">AP38</f>
        <v>296.33050690537397</v>
      </c>
      <c r="BA38" s="168" t="s">
        <v>320</v>
      </c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36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37">BU70</f>
        <v>191</v>
      </c>
      <c r="CF38" s="174" t="s">
        <v>320</v>
      </c>
      <c r="CJ38" s="81" t="s">
        <v>353</v>
      </c>
      <c r="CK38" s="252">
        <f t="shared" si="0"/>
        <v>49.995061545984576</v>
      </c>
      <c r="CL38" s="252">
        <f t="shared" si="13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-22.7</v>
      </c>
      <c r="CS38" s="254">
        <v>15.8</v>
      </c>
      <c r="CT38" s="253">
        <v>-1.44</v>
      </c>
      <c r="CU38" s="253">
        <v>0.15</v>
      </c>
      <c r="CX38" s="255" t="s">
        <v>460</v>
      </c>
      <c r="CY38" s="258" t="s">
        <v>329</v>
      </c>
      <c r="CZ38" s="256" t="s">
        <v>321</v>
      </c>
      <c r="DA38" s="257">
        <f>CR42</f>
        <v>5.7200000000000001E-2</v>
      </c>
      <c r="DB38" s="255" t="s">
        <v>320</v>
      </c>
      <c r="DD38" s="170" t="s">
        <v>460</v>
      </c>
      <c r="DE38" s="290" t="s">
        <v>329</v>
      </c>
      <c r="DF38" s="289" t="s">
        <v>321</v>
      </c>
      <c r="DG38" s="170">
        <f>AP14</f>
        <v>4.5989602505539282E-2</v>
      </c>
      <c r="DH38" s="170" t="s">
        <v>320</v>
      </c>
    </row>
    <row r="39" spans="1:112" ht="15" customHeight="1" thickTop="1" thickBot="1" x14ac:dyDescent="0.3">
      <c r="L39" s="81"/>
      <c r="M39" s="81"/>
      <c r="N39" s="81" t="s">
        <v>122</v>
      </c>
      <c r="O39" s="153">
        <f>B4*1.204*1012*5/1000000</f>
        <v>3.2392440080000005</v>
      </c>
      <c r="P39" s="81" t="s">
        <v>123</v>
      </c>
      <c r="R39" s="81"/>
      <c r="X39" s="223"/>
      <c r="Y39" s="223"/>
      <c r="Z39" s="224" t="s">
        <v>4</v>
      </c>
      <c r="AA39" s="224">
        <v>0.85</v>
      </c>
      <c r="AB39" s="224" t="s">
        <v>5</v>
      </c>
      <c r="AC39" s="223"/>
      <c r="AD39" s="223"/>
      <c r="AE39" s="223"/>
      <c r="AF39" s="14"/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 Ref1'!B139+SUM(R21:R24)</f>
        <v>49.995061545984576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35"/>
        <v>49.995061545984576</v>
      </c>
      <c r="BA39" s="168" t="s">
        <v>320</v>
      </c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36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37"/>
        <v>2.0199999999999999E-19</v>
      </c>
      <c r="CF39" s="174" t="s">
        <v>320</v>
      </c>
      <c r="CJ39" s="81" t="s">
        <v>355</v>
      </c>
      <c r="CK39" s="252">
        <f t="shared" si="0"/>
        <v>275.69407800093649</v>
      </c>
      <c r="CL39" s="252">
        <f t="shared" si="13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-13.8</v>
      </c>
      <c r="CS39" s="254">
        <v>7.44</v>
      </c>
      <c r="CT39" s="253">
        <v>-1.85</v>
      </c>
      <c r="CU39" s="253">
        <v>6.4000000000000001E-2</v>
      </c>
      <c r="CV39" s="254" t="s">
        <v>433</v>
      </c>
      <c r="CX39" s="255" t="s">
        <v>460</v>
      </c>
      <c r="CY39" s="259" t="s">
        <v>330</v>
      </c>
      <c r="CZ39" s="256" t="s">
        <v>321</v>
      </c>
      <c r="DA39" s="257">
        <f t="shared" ref="DA39:DA42" si="38">CR43</f>
        <v>0.11799999999999999</v>
      </c>
      <c r="DB39" s="255" t="s">
        <v>320</v>
      </c>
      <c r="DD39" s="170" t="s">
        <v>460</v>
      </c>
      <c r="DE39" s="291" t="s">
        <v>330</v>
      </c>
      <c r="DF39" s="289" t="s">
        <v>321</v>
      </c>
      <c r="DG39" s="170">
        <f>AP15</f>
        <v>0.11566613751076536</v>
      </c>
      <c r="DH39" s="170" t="s">
        <v>320</v>
      </c>
    </row>
    <row r="40" spans="1:112" ht="15" customHeight="1" thickTop="1" thickBot="1" x14ac:dyDescent="0.3">
      <c r="A40" s="81" t="s">
        <v>278</v>
      </c>
      <c r="L40" s="81"/>
      <c r="M40" s="81"/>
      <c r="N40" s="81" t="s">
        <v>124</v>
      </c>
      <c r="O40" s="153">
        <f>SUM(S6:S9,S15)/1000000</f>
        <v>27.248369934229579</v>
      </c>
      <c r="P40" s="81" t="s">
        <v>125</v>
      </c>
      <c r="Q40" s="153">
        <f>SUM(U6:U9,U15)/1000000</f>
        <v>14.219713973112725</v>
      </c>
      <c r="R40" s="81"/>
      <c r="X40" s="225" t="s">
        <v>63</v>
      </c>
      <c r="Y40" s="226"/>
      <c r="Z40" s="227" t="s">
        <v>21</v>
      </c>
      <c r="AA40" s="228">
        <f>1/(1/10+SUM(AD42:AD46))</f>
        <v>2.8187919463087252</v>
      </c>
      <c r="AB40" s="226" t="s">
        <v>5</v>
      </c>
      <c r="AC40" s="226"/>
      <c r="AD40" s="226" t="s">
        <v>22</v>
      </c>
      <c r="AE40" s="229">
        <f>SUM(AE42:AE46)</f>
        <v>375560</v>
      </c>
      <c r="AF40" s="14" t="s">
        <v>23</v>
      </c>
      <c r="AG40" s="14">
        <f>SUM(AE42:AE43)</f>
        <v>110960</v>
      </c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SUM(O17:O20)*1/(SUM(AD15:AD17)+SUM(AD18:AD19)/2+1/23)+O25*1/(SUM(AD7:AD8)+SUM(AD9:AD10)/2+1/23)</f>
        <v>275.69407800093649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35"/>
        <v>275.69407800093649</v>
      </c>
      <c r="BA40" s="168" t="s">
        <v>320</v>
      </c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-15.4</v>
      </c>
      <c r="CS40" s="254">
        <v>14.6</v>
      </c>
      <c r="CT40" s="253">
        <v>-1.06</v>
      </c>
      <c r="CU40" s="253">
        <v>0.29099999999999998</v>
      </c>
      <c r="CX40" s="255" t="s">
        <v>460</v>
      </c>
      <c r="CY40" s="259" t="s">
        <v>331</v>
      </c>
      <c r="CZ40" s="256" t="s">
        <v>321</v>
      </c>
      <c r="DA40" s="257">
        <f t="shared" si="38"/>
        <v>0.71699999999999997</v>
      </c>
      <c r="DB40" s="255" t="s">
        <v>320</v>
      </c>
      <c r="DD40" s="170" t="s">
        <v>460</v>
      </c>
      <c r="DE40" s="291" t="s">
        <v>331</v>
      </c>
      <c r="DF40" s="289" t="s">
        <v>321</v>
      </c>
      <c r="DG40" s="170">
        <f>AP16</f>
        <v>0.71014215226521571</v>
      </c>
      <c r="DH40" s="170" t="s">
        <v>320</v>
      </c>
    </row>
    <row r="41" spans="1:112" ht="15" customHeight="1" thickTop="1" thickBot="1" x14ac:dyDescent="0.3">
      <c r="A41" s="150" t="s">
        <v>279</v>
      </c>
      <c r="L41" s="81"/>
      <c r="M41" s="81"/>
      <c r="N41" s="81" t="s">
        <v>126</v>
      </c>
      <c r="O41" s="153">
        <f>SUM(S26:S27)/1000000</f>
        <v>62.390675478800418</v>
      </c>
      <c r="P41" s="81" t="s">
        <v>125</v>
      </c>
      <c r="Q41" s="153">
        <f>SUM(U26:U27)/1000000</f>
        <v>62.390675478800418</v>
      </c>
      <c r="R41" s="81"/>
      <c r="X41" s="230"/>
      <c r="Y41" s="231" t="s">
        <v>27</v>
      </c>
      <c r="Z41" s="231" t="s">
        <v>28</v>
      </c>
      <c r="AA41" s="231" t="s">
        <v>29</v>
      </c>
      <c r="AB41" s="231" t="s">
        <v>30</v>
      </c>
      <c r="AC41" s="231" t="s">
        <v>31</v>
      </c>
      <c r="AD41" s="231" t="s">
        <v>32</v>
      </c>
      <c r="AE41" s="232" t="s">
        <v>33</v>
      </c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s="81" t="s">
        <v>356</v>
      </c>
      <c r="CK41" s="249">
        <f t="shared" si="0"/>
        <v>0.23112617144696584</v>
      </c>
      <c r="CL41" s="249">
        <f t="shared" si="13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-18.2</v>
      </c>
      <c r="CS41" s="254">
        <v>17.7</v>
      </c>
      <c r="CT41" s="253">
        <v>-1.02</v>
      </c>
      <c r="CU41" s="253">
        <v>0.30599999999999999</v>
      </c>
      <c r="CX41" s="255" t="s">
        <v>460</v>
      </c>
      <c r="CY41" s="256" t="s">
        <v>332</v>
      </c>
      <c r="CZ41" s="256" t="s">
        <v>321</v>
      </c>
      <c r="DA41" s="257">
        <f t="shared" si="38"/>
        <v>8.1600000000000006E-2</v>
      </c>
      <c r="DB41" s="255" t="s">
        <v>320</v>
      </c>
      <c r="DD41" s="170" t="s">
        <v>460</v>
      </c>
      <c r="DE41" s="289" t="s">
        <v>332</v>
      </c>
      <c r="DF41" s="289" t="s">
        <v>321</v>
      </c>
      <c r="DG41" s="170">
        <f>AP17</f>
        <v>5.8864256284389779E-2</v>
      </c>
      <c r="DH41" s="170" t="s">
        <v>320</v>
      </c>
    </row>
    <row r="42" spans="1:112" ht="15" customHeight="1" thickTop="1" thickBot="1" x14ac:dyDescent="0.3">
      <c r="A42" s="81" t="s">
        <v>280</v>
      </c>
      <c r="C42" s="81">
        <f>0.55</f>
        <v>0.55000000000000004</v>
      </c>
      <c r="L42" s="81"/>
      <c r="M42" s="81"/>
      <c r="N42" s="81" t="s">
        <v>127</v>
      </c>
      <c r="O42" s="153">
        <f>S14/1000000</f>
        <v>33.349728000000006</v>
      </c>
      <c r="Q42" s="153">
        <f>U14/1000000</f>
        <v>9.8532480000000024</v>
      </c>
      <c r="R42" s="81"/>
      <c r="X42" s="205"/>
      <c r="Y42" s="206" t="s">
        <v>128</v>
      </c>
      <c r="Z42" s="206">
        <v>0.02</v>
      </c>
      <c r="AA42" s="206">
        <v>1.4</v>
      </c>
      <c r="AB42" s="206">
        <v>2100</v>
      </c>
      <c r="AC42" s="206">
        <v>840</v>
      </c>
      <c r="AD42" s="236">
        <f>Z42/AA42</f>
        <v>1.4285714285714287E-2</v>
      </c>
      <c r="AE42" s="237">
        <f>Z42*AB42*AC42</f>
        <v>35280</v>
      </c>
      <c r="AF42" s="14" t="s">
        <v>104</v>
      </c>
      <c r="AG42" s="14"/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0.23112617144696584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0.23112617144696584</v>
      </c>
      <c r="BA42" s="168" t="s">
        <v>320</v>
      </c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s="81" t="s">
        <v>358</v>
      </c>
      <c r="CK42" s="249">
        <f t="shared" si="0"/>
        <v>0.19364727621216821</v>
      </c>
      <c r="CL42" s="249">
        <f t="shared" si="13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5.7200000000000001E-2</v>
      </c>
      <c r="CS42" s="254">
        <v>3.0899999999999998E-4</v>
      </c>
      <c r="CT42" s="253">
        <v>185.3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38"/>
        <v>3.4799999999999998E-2</v>
      </c>
      <c r="DB42" s="255" t="s">
        <v>320</v>
      </c>
      <c r="DD42" s="170" t="s">
        <v>460</v>
      </c>
      <c r="DE42" s="289" t="s">
        <v>434</v>
      </c>
      <c r="DF42" s="289" t="s">
        <v>321</v>
      </c>
      <c r="DG42" s="170">
        <f>AP46</f>
        <v>6.9337851434089756E-2</v>
      </c>
      <c r="DH42" s="170" t="s">
        <v>320</v>
      </c>
    </row>
    <row r="43" spans="1:112" ht="15" customHeight="1" thickTop="1" thickBot="1" x14ac:dyDescent="0.3">
      <c r="A43" s="81" t="s">
        <v>281</v>
      </c>
      <c r="C43" s="81">
        <f>B7/B6</f>
        <v>0.45915201654601867</v>
      </c>
      <c r="D43" s="81" t="s">
        <v>282</v>
      </c>
      <c r="L43" s="81"/>
      <c r="M43" s="81"/>
      <c r="N43" s="81"/>
      <c r="Q43" s="81"/>
      <c r="R43" s="81"/>
      <c r="X43" s="182"/>
      <c r="Y43" s="183" t="s">
        <v>129</v>
      </c>
      <c r="Z43" s="183">
        <v>0.08</v>
      </c>
      <c r="AA43" s="183">
        <v>0.6</v>
      </c>
      <c r="AB43" s="183">
        <v>1100</v>
      </c>
      <c r="AC43" s="183">
        <v>860</v>
      </c>
      <c r="AD43" s="233">
        <f>Z43/AA43</f>
        <v>0.13333333333333333</v>
      </c>
      <c r="AE43" s="184">
        <f>Z43*AB43*AC43</f>
        <v>75680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0.19364727621216821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39">AP43</f>
        <v>0.19364727621216821</v>
      </c>
      <c r="BA43" s="168" t="s">
        <v>320</v>
      </c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s="81" t="s">
        <v>360</v>
      </c>
      <c r="CK43" s="251">
        <f t="shared" si="0"/>
        <v>24347742</v>
      </c>
      <c r="CL43" s="251">
        <f t="shared" si="13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0.11799999999999999</v>
      </c>
      <c r="CS43" s="254">
        <v>5.5400000000000002E-4</v>
      </c>
      <c r="CT43" s="253">
        <v>212.87</v>
      </c>
      <c r="CU43" s="253" t="s">
        <v>387</v>
      </c>
      <c r="CV43" s="254">
        <v>2E-16</v>
      </c>
      <c r="CW43" s="81" t="s">
        <v>388</v>
      </c>
      <c r="CZ43" s="256"/>
      <c r="DF43" s="289"/>
    </row>
    <row r="44" spans="1:112" ht="15" customHeight="1" thickTop="1" thickBot="1" x14ac:dyDescent="0.3">
      <c r="A44" s="81" t="s">
        <v>285</v>
      </c>
      <c r="C44" s="81">
        <v>0.7</v>
      </c>
      <c r="E44" s="79"/>
      <c r="L44" s="81"/>
      <c r="M44" s="81"/>
      <c r="N44" s="81"/>
      <c r="Q44" s="81"/>
      <c r="R44" s="81"/>
      <c r="X44" s="182"/>
      <c r="Y44" s="183" t="s">
        <v>283</v>
      </c>
      <c r="Z44" s="183">
        <v>0</v>
      </c>
      <c r="AA44" s="183">
        <v>3.5999999999999997E-2</v>
      </c>
      <c r="AB44" s="183">
        <v>30</v>
      </c>
      <c r="AC44" s="183">
        <v>1470</v>
      </c>
      <c r="AD44" s="233">
        <f>Z44/AA44</f>
        <v>0</v>
      </c>
      <c r="AE44" s="184">
        <f>Z44*AB44*AC44</f>
        <v>0</v>
      </c>
      <c r="AF44" s="149" t="s">
        <v>284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24347742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39"/>
        <v>24347742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s="81" t="s">
        <v>362</v>
      </c>
      <c r="CK44" s="251">
        <f t="shared" si="0"/>
        <v>24347742</v>
      </c>
      <c r="CL44" s="251">
        <f t="shared" si="13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0.71699999999999997</v>
      </c>
      <c r="CS44" s="254">
        <v>1.3600000000000001E-3</v>
      </c>
      <c r="CT44" s="253">
        <v>528.04999999999995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0.16900000000000001</v>
      </c>
      <c r="DB44" s="255" t="s">
        <v>320</v>
      </c>
      <c r="DD44" s="170" t="s">
        <v>460</v>
      </c>
      <c r="DE44" s="294" t="s">
        <v>482</v>
      </c>
      <c r="DF44" s="289" t="s">
        <v>321</v>
      </c>
      <c r="DG44" s="170">
        <f>O$11*$Z$37*$AP$26</f>
        <v>0.58158240962275898</v>
      </c>
      <c r="DH44" s="170" t="s">
        <v>320</v>
      </c>
    </row>
    <row r="45" spans="1:112" ht="15" customHeight="1" thickTop="1" thickBot="1" x14ac:dyDescent="0.3">
      <c r="A45" s="81" t="s">
        <v>286</v>
      </c>
      <c r="C45" s="81">
        <v>0.5</v>
      </c>
      <c r="E45" s="79"/>
      <c r="L45" s="81"/>
      <c r="M45" s="81"/>
      <c r="N45" s="81"/>
      <c r="Q45" s="81"/>
      <c r="R45" s="81"/>
      <c r="X45" s="182"/>
      <c r="Y45" s="183" t="s">
        <v>131</v>
      </c>
      <c r="Z45" s="183">
        <v>0.15</v>
      </c>
      <c r="AA45" s="183">
        <v>1.4</v>
      </c>
      <c r="AB45" s="183">
        <v>2100</v>
      </c>
      <c r="AC45" s="183">
        <v>840</v>
      </c>
      <c r="AD45" s="233">
        <f>Z45/AA45</f>
        <v>0.10714285714285715</v>
      </c>
      <c r="AE45" s="184">
        <f>Z45*AB45*AC45</f>
        <v>264600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24347742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39"/>
        <v>24347742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s="81" t="s">
        <v>364</v>
      </c>
      <c r="CK45" s="249">
        <f t="shared" si="0"/>
        <v>6.9337851434089756E-2</v>
      </c>
      <c r="CL45" s="249">
        <f t="shared" si="13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8.1600000000000006E-2</v>
      </c>
      <c r="CS45" s="254">
        <v>3.2899999999999997E-4</v>
      </c>
      <c r="CT45" s="253">
        <v>247.9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0">CR70</f>
        <v>0.85799999999999998</v>
      </c>
      <c r="DB45" s="255" t="s">
        <v>320</v>
      </c>
      <c r="DD45" s="170" t="s">
        <v>460</v>
      </c>
      <c r="DE45" s="294" t="s">
        <v>483</v>
      </c>
      <c r="DF45" s="289" t="s">
        <v>321</v>
      </c>
      <c r="DG45" s="170">
        <f>O$10*$Z$37*$AP$26</f>
        <v>0.58954929194635841</v>
      </c>
      <c r="DH45" s="170" t="s">
        <v>320</v>
      </c>
    </row>
    <row r="46" spans="1:112" ht="15" customHeight="1" thickTop="1" thickBot="1" x14ac:dyDescent="0.3">
      <c r="L46" s="81"/>
      <c r="M46" s="81"/>
      <c r="N46" s="81"/>
      <c r="Q46" s="81"/>
      <c r="R46" s="81"/>
      <c r="X46" s="199"/>
      <c r="Y46" s="181" t="s">
        <v>132</v>
      </c>
      <c r="Z46" s="181">
        <v>0</v>
      </c>
      <c r="AA46" s="181">
        <v>0.02</v>
      </c>
      <c r="AB46" s="181">
        <v>30</v>
      </c>
      <c r="AC46" s="181">
        <v>1470</v>
      </c>
      <c r="AD46" s="234">
        <f>Z46/AA46</f>
        <v>0</v>
      </c>
      <c r="AE46" s="204">
        <f>Z46*AB46*AC46</f>
        <v>0</v>
      </c>
      <c r="AF46" s="14"/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AP42*0.3</f>
        <v>6.9337851434089756E-2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39"/>
        <v>6.9337851434089756E-2</v>
      </c>
      <c r="BA46" s="168" t="s">
        <v>320</v>
      </c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s="81" t="s">
        <v>366</v>
      </c>
      <c r="CK46" s="249">
        <f t="shared" si="0"/>
        <v>5.8094182863650458E-2</v>
      </c>
      <c r="CL46" s="249">
        <f t="shared" si="13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3.4799999999999998E-2</v>
      </c>
      <c r="CS46" s="254">
        <v>3.8299999999999999E-4</v>
      </c>
      <c r="CT46" s="253">
        <v>90.99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0"/>
        <v>0.56200000000000006</v>
      </c>
      <c r="DB46" s="255" t="s">
        <v>320</v>
      </c>
      <c r="DD46" s="170" t="s">
        <v>460</v>
      </c>
      <c r="DE46" s="294" t="s">
        <v>484</v>
      </c>
      <c r="DF46" s="289" t="s">
        <v>321</v>
      </c>
      <c r="DG46" s="170">
        <f>O$12*$Z$37*$AP$26</f>
        <v>0.66921811518235275</v>
      </c>
      <c r="DH46" s="170" t="s">
        <v>320</v>
      </c>
    </row>
    <row r="47" spans="1:112" ht="15" customHeight="1" thickTop="1" thickBot="1" x14ac:dyDescent="0.3">
      <c r="B47" s="153"/>
      <c r="L47" s="81"/>
      <c r="M47" s="81"/>
      <c r="N47" s="81"/>
      <c r="Q47" s="81"/>
      <c r="R47" s="81"/>
      <c r="X47" s="183"/>
      <c r="Y47" s="183"/>
      <c r="Z47" s="183"/>
      <c r="AA47" s="183"/>
      <c r="AB47" s="183"/>
      <c r="AC47" s="183"/>
      <c r="AD47" s="233"/>
      <c r="AE47" s="183"/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AP43*0.3</f>
        <v>5.8094182863650458E-2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39"/>
        <v>5.8094182863650458E-2</v>
      </c>
      <c r="BA47" s="168" t="s">
        <v>320</v>
      </c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s="81" t="s">
        <v>368</v>
      </c>
      <c r="CK47" s="252">
        <f t="shared" si="0"/>
        <v>438.58901830282855</v>
      </c>
      <c r="CL47" s="252">
        <f t="shared" si="13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158</v>
      </c>
      <c r="CS47" s="254">
        <v>0.60299999999999998</v>
      </c>
      <c r="CT47" s="253">
        <v>261.35000000000002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0"/>
        <v>0.28899999999999998</v>
      </c>
      <c r="DB47" s="255" t="s">
        <v>320</v>
      </c>
      <c r="DD47" s="170" t="s">
        <v>460</v>
      </c>
      <c r="DE47" s="294" t="s">
        <v>485</v>
      </c>
      <c r="DF47" s="289" t="s">
        <v>321</v>
      </c>
      <c r="DG47" s="170">
        <f>O$13*$Z$37*$AP$26</f>
        <v>0.59751617426995784</v>
      </c>
      <c r="DH47" s="170" t="s">
        <v>320</v>
      </c>
    </row>
    <row r="48" spans="1:112" ht="15" customHeight="1" thickTop="1" thickBot="1" x14ac:dyDescent="0.3">
      <c r="B48" s="153"/>
      <c r="L48" s="81"/>
      <c r="M48" s="81"/>
      <c r="N48" s="81"/>
      <c r="Q48" s="81"/>
      <c r="R48" s="81"/>
      <c r="X48" s="223"/>
      <c r="Y48" s="223"/>
      <c r="Z48" s="239" t="s">
        <v>436</v>
      </c>
      <c r="AA48" s="239">
        <v>4</v>
      </c>
      <c r="AB48" s="239" t="s">
        <v>5</v>
      </c>
      <c r="AC48" s="223"/>
      <c r="AD48" s="223"/>
      <c r="AE48" s="223"/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AA27*4*O26</f>
        <v>438.58901830282855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39"/>
        <v>438.58901830282855</v>
      </c>
      <c r="BA48" s="168" t="s">
        <v>320</v>
      </c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s="81" t="s">
        <v>370</v>
      </c>
      <c r="CK48" s="252">
        <f t="shared" si="0"/>
        <v>219.29450915141427</v>
      </c>
      <c r="CL48" s="252">
        <f t="shared" si="13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144</v>
      </c>
      <c r="CS48" s="254">
        <v>0.72099999999999997</v>
      </c>
      <c r="CT48" s="253">
        <v>200.46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0"/>
        <v>0.58799999999999997</v>
      </c>
      <c r="DB48" s="255" t="s">
        <v>320</v>
      </c>
      <c r="DD48" s="170" t="s">
        <v>460</v>
      </c>
      <c r="DE48" s="294" t="s">
        <v>486</v>
      </c>
      <c r="DF48" s="289" t="s">
        <v>321</v>
      </c>
      <c r="DG48" s="170">
        <f>O$11*$Z$37*$AP$27</f>
        <v>0.75312401398333306</v>
      </c>
      <c r="DH48" s="170" t="s">
        <v>320</v>
      </c>
    </row>
    <row r="49" spans="2:112" ht="15" customHeight="1" thickTop="1" thickBot="1" x14ac:dyDescent="0.3">
      <c r="B49" s="153"/>
      <c r="L49" s="81"/>
      <c r="M49" s="81"/>
      <c r="N49" s="81"/>
      <c r="Q49" s="81"/>
      <c r="R49" s="81"/>
      <c r="X49" s="240" t="s">
        <v>68</v>
      </c>
      <c r="Y49" s="241"/>
      <c r="Z49" s="242" t="s">
        <v>21</v>
      </c>
      <c r="AA49" s="243">
        <v>4</v>
      </c>
      <c r="AB49" s="241" t="s">
        <v>5</v>
      </c>
      <c r="AC49" s="241"/>
      <c r="AD49" s="241" t="s">
        <v>22</v>
      </c>
      <c r="AE49" s="244">
        <f>0.04*550*1660</f>
        <v>36520</v>
      </c>
      <c r="AF49" s="14" t="s">
        <v>23</v>
      </c>
      <c r="AG49" s="14">
        <f>SUM(AE51:AE52)</f>
        <v>171780</v>
      </c>
      <c r="AH49" s="14"/>
      <c r="AM49" s="159" t="s">
        <v>317</v>
      </c>
      <c r="AN49" s="81" t="s">
        <v>318</v>
      </c>
      <c r="AO49" s="81" t="s">
        <v>370</v>
      </c>
      <c r="AP49" s="81">
        <f>AP50/2</f>
        <v>219.29450915141427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39"/>
        <v>219.29450915141427</v>
      </c>
      <c r="BA49" s="168" t="s">
        <v>320</v>
      </c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1">BU95</f>
        <v>3.7399999999999998E-4</v>
      </c>
      <c r="CF49" s="174" t="s">
        <v>320</v>
      </c>
      <c r="CJ49" s="81" t="s">
        <v>372</v>
      </c>
      <c r="CK49" s="252">
        <f t="shared" si="0"/>
        <v>438.58901830282855</v>
      </c>
      <c r="CL49" s="252">
        <f t="shared" si="13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272</v>
      </c>
      <c r="CS49" s="254">
        <v>1.42</v>
      </c>
      <c r="CT49" s="253">
        <v>192.17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0"/>
        <v>3.84E-8</v>
      </c>
      <c r="DB49" s="255" t="s">
        <v>320</v>
      </c>
      <c r="DD49" s="170" t="s">
        <v>460</v>
      </c>
      <c r="DE49" s="294" t="s">
        <v>487</v>
      </c>
      <c r="DF49" s="289" t="s">
        <v>321</v>
      </c>
      <c r="DG49" s="170">
        <f>O$10*$Z$37*$AP$27</f>
        <v>0.76344078129817328</v>
      </c>
      <c r="DH49" s="170" t="s">
        <v>320</v>
      </c>
    </row>
    <row r="50" spans="2:112" ht="15" customHeight="1" thickTop="1" thickBot="1" x14ac:dyDescent="0.3">
      <c r="L50" s="81"/>
      <c r="M50" s="81"/>
      <c r="N50" s="81"/>
      <c r="Q50" s="81"/>
      <c r="R50" s="81"/>
      <c r="X50" s="245"/>
      <c r="Y50" s="246" t="s">
        <v>16</v>
      </c>
      <c r="Z50" s="246">
        <v>4</v>
      </c>
      <c r="AA50" s="246" t="s">
        <v>5</v>
      </c>
      <c r="AB50" s="246"/>
      <c r="AC50" s="246" t="s">
        <v>311</v>
      </c>
      <c r="AD50" s="246">
        <f>0.11*(1/AA49-1/23-1/8)</f>
        <v>8.9673913043478264E-3</v>
      </c>
      <c r="AE50" s="247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438.58901830282855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39"/>
        <v>438.58901830282855</v>
      </c>
      <c r="BA50" s="168" t="s">
        <v>320</v>
      </c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1"/>
        <v>308</v>
      </c>
      <c r="CF50" s="174" t="s">
        <v>320</v>
      </c>
      <c r="CP50" s="253" t="s">
        <v>429</v>
      </c>
      <c r="CQ50" s="253" t="s">
        <v>120</v>
      </c>
      <c r="CR50" s="254">
        <v>74.8</v>
      </c>
      <c r="CS50" s="254">
        <v>0.21299999999999999</v>
      </c>
      <c r="CT50" s="253">
        <v>350.85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0"/>
        <v>0.53500000000000003</v>
      </c>
      <c r="DB50" s="255" t="s">
        <v>320</v>
      </c>
      <c r="DD50" s="170" t="s">
        <v>460</v>
      </c>
      <c r="DE50" s="294" t="s">
        <v>488</v>
      </c>
      <c r="DF50" s="289" t="s">
        <v>321</v>
      </c>
      <c r="DG50" s="170">
        <f>O$12*$Z$37*$AP$27</f>
        <v>0.86660845444657508</v>
      </c>
      <c r="DH50" s="170" t="s">
        <v>320</v>
      </c>
    </row>
    <row r="51" spans="2:112" ht="15" customHeight="1" thickTop="1" thickBot="1" x14ac:dyDescent="0.3">
      <c r="L51" s="81"/>
      <c r="M51" s="81"/>
      <c r="N51" s="81"/>
      <c r="Q51" s="81"/>
      <c r="R51" s="81"/>
      <c r="X51" s="193"/>
      <c r="Y51" s="193"/>
      <c r="Z51" s="193"/>
      <c r="AA51" s="193"/>
      <c r="AB51" s="193"/>
      <c r="AC51" s="193"/>
      <c r="AD51" s="193"/>
      <c r="AE51" s="193"/>
      <c r="AF51" s="14"/>
      <c r="AG51" s="14"/>
      <c r="AH51" s="14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-6.4</v>
      </c>
      <c r="CS51" s="254">
        <v>1.8599999999999998E-2</v>
      </c>
      <c r="CT51" s="253">
        <v>-344.63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0"/>
        <v>0.41699999999999998</v>
      </c>
      <c r="DB51" s="255" t="s">
        <v>320</v>
      </c>
      <c r="DD51" s="170" t="s">
        <v>460</v>
      </c>
      <c r="DE51" s="294" t="s">
        <v>489</v>
      </c>
      <c r="DF51" s="289" t="s">
        <v>321</v>
      </c>
      <c r="DG51" s="170">
        <f>O$13*$Z$37*$AP$27</f>
        <v>0.77375754861301338</v>
      </c>
      <c r="DH51" s="170" t="s">
        <v>320</v>
      </c>
    </row>
    <row r="52" spans="2:112" thickTop="1" thickBot="1" x14ac:dyDescent="0.3">
      <c r="X52" s="271" t="s">
        <v>510</v>
      </c>
      <c r="Y52" s="272"/>
      <c r="Z52" s="273" t="s">
        <v>21</v>
      </c>
      <c r="AA52" s="274">
        <f>(1/(1/4+SUM(AD54:AD56)+1/4))</f>
        <v>1.5517241379310345</v>
      </c>
      <c r="AB52" s="272" t="s">
        <v>5</v>
      </c>
      <c r="AC52" s="272"/>
      <c r="AD52" s="272" t="s">
        <v>22</v>
      </c>
      <c r="AE52" s="275">
        <f>SUM(AE54:AE58)</f>
        <v>171780</v>
      </c>
      <c r="AF52" s="14" t="s">
        <v>23</v>
      </c>
      <c r="AG52" s="14">
        <f>SUM(AE54:AE55)</f>
        <v>171780</v>
      </c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-6.57</v>
      </c>
      <c r="CS52" s="254">
        <v>1.44E-2</v>
      </c>
      <c r="CT52" s="253">
        <v>-458.11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0"/>
        <v>3.4100000000000002E-5</v>
      </c>
      <c r="DB52" s="255" t="s">
        <v>320</v>
      </c>
      <c r="DD52" s="170" t="s">
        <v>460</v>
      </c>
      <c r="DE52" s="294" t="s">
        <v>490</v>
      </c>
      <c r="DF52" s="289" t="s">
        <v>321</v>
      </c>
      <c r="DG52" s="170">
        <f>O$11*$Z$37*$AP$28</f>
        <v>4.8591674051933181E-2</v>
      </c>
      <c r="DH52" s="170" t="s">
        <v>320</v>
      </c>
    </row>
    <row r="53" spans="2:112" thickTop="1" thickBot="1" x14ac:dyDescent="0.3">
      <c r="X53" s="276"/>
      <c r="Y53" s="231" t="s">
        <v>27</v>
      </c>
      <c r="Z53" s="231" t="s">
        <v>28</v>
      </c>
      <c r="AA53" s="231" t="s">
        <v>29</v>
      </c>
      <c r="AB53" s="231" t="s">
        <v>30</v>
      </c>
      <c r="AC53" s="231" t="s">
        <v>31</v>
      </c>
      <c r="AD53" s="231" t="s">
        <v>32</v>
      </c>
      <c r="AE53" s="277" t="s">
        <v>33</v>
      </c>
      <c r="AF53" s="24"/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-6.45</v>
      </c>
      <c r="CS53" s="254">
        <v>1.7399999999999999E-2</v>
      </c>
      <c r="CT53" s="253">
        <v>-370.24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0"/>
        <v>1.2100000000000001E-6</v>
      </c>
      <c r="DB53" s="255" t="s">
        <v>320</v>
      </c>
      <c r="DD53" s="170" t="s">
        <v>460</v>
      </c>
      <c r="DE53" s="294" t="s">
        <v>491</v>
      </c>
      <c r="DF53" s="289" t="s">
        <v>321</v>
      </c>
      <c r="DG53" s="170">
        <f>O$10*$Z$37*$AP$28</f>
        <v>4.9257313422507609E-2</v>
      </c>
      <c r="DH53" s="170" t="s">
        <v>320</v>
      </c>
    </row>
    <row r="54" spans="2:112" thickTop="1" thickBot="1" x14ac:dyDescent="0.3">
      <c r="X54" s="278"/>
      <c r="Y54" s="183" t="s">
        <v>90</v>
      </c>
      <c r="Z54" s="183">
        <v>0.02</v>
      </c>
      <c r="AA54" s="183">
        <v>0.6</v>
      </c>
      <c r="AB54" s="183">
        <v>975</v>
      </c>
      <c r="AC54" s="183">
        <v>840</v>
      </c>
      <c r="AD54" s="233">
        <f>Z54/AA54</f>
        <v>3.3333333333333333E-2</v>
      </c>
      <c r="AE54" s="279">
        <f>Z54*AB54*AC54</f>
        <v>16380</v>
      </c>
      <c r="AO54" s="170" t="s">
        <v>374</v>
      </c>
      <c r="AP54" s="170">
        <f>SUM(AP42,AP4:AP7)</f>
        <v>1</v>
      </c>
      <c r="AQ54" s="170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-6.2</v>
      </c>
      <c r="CS54" s="254">
        <v>1.46E-2</v>
      </c>
      <c r="CT54" s="253">
        <v>-423.49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0"/>
        <v>2.24E-2</v>
      </c>
      <c r="DB54" s="255" t="s">
        <v>320</v>
      </c>
      <c r="DD54" s="170" t="s">
        <v>460</v>
      </c>
      <c r="DE54" s="294" t="s">
        <v>492</v>
      </c>
      <c r="DF54" s="289" t="s">
        <v>321</v>
      </c>
      <c r="DG54" s="170">
        <f>O$12*$Z$37*$AP$28</f>
        <v>5.5913707128251881E-2</v>
      </c>
      <c r="DH54" s="170" t="s">
        <v>320</v>
      </c>
    </row>
    <row r="55" spans="2:112" thickTop="1" thickBot="1" x14ac:dyDescent="0.3">
      <c r="X55" s="278"/>
      <c r="Y55" s="183" t="s">
        <v>376</v>
      </c>
      <c r="Z55" s="183">
        <v>0.1</v>
      </c>
      <c r="AA55" s="183">
        <v>0.9</v>
      </c>
      <c r="AB55" s="183">
        <v>1850</v>
      </c>
      <c r="AC55" s="183">
        <v>840</v>
      </c>
      <c r="AD55" s="233">
        <f>Z55/AA55</f>
        <v>0.11111111111111112</v>
      </c>
      <c r="AE55" s="279">
        <f>Z55*AB55*AC55</f>
        <v>155400</v>
      </c>
      <c r="AO55" s="170" t="s">
        <v>374</v>
      </c>
      <c r="AP55" s="170">
        <f>SUM(AP43,AP26:AP28)</f>
        <v>1</v>
      </c>
      <c r="AQ55" s="170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CP55" s="253" t="s">
        <v>429</v>
      </c>
      <c r="CQ55" s="253" t="s">
        <v>415</v>
      </c>
      <c r="CR55" s="254">
        <v>-6.24</v>
      </c>
      <c r="CS55" s="254">
        <v>1.55E-2</v>
      </c>
      <c r="CT55" s="253">
        <v>-402.36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0"/>
        <v>0.22700000000000001</v>
      </c>
      <c r="DB55" s="255" t="s">
        <v>320</v>
      </c>
      <c r="DD55" s="170" t="s">
        <v>460</v>
      </c>
      <c r="DE55" s="294" t="s">
        <v>493</v>
      </c>
      <c r="DF55" s="289" t="s">
        <v>321</v>
      </c>
      <c r="DG55" s="170">
        <f>O$13*$Z$37*$AP$28</f>
        <v>4.9922952793082037E-2</v>
      </c>
      <c r="DH55" s="170" t="s">
        <v>320</v>
      </c>
    </row>
    <row r="56" spans="2:112" thickTop="1" thickBot="1" x14ac:dyDescent="0.3">
      <c r="X56" s="280"/>
      <c r="Y56" s="281" t="s">
        <v>272</v>
      </c>
      <c r="Z56" s="282">
        <v>0</v>
      </c>
      <c r="AA56" s="282">
        <v>3.5999999999999997E-2</v>
      </c>
      <c r="AB56" s="282">
        <v>26</v>
      </c>
      <c r="AC56" s="282">
        <v>1470</v>
      </c>
      <c r="AD56" s="283">
        <f>Z56/AA56</f>
        <v>0</v>
      </c>
      <c r="AE56" s="284">
        <f>Z56*AB56*AC56</f>
        <v>0</v>
      </c>
      <c r="AO56" s="170" t="s">
        <v>375</v>
      </c>
      <c r="AP56" s="170">
        <f>SUM(AP46,AP14:AP17)</f>
        <v>0.99999999999999978</v>
      </c>
      <c r="AQ56" s="170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4.3299999999999996E-3</v>
      </c>
      <c r="CS56" s="254">
        <v>3.3899999999999997E-5</v>
      </c>
      <c r="CT56" s="253">
        <v>127.48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0"/>
        <v>0.159</v>
      </c>
      <c r="DB56" s="255" t="s">
        <v>320</v>
      </c>
      <c r="DD56" s="170" t="s">
        <v>460</v>
      </c>
      <c r="DE56" s="294" t="s">
        <v>494</v>
      </c>
      <c r="DF56" s="289" t="s">
        <v>321</v>
      </c>
      <c r="DG56" s="170">
        <f>O$11*$Z$37*$AP$43</f>
        <v>0.3322019023419745</v>
      </c>
      <c r="DH56" s="170" t="s">
        <v>320</v>
      </c>
    </row>
    <row r="57" spans="2:112" thickTop="1" thickBot="1" x14ac:dyDescent="0.3">
      <c r="AO57" s="170" t="s">
        <v>375</v>
      </c>
      <c r="AP57" s="170">
        <f>SUM(AP47,AP33:AP35)</f>
        <v>0.99999999999999989</v>
      </c>
      <c r="AQ57" s="170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161</v>
      </c>
      <c r="CS57" s="254">
        <v>0.85499999999999998</v>
      </c>
      <c r="CT57" s="253">
        <v>188.58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0"/>
        <v>0.19900000000000001</v>
      </c>
      <c r="DB57" s="255" t="s">
        <v>320</v>
      </c>
      <c r="DD57" s="170" t="s">
        <v>460</v>
      </c>
      <c r="DE57" s="294" t="s">
        <v>495</v>
      </c>
      <c r="DF57" s="289" t="s">
        <v>321</v>
      </c>
      <c r="DG57" s="170">
        <f>O$10*$Z$37*$AP$43</f>
        <v>0.33675261333296047</v>
      </c>
      <c r="DH57" s="170" t="s">
        <v>320</v>
      </c>
    </row>
    <row r="58" spans="2:112" thickTop="1" thickBot="1" x14ac:dyDescent="0.3"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9960</v>
      </c>
      <c r="CS58" s="254">
        <v>170</v>
      </c>
      <c r="CT58" s="253">
        <v>58.61</v>
      </c>
      <c r="CU58" s="253" t="s">
        <v>387</v>
      </c>
      <c r="CV58" s="254">
        <v>2E-16</v>
      </c>
      <c r="CW58" s="81" t="s">
        <v>388</v>
      </c>
      <c r="CX58" s="255" t="s">
        <v>460</v>
      </c>
      <c r="CY58" s="261" t="s">
        <v>496</v>
      </c>
      <c r="CZ58" s="256" t="s">
        <v>321</v>
      </c>
      <c r="DA58" s="257">
        <f t="shared" si="40"/>
        <v>0.159</v>
      </c>
      <c r="DB58" s="255" t="s">
        <v>320</v>
      </c>
      <c r="DD58" s="170" t="s">
        <v>460</v>
      </c>
      <c r="DE58" s="294" t="s">
        <v>496</v>
      </c>
      <c r="DF58" s="289" t="s">
        <v>321</v>
      </c>
      <c r="DG58" s="170">
        <f>O$12*$Z$37*$AP$43</f>
        <v>0.38225972324282004</v>
      </c>
      <c r="DH58" s="170" t="s">
        <v>320</v>
      </c>
    </row>
    <row r="59" spans="2:112" thickTop="1" thickBot="1" x14ac:dyDescent="0.3"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CP59" s="253" t="s">
        <v>429</v>
      </c>
      <c r="CQ59" s="253" t="s">
        <v>419</v>
      </c>
      <c r="CR59" s="254">
        <v>284</v>
      </c>
      <c r="CS59" s="254">
        <v>3.95</v>
      </c>
      <c r="CT59" s="253">
        <v>72.02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0"/>
        <v>9.7100000000000006E-2</v>
      </c>
      <c r="DB59" s="255" t="s">
        <v>320</v>
      </c>
      <c r="DD59" s="170" t="s">
        <v>460</v>
      </c>
      <c r="DE59" s="294" t="s">
        <v>497</v>
      </c>
      <c r="DF59" s="289" t="s">
        <v>321</v>
      </c>
      <c r="DG59" s="170">
        <f>O$13*$Z$37*$AP$43</f>
        <v>0.34130332432394644</v>
      </c>
      <c r="DH59" s="170" t="s">
        <v>320</v>
      </c>
    </row>
    <row r="60" spans="2:112" thickTop="1" thickBot="1" x14ac:dyDescent="0.3"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4"/>
      <c r="DF60" s="289"/>
    </row>
    <row r="61" spans="2:112" thickTop="1" thickBot="1" x14ac:dyDescent="0.3"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1760000</v>
      </c>
      <c r="DB61" s="255" t="s">
        <v>320</v>
      </c>
      <c r="DD61" s="170" t="s">
        <v>460</v>
      </c>
      <c r="DE61" s="294" t="s">
        <v>342</v>
      </c>
      <c r="DF61" s="289" t="s">
        <v>321</v>
      </c>
      <c r="DG61" s="293">
        <f>AP30</f>
        <v>1162464.1599999999</v>
      </c>
      <c r="DH61" s="170" t="s">
        <v>320</v>
      </c>
    </row>
    <row r="62" spans="2:112" thickTop="1" thickBot="1" x14ac:dyDescent="0.3"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CP62" s="253" t="s">
        <v>429</v>
      </c>
      <c r="CQ62" s="253" t="s">
        <v>420</v>
      </c>
      <c r="CR62" s="253" t="s">
        <v>458</v>
      </c>
      <c r="CX62" s="255" t="s">
        <v>460</v>
      </c>
      <c r="CY62" s="261" t="s">
        <v>343</v>
      </c>
      <c r="CZ62" s="256" t="s">
        <v>321</v>
      </c>
      <c r="DA62" s="257">
        <f t="shared" ref="DA62:DA63" si="42">CR87</f>
        <v>16300000</v>
      </c>
      <c r="DB62" s="255" t="s">
        <v>320</v>
      </c>
      <c r="DD62" s="170" t="s">
        <v>460</v>
      </c>
      <c r="DE62" s="294" t="s">
        <v>343</v>
      </c>
      <c r="DF62" s="289" t="s">
        <v>321</v>
      </c>
      <c r="DG62" s="293">
        <f>AP31</f>
        <v>16454272.026887279</v>
      </c>
      <c r="DH62" s="170" t="s">
        <v>320</v>
      </c>
    </row>
    <row r="63" spans="2:112" thickTop="1" thickBot="1" x14ac:dyDescent="0.3"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CP63" s="253" t="s">
        <v>429</v>
      </c>
      <c r="CQ63" s="253" t="s">
        <v>379</v>
      </c>
      <c r="CX63" s="255" t="s">
        <v>460</v>
      </c>
      <c r="CY63" s="261" t="s">
        <v>344</v>
      </c>
      <c r="CZ63" s="256" t="s">
        <v>321</v>
      </c>
      <c r="DA63" s="257">
        <f t="shared" si="42"/>
        <v>18200000</v>
      </c>
      <c r="DB63" s="255" t="s">
        <v>320</v>
      </c>
      <c r="DD63" s="170" t="s">
        <v>460</v>
      </c>
      <c r="DE63" s="294" t="s">
        <v>344</v>
      </c>
      <c r="DF63" s="289" t="s">
        <v>321</v>
      </c>
      <c r="DG63" s="293">
        <f>AP32</f>
        <v>30717865.871545888</v>
      </c>
      <c r="DH63" s="170" t="s">
        <v>320</v>
      </c>
    </row>
    <row r="64" spans="2:112" thickTop="1" thickBot="1" x14ac:dyDescent="0.3"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Z64" s="256"/>
      <c r="DF64" s="289"/>
    </row>
    <row r="65" spans="55:112" thickTop="1" thickBot="1" x14ac:dyDescent="0.3"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292</v>
      </c>
      <c r="CS65" s="254">
        <v>2.8199999999999999E-2</v>
      </c>
      <c r="CT65" s="253">
        <v>10340.629999999999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0.113</v>
      </c>
      <c r="DB65" s="255" t="s">
        <v>320</v>
      </c>
      <c r="DD65" s="170" t="s">
        <v>460</v>
      </c>
      <c r="DE65" s="294" t="s">
        <v>345</v>
      </c>
      <c r="DF65" s="289" t="s">
        <v>321</v>
      </c>
      <c r="DG65" s="170">
        <f>AP33</f>
        <v>0.10170488072680134</v>
      </c>
      <c r="DH65" s="170" t="s">
        <v>320</v>
      </c>
    </row>
    <row r="66" spans="55:112" thickTop="1" thickBot="1" x14ac:dyDescent="0.3"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288</v>
      </c>
      <c r="CS66" s="254">
        <v>4.7E-2</v>
      </c>
      <c r="CT66" s="253">
        <v>6126.88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43">CR94</f>
        <v>0.13500000000000001</v>
      </c>
      <c r="DB66" s="255" t="s">
        <v>320</v>
      </c>
      <c r="DD66" s="170" t="s">
        <v>460</v>
      </c>
      <c r="DE66" s="294" t="s">
        <v>346</v>
      </c>
      <c r="DF66" s="289" t="s">
        <v>321</v>
      </c>
      <c r="DG66" s="170">
        <f>AP34</f>
        <v>0.13170341252987464</v>
      </c>
      <c r="DH66" s="170" t="s">
        <v>320</v>
      </c>
    </row>
    <row r="67" spans="55:112" thickTop="1" thickBot="1" x14ac:dyDescent="0.3"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291</v>
      </c>
      <c r="CS67" s="254">
        <v>3.1399999999999997E-2</v>
      </c>
      <c r="CT67" s="253">
        <v>9288.75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43"/>
        <v>0.69199999999999995</v>
      </c>
      <c r="DB67" s="255" t="s">
        <v>320</v>
      </c>
      <c r="DD67" s="170" t="s">
        <v>460</v>
      </c>
      <c r="DE67" s="294" t="s">
        <v>348</v>
      </c>
      <c r="DF67" s="289" t="s">
        <v>321</v>
      </c>
      <c r="DG67" s="170">
        <f>AP35</f>
        <v>0.70849752387967346</v>
      </c>
      <c r="DH67" s="170" t="s">
        <v>320</v>
      </c>
    </row>
    <row r="68" spans="55:112" thickTop="1" thickBot="1" x14ac:dyDescent="0.3"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CP68" s="253" t="s">
        <v>429</v>
      </c>
      <c r="CQ68" s="253" t="s">
        <v>391</v>
      </c>
      <c r="CR68" s="254">
        <v>296</v>
      </c>
      <c r="CS68" s="254">
        <v>8.0699999999999994E-2</v>
      </c>
      <c r="CT68" s="253">
        <v>3671.88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43"/>
        <v>4.6800000000000001E-2</v>
      </c>
      <c r="DB68" s="255" t="s">
        <v>320</v>
      </c>
      <c r="DD68" s="170" t="s">
        <v>460</v>
      </c>
      <c r="DE68" s="294" t="s">
        <v>435</v>
      </c>
      <c r="DF68" s="289" t="s">
        <v>321</v>
      </c>
      <c r="DG68" s="170">
        <f>AP47</f>
        <v>5.8094182863650458E-2</v>
      </c>
      <c r="DH68" s="170" t="s">
        <v>320</v>
      </c>
    </row>
    <row r="69" spans="55:112" thickTop="1" thickBot="1" x14ac:dyDescent="0.3"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0.16900000000000001</v>
      </c>
      <c r="CS69" s="254">
        <v>2.5999999999999999E-2</v>
      </c>
      <c r="CT69" s="253">
        <v>6.48</v>
      </c>
      <c r="CU69" s="254">
        <v>9.3999999999999999E-11</v>
      </c>
      <c r="CV69" s="253" t="s">
        <v>388</v>
      </c>
      <c r="CZ69" s="256"/>
      <c r="DF69" s="289"/>
    </row>
    <row r="70" spans="55:112" thickTop="1" thickBot="1" x14ac:dyDescent="0.3"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0.85799999999999998</v>
      </c>
      <c r="CS70" s="254">
        <v>5.0299999999999997E-2</v>
      </c>
      <c r="CT70" s="253">
        <v>17.059999999999999</v>
      </c>
      <c r="CU70" s="253" t="s">
        <v>387</v>
      </c>
      <c r="CV70" s="254">
        <v>2E-16</v>
      </c>
      <c r="CW70" s="81" t="s">
        <v>388</v>
      </c>
      <c r="CX70" s="255" t="s">
        <v>460</v>
      </c>
      <c r="CY70" s="261" t="s">
        <v>350</v>
      </c>
      <c r="CZ70" s="256" t="s">
        <v>321</v>
      </c>
      <c r="DA70" s="257">
        <f>CR97</f>
        <v>282</v>
      </c>
      <c r="DB70" s="255" t="s">
        <v>320</v>
      </c>
      <c r="DD70" s="170" t="s">
        <v>460</v>
      </c>
      <c r="DE70" s="294" t="s">
        <v>350</v>
      </c>
      <c r="DF70" s="289" t="s">
        <v>321</v>
      </c>
      <c r="DG70" s="170">
        <f>AP37</f>
        <v>291.6601821456062</v>
      </c>
      <c r="DH70" s="170" t="s">
        <v>320</v>
      </c>
    </row>
    <row r="71" spans="55:112" thickTop="1" thickBot="1" x14ac:dyDescent="0.3"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CP71" s="253" t="s">
        <v>429</v>
      </c>
      <c r="CQ71" s="253" t="s">
        <v>443</v>
      </c>
      <c r="CR71" s="254">
        <v>0.56200000000000006</v>
      </c>
      <c r="CS71" s="254">
        <v>1.47E-2</v>
      </c>
      <c r="CT71" s="253">
        <v>38.28</v>
      </c>
      <c r="CU71" s="254" t="s">
        <v>387</v>
      </c>
      <c r="CV71" s="254">
        <v>2E-16</v>
      </c>
      <c r="CW71" s="81" t="s">
        <v>388</v>
      </c>
      <c r="CX71" s="255" t="s">
        <v>460</v>
      </c>
      <c r="CY71" s="261" t="s">
        <v>352</v>
      </c>
      <c r="CZ71" s="256" t="s">
        <v>321</v>
      </c>
      <c r="DA71" s="257">
        <f t="shared" ref="DA71:DA72" si="44">CR98</f>
        <v>371</v>
      </c>
      <c r="DB71" s="255" t="s">
        <v>320</v>
      </c>
      <c r="DD71" s="170" t="s">
        <v>460</v>
      </c>
      <c r="DE71" s="294" t="s">
        <v>352</v>
      </c>
      <c r="DF71" s="289" t="s">
        <v>321</v>
      </c>
      <c r="DG71" s="170">
        <f>AP38</f>
        <v>296.33050690537397</v>
      </c>
      <c r="DH71" s="170" t="s">
        <v>320</v>
      </c>
    </row>
    <row r="72" spans="55:112" thickTop="1" thickBot="1" x14ac:dyDescent="0.3"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0.28899999999999998</v>
      </c>
      <c r="CS72" s="254">
        <v>1.1900000000000001E-2</v>
      </c>
      <c r="CT72" s="253">
        <v>24.21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44"/>
        <v>37.9</v>
      </c>
      <c r="DB72" s="255" t="s">
        <v>320</v>
      </c>
      <c r="DD72" s="170" t="s">
        <v>460</v>
      </c>
      <c r="DE72" s="294" t="s">
        <v>353</v>
      </c>
      <c r="DF72" s="289" t="s">
        <v>321</v>
      </c>
      <c r="DG72" s="170">
        <f>AP39</f>
        <v>49.995061545984576</v>
      </c>
      <c r="DH72" s="170" t="s">
        <v>320</v>
      </c>
    </row>
    <row r="73" spans="55:112" thickTop="1" thickBot="1" x14ac:dyDescent="0.3"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0.58799999999999997</v>
      </c>
      <c r="CS73" s="254">
        <v>2.41E-2</v>
      </c>
      <c r="CT73" s="253">
        <v>24.4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289.01734104046244</v>
      </c>
      <c r="DB73" s="255" t="s">
        <v>320</v>
      </c>
      <c r="DD73" s="170" t="s">
        <v>460</v>
      </c>
      <c r="DE73" s="294" t="s">
        <v>355</v>
      </c>
      <c r="DF73" s="289" t="s">
        <v>321</v>
      </c>
      <c r="DG73" s="170">
        <f>AP40</f>
        <v>275.69407800093649</v>
      </c>
      <c r="DH73" s="170" t="s">
        <v>320</v>
      </c>
    </row>
    <row r="74" spans="55:112" thickTop="1" thickBot="1" x14ac:dyDescent="0.3"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3.84E-8</v>
      </c>
      <c r="CS74" s="254">
        <v>1.35E-6</v>
      </c>
      <c r="CT74" s="253">
        <v>0.03</v>
      </c>
      <c r="CU74" s="253">
        <v>0.98</v>
      </c>
      <c r="CV74" s="254"/>
      <c r="CZ74" s="256"/>
      <c r="DF74" s="289"/>
    </row>
    <row r="75" spans="55:112" thickTop="1" thickBot="1" x14ac:dyDescent="0.3"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0.53500000000000003</v>
      </c>
      <c r="CS75" s="254">
        <v>1.5699999999999999E-2</v>
      </c>
      <c r="CT75" s="253">
        <v>34.090000000000003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997000000</v>
      </c>
      <c r="DB75" s="255" t="s">
        <v>320</v>
      </c>
      <c r="DD75" s="170" t="s">
        <v>460</v>
      </c>
      <c r="DE75" s="294" t="s">
        <v>425</v>
      </c>
      <c r="DF75" s="289" t="s">
        <v>321</v>
      </c>
      <c r="DG75" s="170">
        <f>AP44</f>
        <v>24347742</v>
      </c>
      <c r="DH75" s="170" t="s">
        <v>320</v>
      </c>
    </row>
    <row r="76" spans="55:112" thickTop="1" thickBot="1" x14ac:dyDescent="0.3"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0.41699999999999998</v>
      </c>
      <c r="CS76" s="254">
        <v>1.15E-2</v>
      </c>
      <c r="CT76" s="253">
        <v>36.25</v>
      </c>
      <c r="CU76" s="254" t="s">
        <v>387</v>
      </c>
      <c r="CV76" s="254">
        <v>2E-16</v>
      </c>
      <c r="CW76" s="81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988000000</v>
      </c>
      <c r="DB76" s="255" t="s">
        <v>320</v>
      </c>
      <c r="DD76" s="170" t="s">
        <v>460</v>
      </c>
      <c r="DE76" s="294" t="s">
        <v>362</v>
      </c>
      <c r="DF76" s="289" t="s">
        <v>321</v>
      </c>
      <c r="DG76" s="170">
        <f>AP45</f>
        <v>24347742</v>
      </c>
      <c r="DH76" s="170" t="s">
        <v>320</v>
      </c>
    </row>
    <row r="77" spans="55:112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3.4100000000000002E-5</v>
      </c>
      <c r="CS77" s="254">
        <v>2.7100000000000002E-3</v>
      </c>
      <c r="CT77" s="253">
        <v>0.01</v>
      </c>
      <c r="CU77" s="253">
        <v>0.99</v>
      </c>
      <c r="CX77" s="255" t="s">
        <v>460</v>
      </c>
      <c r="CY77" s="261" t="s">
        <v>368</v>
      </c>
      <c r="CZ77" s="256" t="s">
        <v>321</v>
      </c>
      <c r="DA77" s="257">
        <f>CR123</f>
        <v>159</v>
      </c>
      <c r="DB77" s="255" t="s">
        <v>320</v>
      </c>
      <c r="DD77" s="170" t="s">
        <v>460</v>
      </c>
      <c r="DE77" s="294" t="s">
        <v>368</v>
      </c>
      <c r="DF77" s="289" t="s">
        <v>321</v>
      </c>
      <c r="DG77" s="170">
        <f>AP48</f>
        <v>438.58901830282855</v>
      </c>
      <c r="DH77" s="170" t="s">
        <v>320</v>
      </c>
    </row>
    <row r="78" spans="55:112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1.2100000000000001E-6</v>
      </c>
      <c r="CS78" s="254">
        <v>8.7700000000000004E-5</v>
      </c>
      <c r="CT78" s="253">
        <v>0.01</v>
      </c>
      <c r="CU78" s="253">
        <v>0.99</v>
      </c>
      <c r="CX78" s="255" t="s">
        <v>460</v>
      </c>
      <c r="CY78" s="261" t="s">
        <v>370</v>
      </c>
      <c r="CZ78" s="256" t="s">
        <v>321</v>
      </c>
      <c r="DA78" s="257">
        <f t="shared" ref="DA78:DA79" si="45">CR124</f>
        <v>1.7600000000000001E-3</v>
      </c>
      <c r="DB78" s="255" t="s">
        <v>320</v>
      </c>
      <c r="DD78" s="170" t="s">
        <v>460</v>
      </c>
      <c r="DE78" s="294" t="s">
        <v>370</v>
      </c>
      <c r="DF78" s="289" t="s">
        <v>321</v>
      </c>
      <c r="DG78" s="170">
        <f>AP49</f>
        <v>219.29450915141427</v>
      </c>
      <c r="DH78" s="170" t="s">
        <v>320</v>
      </c>
    </row>
    <row r="79" spans="55:112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2.24E-2</v>
      </c>
      <c r="CS79" s="254">
        <v>2.1899999999999999E-2</v>
      </c>
      <c r="CT79" s="253">
        <v>1.03</v>
      </c>
      <c r="CU79" s="253">
        <v>0.31</v>
      </c>
      <c r="CX79" s="255" t="s">
        <v>460</v>
      </c>
      <c r="CY79" s="261" t="s">
        <v>372</v>
      </c>
      <c r="CZ79" s="256" t="s">
        <v>321</v>
      </c>
      <c r="DA79" s="257">
        <f t="shared" si="45"/>
        <v>66.3</v>
      </c>
      <c r="DB79" s="255" t="s">
        <v>320</v>
      </c>
      <c r="DD79" s="170" t="s">
        <v>460</v>
      </c>
      <c r="DE79" s="294" t="s">
        <v>372</v>
      </c>
      <c r="DF79" s="289" t="s">
        <v>321</v>
      </c>
      <c r="DG79" s="170">
        <f>AP50</f>
        <v>438.58901830282855</v>
      </c>
      <c r="DH79" s="170" t="s">
        <v>320</v>
      </c>
    </row>
    <row r="80" spans="55:112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0.22700000000000001</v>
      </c>
      <c r="CS80" s="254">
        <v>2.3800000000000002E-2</v>
      </c>
      <c r="CT80" s="253">
        <v>9.5399999999999991</v>
      </c>
      <c r="CU80" s="253" t="s">
        <v>387</v>
      </c>
      <c r="CV80" s="254">
        <v>2E-16</v>
      </c>
      <c r="CW80" s="81" t="s">
        <v>388</v>
      </c>
    </row>
    <row r="81" spans="55:10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CP81" s="253" t="s">
        <v>429</v>
      </c>
      <c r="CQ81" s="253" t="s">
        <v>451</v>
      </c>
      <c r="CR81" s="254">
        <v>0.159</v>
      </c>
      <c r="CS81" s="254">
        <v>1.11E-2</v>
      </c>
      <c r="CT81" s="253">
        <v>14.35</v>
      </c>
      <c r="CU81" s="253" t="s">
        <v>387</v>
      </c>
      <c r="CV81" s="254">
        <v>2E-16</v>
      </c>
      <c r="CW81" s="81" t="s">
        <v>388</v>
      </c>
    </row>
    <row r="82" spans="55:10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CP82" s="253" t="s">
        <v>429</v>
      </c>
      <c r="CQ82" s="253" t="s">
        <v>452</v>
      </c>
      <c r="CR82" s="254">
        <v>0.19900000000000001</v>
      </c>
      <c r="CS82" s="254">
        <v>2.4299999999999999E-2</v>
      </c>
      <c r="CT82" s="253">
        <v>8.19</v>
      </c>
      <c r="CU82" s="254">
        <v>2.2E-16</v>
      </c>
      <c r="CV82" s="254" t="s">
        <v>388</v>
      </c>
    </row>
    <row r="83" spans="55:10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CP83" s="253" t="s">
        <v>429</v>
      </c>
      <c r="CQ83" s="253" t="s">
        <v>453</v>
      </c>
      <c r="CR83" s="254">
        <v>0.159</v>
      </c>
      <c r="CS83" s="254">
        <v>6.2700000000000004E-3</v>
      </c>
      <c r="CT83" s="253">
        <v>25.35</v>
      </c>
      <c r="CU83" s="253" t="s">
        <v>387</v>
      </c>
      <c r="CV83" s="254">
        <v>2E-16</v>
      </c>
      <c r="CW83" s="81" t="s">
        <v>388</v>
      </c>
    </row>
    <row r="84" spans="55:10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9.7100000000000006E-2</v>
      </c>
      <c r="CS84" s="254">
        <v>4.4600000000000004E-3</v>
      </c>
      <c r="CT84" s="253">
        <v>21.75</v>
      </c>
      <c r="CU84" s="253" t="s">
        <v>387</v>
      </c>
      <c r="CV84" s="254">
        <v>2E-16</v>
      </c>
      <c r="CW84" s="81" t="s">
        <v>388</v>
      </c>
    </row>
    <row r="85" spans="55:10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991000000</v>
      </c>
      <c r="CS85" s="254">
        <v>50200000</v>
      </c>
      <c r="CT85" s="253">
        <v>19.73</v>
      </c>
      <c r="CU85" s="253" t="s">
        <v>387</v>
      </c>
      <c r="CV85" s="254">
        <v>2E-16</v>
      </c>
      <c r="CW85" s="81" t="s">
        <v>388</v>
      </c>
    </row>
    <row r="86" spans="55:10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CP86" s="253" t="s">
        <v>429</v>
      </c>
      <c r="CQ86" s="253" t="s">
        <v>398</v>
      </c>
      <c r="CR86" s="254">
        <v>1760000</v>
      </c>
      <c r="CS86" s="254">
        <v>9300</v>
      </c>
      <c r="CT86" s="253">
        <v>189.43</v>
      </c>
      <c r="CU86" s="253" t="s">
        <v>387</v>
      </c>
      <c r="CV86" s="254">
        <v>2E-16</v>
      </c>
      <c r="CW86" s="81" t="s">
        <v>388</v>
      </c>
    </row>
    <row r="87" spans="55:10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CP87" s="253" t="s">
        <v>429</v>
      </c>
      <c r="CQ87" s="253" t="s">
        <v>299</v>
      </c>
      <c r="CR87" s="254">
        <v>16300000</v>
      </c>
      <c r="CS87" s="254">
        <v>382000</v>
      </c>
      <c r="CT87" s="253">
        <v>42.61</v>
      </c>
      <c r="CU87" s="254" t="s">
        <v>387</v>
      </c>
      <c r="CV87" s="254">
        <v>2E-16</v>
      </c>
      <c r="CW87" s="81" t="s">
        <v>388</v>
      </c>
    </row>
    <row r="88" spans="55:10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CP88" s="253" t="s">
        <v>429</v>
      </c>
      <c r="CQ88" s="253" t="s">
        <v>301</v>
      </c>
      <c r="CR88" s="254">
        <v>18200000</v>
      </c>
      <c r="CS88" s="254">
        <v>404000</v>
      </c>
      <c r="CT88" s="253">
        <v>45.14</v>
      </c>
      <c r="CU88" s="253" t="s">
        <v>387</v>
      </c>
      <c r="CV88" s="254">
        <v>2E-16</v>
      </c>
      <c r="CW88" s="81" t="s">
        <v>388</v>
      </c>
    </row>
    <row r="89" spans="55:10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CP89" s="253" t="s">
        <v>429</v>
      </c>
      <c r="CQ89" s="253" t="s">
        <v>399</v>
      </c>
      <c r="CR89" s="254">
        <v>-11.5</v>
      </c>
      <c r="CS89" s="254">
        <v>0.81599999999999995</v>
      </c>
      <c r="CT89" s="253">
        <v>-14.14</v>
      </c>
      <c r="CU89" s="253" t="s">
        <v>387</v>
      </c>
      <c r="CV89" s="254">
        <v>2E-16</v>
      </c>
      <c r="CW89" s="81" t="s">
        <v>388</v>
      </c>
    </row>
    <row r="90" spans="55:10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-15.8</v>
      </c>
      <c r="CS90" s="254">
        <v>362</v>
      </c>
      <c r="CT90" s="253">
        <v>-0.04</v>
      </c>
      <c r="CU90" s="253">
        <v>0.97</v>
      </c>
      <c r="CV90" s="254"/>
    </row>
    <row r="91" spans="55:10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-15.2</v>
      </c>
      <c r="CS91" s="254">
        <v>334</v>
      </c>
      <c r="CT91" s="253">
        <v>-0.05</v>
      </c>
      <c r="CU91" s="253">
        <v>0.96</v>
      </c>
      <c r="CV91" s="254"/>
    </row>
    <row r="92" spans="55:10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-17.3</v>
      </c>
      <c r="CS92" s="254">
        <v>179</v>
      </c>
      <c r="CT92" s="253">
        <v>-0.1</v>
      </c>
      <c r="CU92" s="253">
        <v>0.92</v>
      </c>
      <c r="CV92" s="254"/>
    </row>
    <row r="93" spans="55:10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0.113</v>
      </c>
      <c r="CS93" s="254">
        <v>7.27E-4</v>
      </c>
      <c r="CT93" s="253">
        <v>155.16</v>
      </c>
      <c r="CU93" s="253" t="s">
        <v>387</v>
      </c>
      <c r="CV93" s="254">
        <v>2E-16</v>
      </c>
      <c r="CW93" s="81" t="s">
        <v>388</v>
      </c>
    </row>
    <row r="94" spans="55:10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0.13500000000000001</v>
      </c>
      <c r="CS94" s="254">
        <v>8.4900000000000004E-4</v>
      </c>
      <c r="CT94" s="253">
        <v>159.11000000000001</v>
      </c>
      <c r="CU94" s="253" t="s">
        <v>387</v>
      </c>
      <c r="CV94" s="254">
        <v>2E-16</v>
      </c>
      <c r="CW94" s="81" t="s">
        <v>388</v>
      </c>
    </row>
    <row r="95" spans="55:10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CP95" s="253" t="s">
        <v>429</v>
      </c>
      <c r="CQ95" s="253" t="s">
        <v>406</v>
      </c>
      <c r="CR95" s="254">
        <v>0.69199999999999995</v>
      </c>
      <c r="CS95" s="254">
        <v>1.8400000000000001E-3</v>
      </c>
      <c r="CT95" s="253">
        <v>376.88</v>
      </c>
      <c r="CU95" s="253" t="s">
        <v>387</v>
      </c>
      <c r="CV95" s="254">
        <v>2E-16</v>
      </c>
      <c r="CW95" s="81" t="s">
        <v>388</v>
      </c>
    </row>
    <row r="96" spans="55:10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4.6800000000000001E-2</v>
      </c>
      <c r="CS96" s="254">
        <v>2.5399999999999999E-4</v>
      </c>
      <c r="CT96" s="253">
        <v>183.94</v>
      </c>
      <c r="CU96" s="253" t="s">
        <v>387</v>
      </c>
      <c r="CV96" s="254">
        <v>2E-16</v>
      </c>
      <c r="CW96" s="81" t="s">
        <v>388</v>
      </c>
    </row>
    <row r="97" spans="94:101" thickTop="1" thickBot="1" x14ac:dyDescent="0.3">
      <c r="CP97" s="253" t="s">
        <v>429</v>
      </c>
      <c r="CQ97" s="253" t="s">
        <v>409</v>
      </c>
      <c r="CR97" s="254">
        <v>282</v>
      </c>
      <c r="CS97" s="254">
        <v>1.87</v>
      </c>
      <c r="CT97" s="253">
        <v>150.51</v>
      </c>
      <c r="CU97" s="253" t="s">
        <v>387</v>
      </c>
      <c r="CV97" s="254">
        <v>2E-16</v>
      </c>
      <c r="CW97" s="81" t="s">
        <v>388</v>
      </c>
    </row>
    <row r="98" spans="94:101" thickTop="1" thickBot="1" x14ac:dyDescent="0.3">
      <c r="CP98" s="253" t="s">
        <v>429</v>
      </c>
      <c r="CQ98" s="253" t="s">
        <v>293</v>
      </c>
      <c r="CR98" s="254">
        <v>371</v>
      </c>
      <c r="CS98" s="254">
        <v>2.08</v>
      </c>
      <c r="CT98" s="253">
        <v>177.84</v>
      </c>
      <c r="CU98" s="253" t="s">
        <v>387</v>
      </c>
      <c r="CV98" s="254">
        <v>2E-16</v>
      </c>
      <c r="CW98" s="81" t="s">
        <v>388</v>
      </c>
    </row>
    <row r="99" spans="94:101" thickTop="1" thickBot="1" x14ac:dyDescent="0.3">
      <c r="CP99" s="253" t="s">
        <v>429</v>
      </c>
      <c r="CQ99" s="253" t="s">
        <v>120</v>
      </c>
      <c r="CR99" s="254">
        <v>37.9</v>
      </c>
      <c r="CS99" s="254">
        <v>0.26400000000000001</v>
      </c>
      <c r="CT99" s="253">
        <v>143.57</v>
      </c>
      <c r="CU99" s="253" t="s">
        <v>387</v>
      </c>
      <c r="CV99" s="254">
        <v>2E-16</v>
      </c>
      <c r="CW99" s="81" t="s">
        <v>388</v>
      </c>
    </row>
    <row r="100" spans="94:101" thickTop="1" thickBot="1" x14ac:dyDescent="0.3">
      <c r="CP100" s="253" t="s">
        <v>429</v>
      </c>
      <c r="CQ100" s="253" t="s">
        <v>411</v>
      </c>
      <c r="CR100" s="254">
        <v>-6.84</v>
      </c>
      <c r="CS100" s="254">
        <v>2.06E-2</v>
      </c>
      <c r="CT100" s="253">
        <v>-331.65</v>
      </c>
      <c r="CU100" s="253" t="s">
        <v>387</v>
      </c>
      <c r="CV100" s="254">
        <v>2E-16</v>
      </c>
      <c r="CW100" s="81" t="s">
        <v>388</v>
      </c>
    </row>
    <row r="101" spans="94:101" thickTop="1" thickBot="1" x14ac:dyDescent="0.3">
      <c r="CP101" s="253" t="s">
        <v>429</v>
      </c>
      <c r="CQ101" s="253" t="s">
        <v>412</v>
      </c>
      <c r="CR101" s="254">
        <v>-6.57</v>
      </c>
      <c r="CS101" s="254">
        <v>1.5599999999999999E-2</v>
      </c>
      <c r="CT101" s="253">
        <v>-420.32</v>
      </c>
      <c r="CU101" s="253" t="s">
        <v>387</v>
      </c>
      <c r="CV101" s="254">
        <v>2E-16</v>
      </c>
      <c r="CW101" s="81" t="s">
        <v>388</v>
      </c>
    </row>
    <row r="102" spans="94:101" thickTop="1" thickBot="1" x14ac:dyDescent="0.3">
      <c r="CP102" s="253" t="s">
        <v>429</v>
      </c>
      <c r="CQ102" s="253" t="s">
        <v>413</v>
      </c>
      <c r="CR102" s="254">
        <v>-6.83</v>
      </c>
      <c r="CS102" s="254">
        <v>1.52E-2</v>
      </c>
      <c r="CT102" s="253">
        <v>-448.95</v>
      </c>
      <c r="CU102" s="253" t="s">
        <v>387</v>
      </c>
      <c r="CV102" s="254">
        <v>2E-16</v>
      </c>
      <c r="CW102" s="81" t="s">
        <v>388</v>
      </c>
    </row>
    <row r="103" spans="94:101" thickTop="1" thickBot="1" x14ac:dyDescent="0.3">
      <c r="CP103" s="253" t="s">
        <v>429</v>
      </c>
      <c r="CQ103" s="253" t="s">
        <v>414</v>
      </c>
      <c r="CR103" s="254">
        <v>-6.15</v>
      </c>
      <c r="CS103" s="254">
        <v>1.77E-2</v>
      </c>
      <c r="CT103" s="253">
        <v>-346.98</v>
      </c>
      <c r="CU103" s="253" t="s">
        <v>387</v>
      </c>
      <c r="CV103" s="254">
        <v>2E-16</v>
      </c>
      <c r="CW103" s="81" t="s">
        <v>388</v>
      </c>
    </row>
    <row r="104" spans="94:101" thickTop="1" thickBot="1" x14ac:dyDescent="0.3">
      <c r="CP104" s="253" t="s">
        <v>429</v>
      </c>
      <c r="CQ104" s="253" t="s">
        <v>416</v>
      </c>
      <c r="CR104" s="254">
        <v>3.46E-3</v>
      </c>
      <c r="CS104" s="254">
        <v>3.15E-5</v>
      </c>
      <c r="CT104" s="253">
        <v>109.76</v>
      </c>
      <c r="CU104" s="253" t="s">
        <v>387</v>
      </c>
      <c r="CV104" s="254">
        <v>2E-16</v>
      </c>
      <c r="CW104" s="81" t="s">
        <v>388</v>
      </c>
    </row>
    <row r="105" spans="94:101" thickTop="1" thickBot="1" x14ac:dyDescent="0.3">
      <c r="CP105" s="253" t="s">
        <v>429</v>
      </c>
      <c r="CQ105" s="253" t="s">
        <v>417</v>
      </c>
      <c r="CR105" s="254">
        <v>67.2</v>
      </c>
      <c r="CS105" s="254">
        <v>0.69399999999999995</v>
      </c>
      <c r="CT105" s="253">
        <v>96.9</v>
      </c>
      <c r="CU105" s="253" t="s">
        <v>387</v>
      </c>
      <c r="CV105" s="254">
        <v>2E-16</v>
      </c>
      <c r="CW105" s="81" t="s">
        <v>388</v>
      </c>
    </row>
    <row r="106" spans="94:101" thickTop="1" thickBot="1" x14ac:dyDescent="0.3">
      <c r="CP106" s="253" t="s">
        <v>429</v>
      </c>
      <c r="CQ106" s="253" t="s">
        <v>418</v>
      </c>
      <c r="CR106" s="254">
        <v>716</v>
      </c>
      <c r="CS106" s="254">
        <v>308</v>
      </c>
      <c r="CT106" s="253">
        <v>2.33</v>
      </c>
      <c r="CU106" s="253">
        <v>0.02</v>
      </c>
      <c r="CV106" s="254" t="s">
        <v>432</v>
      </c>
    </row>
    <row r="108" spans="94:101" thickTop="1" thickBot="1" x14ac:dyDescent="0.3">
      <c r="CP108" s="253" t="s">
        <v>429</v>
      </c>
      <c r="CQ108" s="253" t="s">
        <v>420</v>
      </c>
      <c r="CR108" s="253" t="s">
        <v>422</v>
      </c>
    </row>
    <row r="109" spans="94:101" thickTop="1" thickBot="1" x14ac:dyDescent="0.3">
      <c r="CP109" s="253" t="s">
        <v>429</v>
      </c>
      <c r="CQ109" s="253" t="s">
        <v>379</v>
      </c>
    </row>
    <row r="110" spans="94:10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</row>
    <row r="111" spans="94:101" thickTop="1" thickBot="1" x14ac:dyDescent="0.3">
      <c r="CP111" s="253" t="s">
        <v>429</v>
      </c>
      <c r="CQ111" s="253" t="s">
        <v>423</v>
      </c>
      <c r="CR111" s="254">
        <v>292</v>
      </c>
      <c r="CS111" s="254">
        <v>7.8799999999999995E-2</v>
      </c>
      <c r="CT111" s="253">
        <v>3709.41</v>
      </c>
      <c r="CU111" s="253" t="s">
        <v>387</v>
      </c>
      <c r="CV111" s="254">
        <v>2E-16</v>
      </c>
      <c r="CW111" s="81" t="s">
        <v>388</v>
      </c>
    </row>
    <row r="112" spans="94:101" thickTop="1" thickBot="1" x14ac:dyDescent="0.3">
      <c r="CP112" s="253" t="s">
        <v>429</v>
      </c>
      <c r="CQ112" s="253" t="s">
        <v>424</v>
      </c>
      <c r="CR112" s="254">
        <v>296</v>
      </c>
      <c r="CS112" s="254">
        <v>9.0399999999999994E-2</v>
      </c>
      <c r="CT112" s="253">
        <v>3279.17</v>
      </c>
      <c r="CU112" s="253" t="s">
        <v>387</v>
      </c>
      <c r="CV112" s="254">
        <v>2E-16</v>
      </c>
      <c r="CW112" s="81" t="s">
        <v>388</v>
      </c>
    </row>
    <row r="113" spans="94:101" thickTop="1" thickBot="1" x14ac:dyDescent="0.3">
      <c r="CP113" s="253" t="s">
        <v>429</v>
      </c>
      <c r="CQ113" s="253" t="s">
        <v>356</v>
      </c>
      <c r="CR113" s="254">
        <v>0.14799999999999999</v>
      </c>
      <c r="CS113" s="254">
        <v>6.6800000000000002E-3</v>
      </c>
      <c r="CT113" s="253">
        <v>22.22</v>
      </c>
      <c r="CU113" s="253" t="s">
        <v>387</v>
      </c>
      <c r="CV113" s="254">
        <v>2E-16</v>
      </c>
      <c r="CW113" s="81" t="s">
        <v>388</v>
      </c>
    </row>
    <row r="114" spans="94:101" thickTop="1" thickBot="1" x14ac:dyDescent="0.3">
      <c r="CP114" s="253" t="s">
        <v>429</v>
      </c>
      <c r="CQ114" s="253" t="s">
        <v>358</v>
      </c>
      <c r="CR114" s="254">
        <v>0.13300000000000001</v>
      </c>
      <c r="CS114" s="254">
        <v>2.4199999999999998E-3</v>
      </c>
      <c r="CT114" s="253">
        <v>54.98</v>
      </c>
      <c r="CU114" s="253" t="s">
        <v>387</v>
      </c>
      <c r="CV114" s="254">
        <v>2E-16</v>
      </c>
      <c r="CW114" s="81" t="s">
        <v>388</v>
      </c>
    </row>
    <row r="115" spans="94:101" thickTop="1" thickBot="1" x14ac:dyDescent="0.3">
      <c r="CP115" s="253" t="s">
        <v>429</v>
      </c>
      <c r="CQ115" s="253" t="s">
        <v>425</v>
      </c>
      <c r="CR115" s="254">
        <v>997000000</v>
      </c>
      <c r="CS115" s="254">
        <v>16500000</v>
      </c>
      <c r="CT115" s="253">
        <v>60.34</v>
      </c>
      <c r="CU115" s="254" t="s">
        <v>387</v>
      </c>
      <c r="CV115" s="254">
        <v>2E-16</v>
      </c>
      <c r="CW115" s="81" t="s">
        <v>388</v>
      </c>
    </row>
    <row r="116" spans="94:101" thickTop="1" thickBot="1" x14ac:dyDescent="0.3">
      <c r="CP116" s="253" t="s">
        <v>429</v>
      </c>
      <c r="CQ116" s="253" t="s">
        <v>362</v>
      </c>
      <c r="CR116" s="254">
        <v>988000000</v>
      </c>
      <c r="CS116" s="254">
        <v>165000000</v>
      </c>
      <c r="CT116" s="253">
        <v>5.98</v>
      </c>
      <c r="CU116" s="254">
        <v>2.4E-9</v>
      </c>
      <c r="CV116" s="253" t="s">
        <v>388</v>
      </c>
    </row>
    <row r="117" spans="94:101" thickTop="1" thickBot="1" x14ac:dyDescent="0.3">
      <c r="CP117" s="253" t="s">
        <v>429</v>
      </c>
      <c r="CQ117" s="253" t="s">
        <v>403</v>
      </c>
      <c r="CR117" s="254">
        <v>-14.5</v>
      </c>
      <c r="CS117" s="254">
        <v>120</v>
      </c>
      <c r="CT117" s="253">
        <v>-0.12</v>
      </c>
      <c r="CU117" s="253">
        <v>0.9</v>
      </c>
      <c r="CV117" s="254"/>
    </row>
    <row r="118" spans="94:101" thickTop="1" thickBot="1" x14ac:dyDescent="0.3">
      <c r="CP118" s="253" t="s">
        <v>429</v>
      </c>
      <c r="CQ118" s="253" t="s">
        <v>427</v>
      </c>
      <c r="CR118" s="254">
        <v>-21.2</v>
      </c>
      <c r="CS118" s="254">
        <v>373</v>
      </c>
      <c r="CT118" s="253">
        <v>-0.06</v>
      </c>
      <c r="CU118" s="253">
        <v>0.95</v>
      </c>
      <c r="CV118" s="254"/>
    </row>
    <row r="119" spans="94:101" thickTop="1" thickBot="1" x14ac:dyDescent="0.3">
      <c r="CP119" s="253" t="s">
        <v>429</v>
      </c>
      <c r="CQ119" s="253" t="s">
        <v>434</v>
      </c>
      <c r="CR119" s="254">
        <v>3.3000000000000002E-2</v>
      </c>
      <c r="CS119" s="254">
        <v>2.4800000000000001E-4</v>
      </c>
      <c r="CT119" s="253">
        <v>133.19999999999999</v>
      </c>
      <c r="CU119" s="253" t="s">
        <v>387</v>
      </c>
      <c r="CV119" s="254">
        <v>2E-16</v>
      </c>
      <c r="CW119" s="81" t="s">
        <v>388</v>
      </c>
    </row>
    <row r="120" spans="94:101" thickTop="1" thickBot="1" x14ac:dyDescent="0.3">
      <c r="CP120" s="253" t="s">
        <v>429</v>
      </c>
      <c r="CQ120" s="253" t="s">
        <v>435</v>
      </c>
      <c r="CR120" s="254">
        <v>4.6199999999999998E-2</v>
      </c>
      <c r="CS120" s="254">
        <v>1.5799999999999999E-4</v>
      </c>
      <c r="CT120" s="253">
        <v>292.70999999999998</v>
      </c>
      <c r="CU120" s="253" t="s">
        <v>387</v>
      </c>
      <c r="CV120" s="254">
        <v>2E-16</v>
      </c>
      <c r="CW120" s="81" t="s">
        <v>388</v>
      </c>
    </row>
    <row r="121" spans="94:101" thickTop="1" thickBot="1" x14ac:dyDescent="0.3">
      <c r="CP121" s="253" t="s">
        <v>429</v>
      </c>
      <c r="CQ121" s="253" t="s">
        <v>415</v>
      </c>
      <c r="CR121" s="254">
        <v>-5.94</v>
      </c>
      <c r="CS121" s="254">
        <v>1.7399999999999999E-2</v>
      </c>
      <c r="CT121" s="253">
        <v>-340.54</v>
      </c>
      <c r="CU121" s="253" t="s">
        <v>387</v>
      </c>
      <c r="CV121" s="254">
        <v>2E-16</v>
      </c>
      <c r="CW121" s="81" t="s">
        <v>388</v>
      </c>
    </row>
    <row r="122" spans="94:101" thickTop="1" thickBot="1" x14ac:dyDescent="0.3">
      <c r="CP122" s="253" t="s">
        <v>429</v>
      </c>
      <c r="CQ122" s="253" t="s">
        <v>428</v>
      </c>
      <c r="CR122" s="254">
        <v>-5.92</v>
      </c>
      <c r="CS122" s="254">
        <v>1.6799999999999999E-2</v>
      </c>
      <c r="CT122" s="253">
        <v>-351.86</v>
      </c>
      <c r="CU122" s="253" t="s">
        <v>387</v>
      </c>
      <c r="CV122" s="254">
        <v>2E-16</v>
      </c>
      <c r="CW122" s="81" t="s">
        <v>388</v>
      </c>
    </row>
    <row r="123" spans="94:101" thickTop="1" thickBot="1" x14ac:dyDescent="0.3">
      <c r="CP123" s="253" t="s">
        <v>429</v>
      </c>
      <c r="CQ123" s="253" t="s">
        <v>368</v>
      </c>
      <c r="CR123" s="254">
        <v>159</v>
      </c>
      <c r="CS123" s="254">
        <v>0.90300000000000002</v>
      </c>
      <c r="CT123" s="253">
        <v>175.59</v>
      </c>
      <c r="CU123" s="253" t="s">
        <v>387</v>
      </c>
      <c r="CV123" s="254">
        <v>2E-16</v>
      </c>
      <c r="CW123" s="81" t="s">
        <v>388</v>
      </c>
    </row>
    <row r="124" spans="94:101" thickTop="1" thickBot="1" x14ac:dyDescent="0.3">
      <c r="CP124" s="253" t="s">
        <v>429</v>
      </c>
      <c r="CQ124" s="253" t="s">
        <v>370</v>
      </c>
      <c r="CR124" s="254">
        <v>1.7600000000000001E-3</v>
      </c>
      <c r="CS124" s="254">
        <v>0.112</v>
      </c>
      <c r="CT124" s="253">
        <v>0.02</v>
      </c>
      <c r="CU124" s="253">
        <v>0.99</v>
      </c>
    </row>
    <row r="125" spans="94:101" thickTop="1" thickBot="1" x14ac:dyDescent="0.3">
      <c r="CP125" s="253" t="s">
        <v>429</v>
      </c>
      <c r="CQ125" s="253" t="s">
        <v>372</v>
      </c>
      <c r="CR125" s="254">
        <v>66.3</v>
      </c>
      <c r="CS125" s="254">
        <v>0.625</v>
      </c>
      <c r="CT125" s="253">
        <v>106.12</v>
      </c>
      <c r="CU125" s="253" t="s">
        <v>387</v>
      </c>
      <c r="CV125" s="254">
        <v>2E-16</v>
      </c>
      <c r="CW125" s="81" t="s">
        <v>388</v>
      </c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Ref1</vt:lpstr>
      <vt:lpstr>Tabula Ref2</vt:lpstr>
      <vt:lpstr>Tabula RefULG 1</vt:lpstr>
      <vt:lpstr>Tabula RefULG 2</vt:lpstr>
      <vt:lpstr>Verwarming Tabula 2zone</vt:lpstr>
      <vt:lpstr>Verwarming Tabula 2zone Ref1</vt:lpstr>
      <vt:lpstr>Verwarming Tabula 2zone Ref2</vt:lpstr>
      <vt:lpstr>Verwarming Tabula 2zone RefULG1</vt:lpstr>
      <vt:lpstr>Verwarming Tabula 2zone RefULG2</vt:lpstr>
      <vt:lpstr>PropertiesGB_Theoretical</vt:lpstr>
      <vt:lpstr>Sheet8</vt:lpstr>
      <vt:lpstr>Sheet9</vt:lpstr>
      <vt:lpstr>'Gebouwgegevens Allacker'!Print_Area</vt:lpstr>
      <vt:lpstr>'Gebouwgegevens Tabula'!Print_Area</vt:lpstr>
      <vt:lpstr>'Gebouwgegevens Tabula 2zone'!Print_Area</vt:lpstr>
      <vt:lpstr>'Tabula data'!Print_Area</vt:lpstr>
      <vt:lpstr>'Tabula Ref1'!Print_Area</vt:lpstr>
      <vt:lpstr>'Tabula Ref2'!Print_Area</vt:lpstr>
      <vt:lpstr>'Tabula RefULG 1'!Print_Area</vt:lpstr>
      <vt:lpstr>'Tabula RefULG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2014-08-28T09:18:51Z</dcterms:modified>
</cp:coreProperties>
</file>