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815" windowWidth="4230" windowHeight="3000" tabRatio="723" firstSheet="6" activeTab="9"/>
  </bookViews>
  <sheets>
    <sheet name="Gebouwgegevens Tabula" sheetId="1" state="hidden" r:id="rId1"/>
    <sheet name="Gebouwgegevens Allacker" sheetId="2" state="hidden" r:id="rId2"/>
    <sheet name="Tabula data" sheetId="3" r:id="rId3"/>
    <sheet name="Verwarming Allacker" sheetId="4" state="hidden" r:id="rId4"/>
    <sheet name="Verwarming Tabula" sheetId="5" state="hidden" r:id="rId5"/>
    <sheet name="Gebouwgegevens Tabula 2zone" sheetId="6" r:id="rId6"/>
    <sheet name="Tabula Ref1" sheetId="11" r:id="rId7"/>
    <sheet name="Tabula Ref2" sheetId="12" r:id="rId8"/>
    <sheet name="Tabula RefULG 1" sheetId="15" r:id="rId9"/>
    <sheet name="Tabula RefULG 2" sheetId="16" r:id="rId10"/>
    <sheet name="Verwarming Tabula 2zone" sheetId="7" r:id="rId11"/>
    <sheet name="Verwarming Tabula 2zone Ref1" sheetId="13" r:id="rId12"/>
    <sheet name="Verwarming Tabula 2zone Ref2" sheetId="14" r:id="rId13"/>
    <sheet name="Verwarming Tabula 2zone RefULG1" sheetId="17" r:id="rId14"/>
    <sheet name="Verwarming Tabula 2zone RefULG2" sheetId="18" r:id="rId15"/>
    <sheet name="PropertiesGB_Theoretical" sheetId="8" r:id="rId16"/>
    <sheet name="Sheet8" sheetId="9" r:id="rId17"/>
    <sheet name="Sheet9" sheetId="10" r:id="rId18"/>
  </sheets>
  <definedNames>
    <definedName name="_xlnm.Print_Area" localSheetId="1">'Gebouwgegevens Allacker'!$A$1:$H$38,'Gebouwgegevens Allacker'!$J$3:$T$32,'Gebouwgegevens Allacker'!$V$3:$AG$52</definedName>
    <definedName name="_xlnm.Print_Area" localSheetId="0">'Gebouwgegevens Tabula'!$A$1:$H$38,'Gebouwgegevens Tabula'!$J$3:$T$32,'Gebouwgegevens Tabula'!$V$3:$AG$52</definedName>
    <definedName name="_xlnm.Print_Area" localSheetId="5">'Gebouwgegevens Tabula 2zone'!$A$1:$H$37,'Gebouwgegevens Tabula 2zone'!$K$3:$U$32,'Gebouwgegevens Tabula 2zone'!$W$3:$AH$51</definedName>
    <definedName name="_xlnm.Print_Area" localSheetId="2">'Tabula data'!$A$1:$D$33,'Tabula data'!$F$1:$Q$36,'Tabula data'!$A$36:$D$51</definedName>
    <definedName name="_xlnm.Print_Area" localSheetId="6">'Tabula Ref1'!$A$1:$H$37,'Tabula Ref1'!$J$3:$T$32,'Tabula Ref1'!$V$3:$AG$51</definedName>
    <definedName name="_xlnm.Print_Area" localSheetId="7">'Tabula Ref2'!$A$1:$H$37,'Tabula Ref2'!$J$3:$T$32,'Tabula Ref2'!$V$3:$AG$51</definedName>
    <definedName name="_xlnm.Print_Area" localSheetId="8">'Tabula RefULG 1'!$A$1:$H$37,'Tabula RefULG 1'!$K$3:$U$32,'Tabula RefULG 1'!$W$3:$AH$51</definedName>
    <definedName name="_xlnm.Print_Area" localSheetId="9">'Tabula RefULG 2'!$A$1:$H$37,'Tabula RefULG 2'!$K$3:$U$32,'Tabula RefULG 2'!$W$3:$AH$51</definedName>
  </definedNames>
  <calcPr calcId="145621"/>
</workbook>
</file>

<file path=xl/calcChain.xml><?xml version="1.0" encoding="utf-8"?>
<calcChain xmlns="http://schemas.openxmlformats.org/spreadsheetml/2006/main">
  <c r="AP24" i="16" l="1"/>
  <c r="AP20" i="16"/>
  <c r="AP19" i="16"/>
  <c r="AP21" i="16"/>
  <c r="AA27" i="16"/>
  <c r="AA53" i="16"/>
  <c r="AA21" i="16"/>
  <c r="AP40" i="16"/>
  <c r="AP37" i="16"/>
  <c r="AP30" i="16"/>
  <c r="AP23" i="16"/>
  <c r="AP9" i="16"/>
  <c r="AP43" i="16"/>
  <c r="AP47" i="16" s="1"/>
  <c r="AP42" i="16"/>
  <c r="AP46" i="16" s="1"/>
  <c r="AP34" i="16"/>
  <c r="AP33" i="16"/>
  <c r="AP28" i="16"/>
  <c r="AP35" i="16" s="1"/>
  <c r="AP27" i="16"/>
  <c r="AP26" i="16"/>
  <c r="AP7" i="16"/>
  <c r="AP17" i="16" s="1"/>
  <c r="AP6" i="16"/>
  <c r="AP16" i="16" s="1"/>
  <c r="AP5" i="16"/>
  <c r="AP15" i="16" s="1"/>
  <c r="AP4" i="16"/>
  <c r="AP14" i="16" s="1"/>
  <c r="AP48" i="16" l="1"/>
  <c r="AP50" i="16"/>
  <c r="AP49" i="16" s="1"/>
  <c r="AP38" i="16"/>
  <c r="EH6" i="15"/>
  <c r="EH7" i="15"/>
  <c r="EH8" i="15"/>
  <c r="EH9" i="15"/>
  <c r="EH10" i="15"/>
  <c r="EH11" i="15"/>
  <c r="EH12" i="15"/>
  <c r="EH13" i="15"/>
  <c r="EH14" i="15"/>
  <c r="EH15" i="15"/>
  <c r="EH16" i="15"/>
  <c r="EH17" i="15"/>
  <c r="EH18" i="15"/>
  <c r="EH19" i="15"/>
  <c r="EH20" i="15"/>
  <c r="EH21" i="15"/>
  <c r="EH22" i="15"/>
  <c r="EH23" i="15"/>
  <c r="EH24" i="15"/>
  <c r="EH27" i="15"/>
  <c r="EH28" i="15"/>
  <c r="EH29" i="15"/>
  <c r="EH30" i="15"/>
  <c r="EH32" i="15"/>
  <c r="EH33" i="15"/>
  <c r="EH34" i="15"/>
  <c r="EH35" i="15"/>
  <c r="EH36" i="15"/>
  <c r="EH37" i="15"/>
  <c r="EH38" i="15"/>
  <c r="EH39" i="15"/>
  <c r="EH40" i="15"/>
  <c r="EH41" i="15"/>
  <c r="EH42" i="15"/>
  <c r="EH44" i="15"/>
  <c r="EH45" i="15"/>
  <c r="EH46" i="15"/>
  <c r="EH47" i="15"/>
  <c r="EH48" i="15"/>
  <c r="EH49" i="15"/>
  <c r="EH50" i="15"/>
  <c r="EH51" i="15"/>
  <c r="EH52" i="15"/>
  <c r="EH53" i="15"/>
  <c r="EH54" i="15"/>
  <c r="EH55" i="15"/>
  <c r="EH56" i="15"/>
  <c r="EH57" i="15"/>
  <c r="EH58" i="15"/>
  <c r="EH59" i="15"/>
  <c r="EH61" i="15"/>
  <c r="EH62" i="15"/>
  <c r="EH63" i="15"/>
  <c r="EH65" i="15"/>
  <c r="EH66" i="15"/>
  <c r="EH67" i="15"/>
  <c r="EH68" i="15"/>
  <c r="EH70" i="15"/>
  <c r="EH71" i="15"/>
  <c r="EH72" i="15"/>
  <c r="EH73" i="15"/>
  <c r="EH75" i="15"/>
  <c r="EH76" i="15"/>
  <c r="EH77" i="15"/>
  <c r="EH78" i="15"/>
  <c r="EH79" i="15"/>
  <c r="EH5" i="15"/>
  <c r="AP40" i="15"/>
  <c r="AP37" i="15"/>
  <c r="DX53" i="15" l="1"/>
  <c r="DX44" i="15"/>
  <c r="DX27" i="15"/>
  <c r="DX28" i="15"/>
  <c r="DX29" i="15"/>
  <c r="DX30" i="15"/>
  <c r="DX32" i="15"/>
  <c r="DX33" i="15"/>
  <c r="DX34" i="15"/>
  <c r="DX35" i="15"/>
  <c r="DX36" i="15"/>
  <c r="DX37" i="15"/>
  <c r="DX38" i="15"/>
  <c r="DX39" i="15"/>
  <c r="DX40" i="15"/>
  <c r="DX41" i="15"/>
  <c r="DX42" i="15"/>
  <c r="DX45" i="15"/>
  <c r="DX46" i="15"/>
  <c r="DX47" i="15"/>
  <c r="DX48" i="15"/>
  <c r="DX49" i="15"/>
  <c r="DX50" i="15"/>
  <c r="DX51" i="15"/>
  <c r="DX52" i="15"/>
  <c r="DX54" i="15"/>
  <c r="DX55" i="15"/>
  <c r="DX56" i="15"/>
  <c r="DX57" i="15"/>
  <c r="DX58" i="15"/>
  <c r="DX59" i="15"/>
  <c r="DX61" i="15"/>
  <c r="DX62" i="15"/>
  <c r="DX63" i="15"/>
  <c r="DX65" i="15"/>
  <c r="DX66" i="15"/>
  <c r="DX67" i="15"/>
  <c r="DX68" i="15"/>
  <c r="DX70" i="15"/>
  <c r="DX71" i="15"/>
  <c r="DX72" i="15"/>
  <c r="DX73" i="15"/>
  <c r="DX75" i="15"/>
  <c r="DX76" i="15"/>
  <c r="DX77" i="15"/>
  <c r="DX78" i="15"/>
  <c r="DX79" i="15"/>
  <c r="DX6" i="15"/>
  <c r="DX7" i="15"/>
  <c r="DX8" i="15"/>
  <c r="DX9" i="15"/>
  <c r="DX10" i="15"/>
  <c r="DX11" i="15"/>
  <c r="DX12" i="15"/>
  <c r="DX13" i="15"/>
  <c r="DX14" i="15"/>
  <c r="DX15" i="15"/>
  <c r="DX16" i="15"/>
  <c r="DX17" i="15"/>
  <c r="DX18" i="15"/>
  <c r="DX19" i="15"/>
  <c r="DX20" i="15"/>
  <c r="DX21" i="15"/>
  <c r="DX22" i="15"/>
  <c r="DX23" i="15"/>
  <c r="DX24" i="15"/>
  <c r="DX5" i="15"/>
  <c r="DU78" i="15"/>
  <c r="DU79" i="15"/>
  <c r="DU77" i="15"/>
  <c r="DU76" i="15"/>
  <c r="DU75" i="15"/>
  <c r="DU73" i="15"/>
  <c r="DU72" i="15"/>
  <c r="DU71" i="15"/>
  <c r="DU70" i="15"/>
  <c r="DU68" i="15"/>
  <c r="DU67" i="15"/>
  <c r="DU66" i="15"/>
  <c r="DU65" i="15"/>
  <c r="DU63" i="15"/>
  <c r="DU62" i="15"/>
  <c r="DU61" i="15"/>
  <c r="DU59" i="15"/>
  <c r="DU58" i="15"/>
  <c r="DU57" i="15"/>
  <c r="DU56" i="15"/>
  <c r="DU55" i="15"/>
  <c r="DU54" i="15"/>
  <c r="DU53" i="15"/>
  <c r="DU52" i="15"/>
  <c r="DU51" i="15"/>
  <c r="DU50" i="15"/>
  <c r="DU49" i="15"/>
  <c r="DU48" i="15"/>
  <c r="DU47" i="15"/>
  <c r="DU46" i="15"/>
  <c r="DU45" i="15"/>
  <c r="DU44" i="15"/>
  <c r="DU42" i="15"/>
  <c r="DU41" i="15"/>
  <c r="DU40" i="15"/>
  <c r="DU39" i="15"/>
  <c r="DU38" i="15"/>
  <c r="DU37" i="15"/>
  <c r="DU36" i="15"/>
  <c r="DU35" i="15"/>
  <c r="DU34" i="15"/>
  <c r="DU33" i="15"/>
  <c r="DU32" i="15"/>
  <c r="DU30" i="15"/>
  <c r="DU29" i="15"/>
  <c r="DU28" i="15"/>
  <c r="DU27" i="15"/>
  <c r="DU24" i="15"/>
  <c r="DU23" i="15"/>
  <c r="DU22" i="15"/>
  <c r="DU21" i="15"/>
  <c r="DU20" i="15"/>
  <c r="DU19" i="15"/>
  <c r="DU18" i="15"/>
  <c r="DU17" i="15"/>
  <c r="DU16" i="15"/>
  <c r="DU15" i="15"/>
  <c r="DU14" i="15"/>
  <c r="DU13" i="15"/>
  <c r="DU12" i="15"/>
  <c r="DU11" i="15"/>
  <c r="DU10" i="15"/>
  <c r="DU9" i="15"/>
  <c r="DU8" i="15"/>
  <c r="DU7" i="15"/>
  <c r="DU6" i="15"/>
  <c r="DU5" i="15"/>
  <c r="DS79" i="11"/>
  <c r="DS78" i="11"/>
  <c r="DS77" i="11"/>
  <c r="DS76" i="11"/>
  <c r="DS75" i="11"/>
  <c r="DS73" i="11"/>
  <c r="DS72" i="11"/>
  <c r="DS71" i="11"/>
  <c r="DS70" i="11"/>
  <c r="DS68" i="11"/>
  <c r="DS67" i="11"/>
  <c r="DS66" i="11"/>
  <c r="DS65" i="11"/>
  <c r="DS63" i="11"/>
  <c r="DS62" i="11"/>
  <c r="DS61" i="11"/>
  <c r="DS59" i="11"/>
  <c r="DS58" i="11"/>
  <c r="DS57" i="11"/>
  <c r="DS56" i="11"/>
  <c r="DS55" i="11"/>
  <c r="DS54" i="11"/>
  <c r="DS53" i="11"/>
  <c r="DS52" i="11"/>
  <c r="DS51" i="11"/>
  <c r="DS50" i="11"/>
  <c r="DS49" i="11"/>
  <c r="DS48" i="11"/>
  <c r="DS47" i="11"/>
  <c r="DS46" i="11"/>
  <c r="DS45" i="11"/>
  <c r="DS44" i="11"/>
  <c r="DS42" i="11"/>
  <c r="DS41" i="11"/>
  <c r="DS40" i="11"/>
  <c r="DS39" i="11"/>
  <c r="DS38" i="11"/>
  <c r="DS37" i="11"/>
  <c r="DS36" i="11"/>
  <c r="DS35" i="11"/>
  <c r="DS34" i="11"/>
  <c r="DS33" i="11"/>
  <c r="DS32" i="11"/>
  <c r="DS30" i="11"/>
  <c r="DS29" i="11"/>
  <c r="DS28" i="11"/>
  <c r="DS27" i="11"/>
  <c r="DS24" i="11"/>
  <c r="DS23" i="11"/>
  <c r="DS22" i="11"/>
  <c r="DS21" i="11"/>
  <c r="DS20" i="11"/>
  <c r="DS19" i="11"/>
  <c r="DS18" i="11"/>
  <c r="DS17" i="11"/>
  <c r="DS16" i="11"/>
  <c r="DS15" i="11"/>
  <c r="DS14" i="11"/>
  <c r="DS13" i="11"/>
  <c r="DS12" i="11"/>
  <c r="DS11" i="11"/>
  <c r="DS10" i="11"/>
  <c r="DS9" i="11"/>
  <c r="DS8" i="11"/>
  <c r="DS7" i="11"/>
  <c r="DS6" i="11"/>
  <c r="DS5" i="11"/>
  <c r="AO39" i="11"/>
  <c r="AP22" i="15"/>
  <c r="B139" i="13" l="1"/>
  <c r="B139" i="17" l="1"/>
  <c r="B139" i="7" l="1"/>
  <c r="DU5" i="6" l="1"/>
  <c r="DU6" i="6"/>
  <c r="DU7" i="6"/>
  <c r="DU8" i="6"/>
  <c r="DU9" i="6"/>
  <c r="DU10" i="6"/>
  <c r="DU11" i="6"/>
  <c r="DU12" i="6"/>
  <c r="DU13" i="6"/>
  <c r="DU14" i="6"/>
  <c r="DU15" i="6"/>
  <c r="DU16" i="6"/>
  <c r="DU17" i="6"/>
  <c r="DU18" i="6"/>
  <c r="DU19" i="6"/>
  <c r="DU20" i="6"/>
  <c r="DU21" i="6"/>
  <c r="DU22" i="6"/>
  <c r="DU23" i="6"/>
  <c r="DU24" i="6"/>
  <c r="DU27" i="6"/>
  <c r="DU28" i="6"/>
  <c r="DU29" i="6"/>
  <c r="DU30" i="6"/>
  <c r="DU32" i="6"/>
  <c r="DU33" i="6"/>
  <c r="DU34" i="6"/>
  <c r="DU35" i="6"/>
  <c r="DU36" i="6"/>
  <c r="DU37" i="6"/>
  <c r="DU38" i="6"/>
  <c r="DU39" i="6"/>
  <c r="DU40" i="6"/>
  <c r="DU41" i="6"/>
  <c r="DU42" i="6"/>
  <c r="DU44" i="6"/>
  <c r="DU45" i="6"/>
  <c r="DU46" i="6"/>
  <c r="DU47" i="6"/>
  <c r="DU48" i="6"/>
  <c r="DU49" i="6"/>
  <c r="DU50" i="6"/>
  <c r="DU51" i="6"/>
  <c r="DU52" i="6"/>
  <c r="DU53" i="6"/>
  <c r="DU54" i="6"/>
  <c r="DU55" i="6"/>
  <c r="DU56" i="6"/>
  <c r="DU57" i="6"/>
  <c r="DU58" i="6"/>
  <c r="DU59" i="6"/>
  <c r="DU61" i="6"/>
  <c r="DU62" i="6"/>
  <c r="DU63" i="6"/>
  <c r="DU65" i="6"/>
  <c r="DU66" i="6"/>
  <c r="DU67" i="6"/>
  <c r="DU68" i="6"/>
  <c r="DU70" i="6"/>
  <c r="DU71" i="6"/>
  <c r="DU72" i="6"/>
  <c r="DU73" i="6"/>
  <c r="DU75" i="6"/>
  <c r="DU76" i="6"/>
  <c r="DU77" i="6"/>
  <c r="DU78" i="6"/>
  <c r="DU79" i="6"/>
  <c r="DE78" i="11" l="1"/>
  <c r="DE79" i="11"/>
  <c r="DE77" i="11"/>
  <c r="Q35" i="12" l="1"/>
  <c r="Q34" i="12"/>
  <c r="Q34" i="11"/>
  <c r="B133" i="18" l="1"/>
  <c r="B130" i="18"/>
  <c r="F109" i="18"/>
  <c r="E109" i="18"/>
  <c r="D109" i="18"/>
  <c r="H109" i="18" s="1"/>
  <c r="C109" i="18"/>
  <c r="G109" i="18" s="1"/>
  <c r="F108" i="18"/>
  <c r="E108" i="18"/>
  <c r="D108" i="18"/>
  <c r="H108" i="18" s="1"/>
  <c r="C108" i="18"/>
  <c r="G108" i="18" s="1"/>
  <c r="K108" i="18" s="1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B66" i="18"/>
  <c r="B54" i="18"/>
  <c r="B51" i="18"/>
  <c r="F34" i="18"/>
  <c r="E34" i="18"/>
  <c r="D34" i="18"/>
  <c r="H34" i="18" s="1"/>
  <c r="C34" i="18"/>
  <c r="G34" i="18" s="1"/>
  <c r="F33" i="18"/>
  <c r="E33" i="18"/>
  <c r="D33" i="18"/>
  <c r="H33" i="18" s="1"/>
  <c r="C33" i="18"/>
  <c r="G33" i="18" s="1"/>
  <c r="K28" i="18"/>
  <c r="I28" i="18"/>
  <c r="E28" i="18"/>
  <c r="D28" i="18"/>
  <c r="C28" i="18"/>
  <c r="F22" i="18"/>
  <c r="E22" i="18"/>
  <c r="D22" i="18"/>
  <c r="C22" i="18"/>
  <c r="F21" i="18"/>
  <c r="E21" i="18"/>
  <c r="D21" i="18"/>
  <c r="C21" i="18"/>
  <c r="D19" i="18"/>
  <c r="C19" i="18"/>
  <c r="B19" i="18"/>
  <c r="F19" i="18" s="1"/>
  <c r="B18" i="18"/>
  <c r="E18" i="18" s="1"/>
  <c r="E17" i="18"/>
  <c r="B17" i="18"/>
  <c r="E16" i="18"/>
  <c r="D16" i="18"/>
  <c r="C16" i="18"/>
  <c r="B16" i="18"/>
  <c r="F16" i="18" s="1"/>
  <c r="D15" i="18"/>
  <c r="C15" i="18"/>
  <c r="B15" i="18"/>
  <c r="F15" i="18" s="1"/>
  <c r="B14" i="18"/>
  <c r="E14" i="18" s="1"/>
  <c r="E13" i="18"/>
  <c r="B13" i="18"/>
  <c r="E12" i="18"/>
  <c r="D12" i="18"/>
  <c r="C12" i="18"/>
  <c r="B12" i="18"/>
  <c r="F12" i="18" s="1"/>
  <c r="B776" i="18"/>
  <c r="B778" i="18" s="1"/>
  <c r="B777" i="18" s="1"/>
  <c r="B771" i="18"/>
  <c r="G768" i="18"/>
  <c r="B768" i="18"/>
  <c r="B770" i="18" s="1"/>
  <c r="B764" i="18"/>
  <c r="B761" i="18"/>
  <c r="J750" i="18"/>
  <c r="I750" i="18"/>
  <c r="F750" i="18"/>
  <c r="E750" i="18"/>
  <c r="D750" i="18"/>
  <c r="H750" i="18" s="1"/>
  <c r="C750" i="18"/>
  <c r="G750" i="18" s="1"/>
  <c r="K750" i="18" s="1"/>
  <c r="J749" i="18"/>
  <c r="I749" i="18"/>
  <c r="F749" i="18"/>
  <c r="E749" i="18"/>
  <c r="D749" i="18"/>
  <c r="H749" i="18" s="1"/>
  <c r="C749" i="18"/>
  <c r="G749" i="18" s="1"/>
  <c r="J748" i="18"/>
  <c r="I748" i="18"/>
  <c r="F748" i="18"/>
  <c r="E748" i="18"/>
  <c r="D748" i="18"/>
  <c r="H748" i="18" s="1"/>
  <c r="C748" i="18"/>
  <c r="G748" i="18" s="1"/>
  <c r="K748" i="18" s="1"/>
  <c r="J747" i="18"/>
  <c r="I747" i="18"/>
  <c r="H747" i="18"/>
  <c r="F747" i="18"/>
  <c r="E747" i="18"/>
  <c r="D747" i="18"/>
  <c r="C747" i="18"/>
  <c r="G747" i="18" s="1"/>
  <c r="K747" i="18" s="1"/>
  <c r="J746" i="18"/>
  <c r="I746" i="18"/>
  <c r="F746" i="18"/>
  <c r="E746" i="18"/>
  <c r="D746" i="18"/>
  <c r="H746" i="18" s="1"/>
  <c r="C746" i="18"/>
  <c r="G746" i="18" s="1"/>
  <c r="K746" i="18" s="1"/>
  <c r="J745" i="18"/>
  <c r="I745" i="18"/>
  <c r="H745" i="18"/>
  <c r="F745" i="18"/>
  <c r="E745" i="18"/>
  <c r="D745" i="18"/>
  <c r="C745" i="18"/>
  <c r="G745" i="18" s="1"/>
  <c r="K745" i="18" s="1"/>
  <c r="J744" i="18"/>
  <c r="I744" i="18"/>
  <c r="F744" i="18"/>
  <c r="E744" i="18"/>
  <c r="D744" i="18"/>
  <c r="H744" i="18" s="1"/>
  <c r="C744" i="18"/>
  <c r="G744" i="18" s="1"/>
  <c r="K744" i="18" s="1"/>
  <c r="J743" i="18"/>
  <c r="I743" i="18"/>
  <c r="F743" i="18"/>
  <c r="E743" i="18"/>
  <c r="D743" i="18"/>
  <c r="H743" i="18" s="1"/>
  <c r="C743" i="18"/>
  <c r="G743" i="18" s="1"/>
  <c r="J742" i="18"/>
  <c r="I742" i="18"/>
  <c r="F742" i="18"/>
  <c r="E742" i="18"/>
  <c r="D742" i="18"/>
  <c r="H742" i="18" s="1"/>
  <c r="C742" i="18"/>
  <c r="G742" i="18" s="1"/>
  <c r="K742" i="18" s="1"/>
  <c r="J741" i="18"/>
  <c r="I741" i="18"/>
  <c r="F741" i="18"/>
  <c r="E741" i="18"/>
  <c r="D741" i="18"/>
  <c r="H741" i="18" s="1"/>
  <c r="C741" i="18"/>
  <c r="G741" i="18" s="1"/>
  <c r="J740" i="18"/>
  <c r="I740" i="18"/>
  <c r="F740" i="18"/>
  <c r="E740" i="18"/>
  <c r="D740" i="18"/>
  <c r="H740" i="18" s="1"/>
  <c r="C740" i="18"/>
  <c r="G740" i="18" s="1"/>
  <c r="K740" i="18" s="1"/>
  <c r="J739" i="18"/>
  <c r="I739" i="18"/>
  <c r="H739" i="18"/>
  <c r="F739" i="18"/>
  <c r="E739" i="18"/>
  <c r="D739" i="18"/>
  <c r="C739" i="18"/>
  <c r="G739" i="18" s="1"/>
  <c r="K739" i="18" s="1"/>
  <c r="G731" i="18"/>
  <c r="F731" i="18"/>
  <c r="M731" i="18" s="1"/>
  <c r="N731" i="18" s="1"/>
  <c r="H731" i="18" s="1"/>
  <c r="E731" i="18"/>
  <c r="D731" i="18"/>
  <c r="C731" i="18"/>
  <c r="I731" i="18" s="1"/>
  <c r="L731" i="18" s="1"/>
  <c r="H717" i="18"/>
  <c r="G717" i="18"/>
  <c r="F717" i="18"/>
  <c r="E717" i="18"/>
  <c r="D717" i="18"/>
  <c r="C717" i="18"/>
  <c r="H716" i="18"/>
  <c r="G716" i="18"/>
  <c r="F716" i="18"/>
  <c r="E716" i="18"/>
  <c r="D716" i="18"/>
  <c r="C716" i="18"/>
  <c r="H715" i="18"/>
  <c r="G715" i="18"/>
  <c r="F715" i="18"/>
  <c r="E715" i="18"/>
  <c r="D715" i="18"/>
  <c r="C715" i="18"/>
  <c r="B699" i="18"/>
  <c r="B698" i="18" s="1"/>
  <c r="B697" i="18"/>
  <c r="B689" i="18"/>
  <c r="G689" i="18" s="1"/>
  <c r="B685" i="18"/>
  <c r="B682" i="18"/>
  <c r="J661" i="18"/>
  <c r="I661" i="18"/>
  <c r="F661" i="18"/>
  <c r="E661" i="18"/>
  <c r="D661" i="18"/>
  <c r="H661" i="18" s="1"/>
  <c r="C661" i="18"/>
  <c r="G661" i="18" s="1"/>
  <c r="J660" i="18"/>
  <c r="I660" i="18"/>
  <c r="F660" i="18"/>
  <c r="E660" i="18"/>
  <c r="D660" i="18"/>
  <c r="H660" i="18" s="1"/>
  <c r="C660" i="18"/>
  <c r="G660" i="18" s="1"/>
  <c r="K660" i="18" s="1"/>
  <c r="M652" i="18"/>
  <c r="G652" i="18"/>
  <c r="B673" i="18" s="1"/>
  <c r="F652" i="18"/>
  <c r="E652" i="18"/>
  <c r="D652" i="18"/>
  <c r="C652" i="18"/>
  <c r="I652" i="18" s="1"/>
  <c r="L652" i="18" s="1"/>
  <c r="H637" i="18"/>
  <c r="G637" i="18"/>
  <c r="F637" i="18"/>
  <c r="E637" i="18"/>
  <c r="D637" i="18"/>
  <c r="C637" i="18"/>
  <c r="H636" i="18"/>
  <c r="G636" i="18"/>
  <c r="F636" i="18"/>
  <c r="E636" i="18"/>
  <c r="D636" i="18"/>
  <c r="C636" i="18"/>
  <c r="B620" i="18"/>
  <c r="B619" i="18"/>
  <c r="B618" i="18"/>
  <c r="B607" i="18"/>
  <c r="B606" i="18"/>
  <c r="B603" i="18"/>
  <c r="B610" i="18" s="1"/>
  <c r="B612" i="18" s="1"/>
  <c r="B613" i="18" s="1"/>
  <c r="J583" i="18"/>
  <c r="I583" i="18"/>
  <c r="F583" i="18"/>
  <c r="E583" i="18"/>
  <c r="D583" i="18"/>
  <c r="H583" i="18" s="1"/>
  <c r="C583" i="18"/>
  <c r="G583" i="18" s="1"/>
  <c r="J582" i="18"/>
  <c r="I582" i="18"/>
  <c r="F582" i="18"/>
  <c r="E582" i="18"/>
  <c r="D582" i="18"/>
  <c r="H582" i="18" s="1"/>
  <c r="C582" i="18"/>
  <c r="G582" i="18" s="1"/>
  <c r="K582" i="18" s="1"/>
  <c r="J581" i="18"/>
  <c r="I581" i="18"/>
  <c r="H581" i="18"/>
  <c r="F581" i="18"/>
  <c r="E581" i="18"/>
  <c r="D581" i="18"/>
  <c r="C581" i="18"/>
  <c r="G581" i="18" s="1"/>
  <c r="K581" i="18" s="1"/>
  <c r="G573" i="18"/>
  <c r="F573" i="18"/>
  <c r="M573" i="18" s="1"/>
  <c r="N573" i="18" s="1"/>
  <c r="H573" i="18" s="1"/>
  <c r="E573" i="18"/>
  <c r="D573" i="18"/>
  <c r="C573" i="18"/>
  <c r="I573" i="18" s="1"/>
  <c r="L573" i="18" s="1"/>
  <c r="H559" i="18"/>
  <c r="G559" i="18"/>
  <c r="F559" i="18"/>
  <c r="E559" i="18"/>
  <c r="D559" i="18"/>
  <c r="C559" i="18"/>
  <c r="H558" i="18"/>
  <c r="G558" i="18"/>
  <c r="F558" i="18"/>
  <c r="E558" i="18"/>
  <c r="D558" i="18"/>
  <c r="C558" i="18"/>
  <c r="H557" i="18"/>
  <c r="B594" i="18" s="1"/>
  <c r="G557" i="18"/>
  <c r="F557" i="18"/>
  <c r="E557" i="18"/>
  <c r="D557" i="18"/>
  <c r="C557" i="18"/>
  <c r="B541" i="18"/>
  <c r="B540" i="18" s="1"/>
  <c r="B539" i="18"/>
  <c r="B531" i="18"/>
  <c r="G531" i="18" s="1"/>
  <c r="B527" i="18"/>
  <c r="B528" i="18" s="1"/>
  <c r="B524" i="18"/>
  <c r="J504" i="18"/>
  <c r="I504" i="18"/>
  <c r="F504" i="18"/>
  <c r="E504" i="18"/>
  <c r="D504" i="18"/>
  <c r="H504" i="18" s="1"/>
  <c r="C504" i="18"/>
  <c r="G504" i="18" s="1"/>
  <c r="K504" i="18" s="1"/>
  <c r="J503" i="18"/>
  <c r="I503" i="18"/>
  <c r="F503" i="18"/>
  <c r="E503" i="18"/>
  <c r="D503" i="18"/>
  <c r="H503" i="18" s="1"/>
  <c r="C503" i="18"/>
  <c r="G503" i="18" s="1"/>
  <c r="J502" i="18"/>
  <c r="I502" i="18"/>
  <c r="F502" i="18"/>
  <c r="E502" i="18"/>
  <c r="D502" i="18"/>
  <c r="H502" i="18" s="1"/>
  <c r="C502" i="18"/>
  <c r="G502" i="18" s="1"/>
  <c r="K502" i="18" s="1"/>
  <c r="H483" i="18"/>
  <c r="G483" i="18"/>
  <c r="F483" i="18"/>
  <c r="E483" i="18"/>
  <c r="D483" i="18"/>
  <c r="C483" i="18"/>
  <c r="H482" i="18"/>
  <c r="G482" i="18"/>
  <c r="F482" i="18"/>
  <c r="E482" i="18"/>
  <c r="D482" i="18"/>
  <c r="C482" i="18"/>
  <c r="H481" i="18"/>
  <c r="G481" i="18"/>
  <c r="F481" i="18"/>
  <c r="E481" i="18"/>
  <c r="D481" i="18"/>
  <c r="C481" i="18"/>
  <c r="H480" i="18"/>
  <c r="G480" i="18"/>
  <c r="F480" i="18"/>
  <c r="E480" i="18"/>
  <c r="D480" i="18"/>
  <c r="C480" i="18"/>
  <c r="H479" i="18"/>
  <c r="G479" i="18"/>
  <c r="F479" i="18"/>
  <c r="E479" i="18"/>
  <c r="D479" i="18"/>
  <c r="C479" i="18"/>
  <c r="H478" i="18"/>
  <c r="B515" i="18" s="1"/>
  <c r="B545" i="18" s="1"/>
  <c r="G478" i="18"/>
  <c r="F478" i="18"/>
  <c r="E478" i="18"/>
  <c r="D478" i="18"/>
  <c r="C478" i="18"/>
  <c r="B461" i="18"/>
  <c r="B463" i="18" s="1"/>
  <c r="B462" i="18" s="1"/>
  <c r="B450" i="18"/>
  <c r="B449" i="18"/>
  <c r="B446" i="18"/>
  <c r="B453" i="18" s="1"/>
  <c r="B455" i="18" s="1"/>
  <c r="B456" i="18" s="1"/>
  <c r="J428" i="18"/>
  <c r="I428" i="18"/>
  <c r="F428" i="18"/>
  <c r="E428" i="18"/>
  <c r="D428" i="18"/>
  <c r="H428" i="18" s="1"/>
  <c r="C428" i="18"/>
  <c r="G428" i="18" s="1"/>
  <c r="J427" i="18"/>
  <c r="I427" i="18"/>
  <c r="F427" i="18"/>
  <c r="E427" i="18"/>
  <c r="D427" i="18"/>
  <c r="H427" i="18" s="1"/>
  <c r="C427" i="18"/>
  <c r="G427" i="18" s="1"/>
  <c r="K427" i="18" s="1"/>
  <c r="J426" i="18"/>
  <c r="I426" i="18"/>
  <c r="H426" i="18"/>
  <c r="F426" i="18"/>
  <c r="E426" i="18"/>
  <c r="D426" i="18"/>
  <c r="C426" i="18"/>
  <c r="G426" i="18" s="1"/>
  <c r="K426" i="18" s="1"/>
  <c r="J425" i="18"/>
  <c r="I425" i="18"/>
  <c r="F425" i="18"/>
  <c r="E425" i="18"/>
  <c r="D425" i="18"/>
  <c r="H425" i="18" s="1"/>
  <c r="C425" i="18"/>
  <c r="G425" i="18" s="1"/>
  <c r="K425" i="18" s="1"/>
  <c r="J424" i="18"/>
  <c r="I424" i="18"/>
  <c r="H424" i="18"/>
  <c r="F424" i="18"/>
  <c r="E424" i="18"/>
  <c r="D424" i="18"/>
  <c r="C424" i="18"/>
  <c r="G424" i="18" s="1"/>
  <c r="K424" i="18" s="1"/>
  <c r="H402" i="18"/>
  <c r="G402" i="18"/>
  <c r="F402" i="18"/>
  <c r="E402" i="18"/>
  <c r="D402" i="18"/>
  <c r="C402" i="18"/>
  <c r="H401" i="18"/>
  <c r="G401" i="18"/>
  <c r="F401" i="18"/>
  <c r="E401" i="18"/>
  <c r="D401" i="18"/>
  <c r="C401" i="18"/>
  <c r="H400" i="18"/>
  <c r="B437" i="18" s="1"/>
  <c r="G400" i="18"/>
  <c r="F400" i="18"/>
  <c r="E400" i="18"/>
  <c r="D400" i="18"/>
  <c r="C400" i="18"/>
  <c r="B383" i="18"/>
  <c r="B385" i="18" s="1"/>
  <c r="B384" i="18" s="1"/>
  <c r="B377" i="18"/>
  <c r="B378" i="18" s="1"/>
  <c r="B375" i="18"/>
  <c r="G375" i="18" s="1"/>
  <c r="B371" i="18"/>
  <c r="B372" i="18" s="1"/>
  <c r="B368" i="18"/>
  <c r="J350" i="18"/>
  <c r="I350" i="18"/>
  <c r="F350" i="18"/>
  <c r="E350" i="18"/>
  <c r="D350" i="18"/>
  <c r="H350" i="18" s="1"/>
  <c r="C350" i="18"/>
  <c r="G350" i="18" s="1"/>
  <c r="K350" i="18" s="1"/>
  <c r="J349" i="18"/>
  <c r="I349" i="18"/>
  <c r="H349" i="18"/>
  <c r="F349" i="18"/>
  <c r="E349" i="18"/>
  <c r="D349" i="18"/>
  <c r="C349" i="18"/>
  <c r="G349" i="18" s="1"/>
  <c r="K349" i="18" s="1"/>
  <c r="J348" i="18"/>
  <c r="I348" i="18"/>
  <c r="F348" i="18"/>
  <c r="E348" i="18"/>
  <c r="D348" i="18"/>
  <c r="H348" i="18" s="1"/>
  <c r="C348" i="18"/>
  <c r="G348" i="18" s="1"/>
  <c r="K348" i="18" s="1"/>
  <c r="J347" i="18"/>
  <c r="I347" i="18"/>
  <c r="H347" i="18"/>
  <c r="F347" i="18"/>
  <c r="E347" i="18"/>
  <c r="D347" i="18"/>
  <c r="C347" i="18"/>
  <c r="G347" i="18" s="1"/>
  <c r="K347" i="18" s="1"/>
  <c r="J346" i="18"/>
  <c r="I346" i="18"/>
  <c r="F346" i="18"/>
  <c r="E346" i="18"/>
  <c r="D346" i="18"/>
  <c r="H346" i="18" s="1"/>
  <c r="C346" i="18"/>
  <c r="G346" i="18" s="1"/>
  <c r="K346" i="18" s="1"/>
  <c r="H325" i="18"/>
  <c r="G325" i="18"/>
  <c r="F325" i="18"/>
  <c r="E325" i="18"/>
  <c r="D325" i="18"/>
  <c r="C325" i="18"/>
  <c r="H324" i="18"/>
  <c r="G324" i="18"/>
  <c r="F324" i="18"/>
  <c r="E324" i="18"/>
  <c r="D324" i="18"/>
  <c r="C324" i="18"/>
  <c r="H323" i="18"/>
  <c r="G323" i="18"/>
  <c r="F323" i="18"/>
  <c r="E323" i="18"/>
  <c r="D323" i="18"/>
  <c r="C323" i="18"/>
  <c r="H322" i="18"/>
  <c r="G322" i="18"/>
  <c r="F322" i="18"/>
  <c r="E322" i="18"/>
  <c r="D322" i="18"/>
  <c r="C322" i="18"/>
  <c r="B304" i="18"/>
  <c r="B306" i="18" s="1"/>
  <c r="B305" i="18" s="1"/>
  <c r="B299" i="18"/>
  <c r="G296" i="18"/>
  <c r="B296" i="18"/>
  <c r="B298" i="18" s="1"/>
  <c r="B292" i="18"/>
  <c r="B289" i="18"/>
  <c r="J270" i="18"/>
  <c r="I270" i="18"/>
  <c r="F270" i="18"/>
  <c r="E270" i="18"/>
  <c r="D270" i="18"/>
  <c r="H270" i="18" s="1"/>
  <c r="C270" i="18"/>
  <c r="G270" i="18" s="1"/>
  <c r="K270" i="18" s="1"/>
  <c r="J269" i="18"/>
  <c r="I269" i="18"/>
  <c r="F269" i="18"/>
  <c r="E269" i="18"/>
  <c r="D269" i="18"/>
  <c r="H269" i="18" s="1"/>
  <c r="C269" i="18"/>
  <c r="G269" i="18" s="1"/>
  <c r="J268" i="18"/>
  <c r="I268" i="18"/>
  <c r="F268" i="18"/>
  <c r="E268" i="18"/>
  <c r="D268" i="18"/>
  <c r="H268" i="18" s="1"/>
  <c r="C268" i="18"/>
  <c r="G268" i="18" s="1"/>
  <c r="K268" i="18" s="1"/>
  <c r="J267" i="18"/>
  <c r="I267" i="18"/>
  <c r="F267" i="18"/>
  <c r="E267" i="18"/>
  <c r="D267" i="18"/>
  <c r="H267" i="18" s="1"/>
  <c r="C267" i="18"/>
  <c r="G267" i="18" s="1"/>
  <c r="K267" i="18" s="1"/>
  <c r="H246" i="18"/>
  <c r="G246" i="18"/>
  <c r="F246" i="18"/>
  <c r="E246" i="18"/>
  <c r="D246" i="18"/>
  <c r="C246" i="18"/>
  <c r="H245" i="18"/>
  <c r="G245" i="18"/>
  <c r="F245" i="18"/>
  <c r="E245" i="18"/>
  <c r="D245" i="18"/>
  <c r="C245" i="18"/>
  <c r="H244" i="18"/>
  <c r="G244" i="18"/>
  <c r="F244" i="18"/>
  <c r="E244" i="18"/>
  <c r="D244" i="18"/>
  <c r="C244" i="18"/>
  <c r="H243" i="18"/>
  <c r="B280" i="18" s="1"/>
  <c r="G243" i="18"/>
  <c r="F243" i="18"/>
  <c r="E243" i="18"/>
  <c r="D243" i="18"/>
  <c r="C243" i="18"/>
  <c r="B225" i="18"/>
  <c r="B227" i="18" s="1"/>
  <c r="B226" i="18" s="1"/>
  <c r="B213" i="18"/>
  <c r="B210" i="18"/>
  <c r="B217" i="18" s="1"/>
  <c r="J190" i="18"/>
  <c r="I190" i="18"/>
  <c r="F190" i="18"/>
  <c r="E190" i="18"/>
  <c r="D190" i="18"/>
  <c r="H190" i="18" s="1"/>
  <c r="C190" i="18"/>
  <c r="G190" i="18" s="1"/>
  <c r="J189" i="18"/>
  <c r="I189" i="18"/>
  <c r="F189" i="18"/>
  <c r="E189" i="18"/>
  <c r="D189" i="18"/>
  <c r="H189" i="18" s="1"/>
  <c r="C189" i="18"/>
  <c r="G189" i="18" s="1"/>
  <c r="K189" i="18" s="1"/>
  <c r="J188" i="18"/>
  <c r="I188" i="18"/>
  <c r="F188" i="18"/>
  <c r="E188" i="18"/>
  <c r="D188" i="18"/>
  <c r="H188" i="18" s="1"/>
  <c r="C188" i="18"/>
  <c r="G188" i="18" s="1"/>
  <c r="L180" i="18"/>
  <c r="I180" i="18"/>
  <c r="G180" i="18"/>
  <c r="F180" i="18"/>
  <c r="M180" i="18" s="1"/>
  <c r="N180" i="18" s="1"/>
  <c r="H180" i="18" s="1"/>
  <c r="E180" i="18"/>
  <c r="D180" i="18"/>
  <c r="C180" i="18"/>
  <c r="H165" i="18"/>
  <c r="G165" i="18"/>
  <c r="F165" i="18"/>
  <c r="E165" i="18"/>
  <c r="D165" i="18"/>
  <c r="C165" i="18"/>
  <c r="H164" i="18"/>
  <c r="B201" i="18" s="1"/>
  <c r="G164" i="18"/>
  <c r="F164" i="18"/>
  <c r="E164" i="18"/>
  <c r="D164" i="18"/>
  <c r="C164" i="18"/>
  <c r="B145" i="18"/>
  <c r="B147" i="18" s="1"/>
  <c r="B146" i="18" s="1"/>
  <c r="B137" i="18"/>
  <c r="B127" i="18"/>
  <c r="B68" i="18"/>
  <c r="B67" i="18"/>
  <c r="B48" i="18"/>
  <c r="B58" i="18" s="1"/>
  <c r="L28" i="18"/>
  <c r="J28" i="18"/>
  <c r="B22" i="18"/>
  <c r="B21" i="18"/>
  <c r="V12" i="18"/>
  <c r="V11" i="18"/>
  <c r="V10" i="18"/>
  <c r="V9" i="18"/>
  <c r="V8" i="18"/>
  <c r="V7" i="18"/>
  <c r="B127" i="17"/>
  <c r="B48" i="17"/>
  <c r="E109" i="17"/>
  <c r="D109" i="17"/>
  <c r="H109" i="17" s="1"/>
  <c r="C109" i="17"/>
  <c r="G109" i="17" s="1"/>
  <c r="E108" i="17"/>
  <c r="D108" i="17"/>
  <c r="H108" i="17" s="1"/>
  <c r="C108" i="17"/>
  <c r="G108" i="17" s="1"/>
  <c r="F92" i="17"/>
  <c r="D92" i="17"/>
  <c r="C92" i="17"/>
  <c r="F91" i="17"/>
  <c r="D91" i="17"/>
  <c r="C91" i="17"/>
  <c r="F90" i="17"/>
  <c r="D90" i="17"/>
  <c r="C90" i="17"/>
  <c r="F89" i="17"/>
  <c r="D89" i="17"/>
  <c r="C89" i="17"/>
  <c r="F88" i="17"/>
  <c r="D88" i="17"/>
  <c r="C88" i="17"/>
  <c r="F87" i="17"/>
  <c r="D87" i="17"/>
  <c r="C87" i="17"/>
  <c r="F86" i="17"/>
  <c r="D86" i="17"/>
  <c r="C86" i="17"/>
  <c r="F85" i="17"/>
  <c r="D85" i="17"/>
  <c r="C85" i="17"/>
  <c r="F84" i="17"/>
  <c r="D84" i="17"/>
  <c r="C84" i="17"/>
  <c r="E34" i="17"/>
  <c r="D34" i="17"/>
  <c r="H34" i="17" s="1"/>
  <c r="C34" i="17"/>
  <c r="G34" i="17" s="1"/>
  <c r="E33" i="17"/>
  <c r="D33" i="17"/>
  <c r="H33" i="17" s="1"/>
  <c r="C33" i="17"/>
  <c r="G33" i="17" s="1"/>
  <c r="K28" i="17"/>
  <c r="D28" i="17"/>
  <c r="C28" i="17"/>
  <c r="F22" i="17"/>
  <c r="C21" i="17"/>
  <c r="B19" i="17"/>
  <c r="F19" i="17" s="1"/>
  <c r="D18" i="17"/>
  <c r="B18" i="17"/>
  <c r="F18" i="17" s="1"/>
  <c r="B17" i="17"/>
  <c r="B16" i="17"/>
  <c r="D15" i="17"/>
  <c r="B15" i="17"/>
  <c r="F15" i="17" s="1"/>
  <c r="B14" i="17"/>
  <c r="F14" i="17" s="1"/>
  <c r="B13" i="17"/>
  <c r="B12" i="17"/>
  <c r="B776" i="17"/>
  <c r="B778" i="17" s="1"/>
  <c r="B777" i="17" s="1"/>
  <c r="G768" i="17"/>
  <c r="B768" i="17"/>
  <c r="B770" i="17" s="1"/>
  <c r="B771" i="17" s="1"/>
  <c r="B764" i="17"/>
  <c r="B761" i="17"/>
  <c r="J750" i="17"/>
  <c r="I750" i="17"/>
  <c r="F750" i="17"/>
  <c r="E750" i="17"/>
  <c r="D750" i="17"/>
  <c r="H750" i="17" s="1"/>
  <c r="C750" i="17"/>
  <c r="G750" i="17" s="1"/>
  <c r="K750" i="17" s="1"/>
  <c r="J749" i="17"/>
  <c r="I749" i="17"/>
  <c r="F749" i="17"/>
  <c r="E749" i="17"/>
  <c r="D749" i="17"/>
  <c r="H749" i="17" s="1"/>
  <c r="C749" i="17"/>
  <c r="G749" i="17" s="1"/>
  <c r="J748" i="17"/>
  <c r="I748" i="17"/>
  <c r="F748" i="17"/>
  <c r="E748" i="17"/>
  <c r="D748" i="17"/>
  <c r="H748" i="17" s="1"/>
  <c r="C748" i="17"/>
  <c r="G748" i="17" s="1"/>
  <c r="K748" i="17" s="1"/>
  <c r="J747" i="17"/>
  <c r="I747" i="17"/>
  <c r="H747" i="17"/>
  <c r="F747" i="17"/>
  <c r="E747" i="17"/>
  <c r="D747" i="17"/>
  <c r="C747" i="17"/>
  <c r="G747" i="17" s="1"/>
  <c r="K747" i="17" s="1"/>
  <c r="J746" i="17"/>
  <c r="I746" i="17"/>
  <c r="F746" i="17"/>
  <c r="E746" i="17"/>
  <c r="D746" i="17"/>
  <c r="H746" i="17" s="1"/>
  <c r="C746" i="17"/>
  <c r="G746" i="17" s="1"/>
  <c r="K746" i="17" s="1"/>
  <c r="J745" i="17"/>
  <c r="I745" i="17"/>
  <c r="H745" i="17"/>
  <c r="F745" i="17"/>
  <c r="E745" i="17"/>
  <c r="D745" i="17"/>
  <c r="C745" i="17"/>
  <c r="G745" i="17" s="1"/>
  <c r="K745" i="17" s="1"/>
  <c r="J744" i="17"/>
  <c r="I744" i="17"/>
  <c r="F744" i="17"/>
  <c r="E744" i="17"/>
  <c r="D744" i="17"/>
  <c r="H744" i="17" s="1"/>
  <c r="C744" i="17"/>
  <c r="G744" i="17" s="1"/>
  <c r="K744" i="17" s="1"/>
  <c r="J743" i="17"/>
  <c r="I743" i="17"/>
  <c r="F743" i="17"/>
  <c r="E743" i="17"/>
  <c r="D743" i="17"/>
  <c r="H743" i="17" s="1"/>
  <c r="C743" i="17"/>
  <c r="G743" i="17" s="1"/>
  <c r="J742" i="17"/>
  <c r="I742" i="17"/>
  <c r="F742" i="17"/>
  <c r="E742" i="17"/>
  <c r="D742" i="17"/>
  <c r="H742" i="17" s="1"/>
  <c r="C742" i="17"/>
  <c r="G742" i="17" s="1"/>
  <c r="K742" i="17" s="1"/>
  <c r="J741" i="17"/>
  <c r="I741" i="17"/>
  <c r="F741" i="17"/>
  <c r="E741" i="17"/>
  <c r="D741" i="17"/>
  <c r="H741" i="17" s="1"/>
  <c r="C741" i="17"/>
  <c r="G741" i="17" s="1"/>
  <c r="J740" i="17"/>
  <c r="I740" i="17"/>
  <c r="F740" i="17"/>
  <c r="E740" i="17"/>
  <c r="D740" i="17"/>
  <c r="H740" i="17" s="1"/>
  <c r="C740" i="17"/>
  <c r="G740" i="17" s="1"/>
  <c r="K740" i="17" s="1"/>
  <c r="J739" i="17"/>
  <c r="I739" i="17"/>
  <c r="H739" i="17"/>
  <c r="F739" i="17"/>
  <c r="E739" i="17"/>
  <c r="D739" i="17"/>
  <c r="C739" i="17"/>
  <c r="G739" i="17" s="1"/>
  <c r="K739" i="17" s="1"/>
  <c r="G731" i="17"/>
  <c r="F731" i="17"/>
  <c r="M731" i="17" s="1"/>
  <c r="N731" i="17" s="1"/>
  <c r="H731" i="17" s="1"/>
  <c r="E731" i="17"/>
  <c r="D731" i="17"/>
  <c r="C731" i="17"/>
  <c r="I731" i="17" s="1"/>
  <c r="L731" i="17" s="1"/>
  <c r="H717" i="17"/>
  <c r="G717" i="17"/>
  <c r="F717" i="17"/>
  <c r="E717" i="17"/>
  <c r="D717" i="17"/>
  <c r="C717" i="17"/>
  <c r="H716" i="17"/>
  <c r="G716" i="17"/>
  <c r="F716" i="17"/>
  <c r="E716" i="17"/>
  <c r="D716" i="17"/>
  <c r="C716" i="17"/>
  <c r="H715" i="17"/>
  <c r="G715" i="17"/>
  <c r="F715" i="17"/>
  <c r="E715" i="17"/>
  <c r="D715" i="17"/>
  <c r="C715" i="17"/>
  <c r="B699" i="17"/>
  <c r="B698" i="17" s="1"/>
  <c r="B697" i="17"/>
  <c r="B689" i="17"/>
  <c r="G689" i="17" s="1"/>
  <c r="B685" i="17"/>
  <c r="B682" i="17"/>
  <c r="J661" i="17"/>
  <c r="I661" i="17"/>
  <c r="F661" i="17"/>
  <c r="E661" i="17"/>
  <c r="D661" i="17"/>
  <c r="H661" i="17" s="1"/>
  <c r="C661" i="17"/>
  <c r="G661" i="17" s="1"/>
  <c r="J660" i="17"/>
  <c r="I660" i="17"/>
  <c r="F660" i="17"/>
  <c r="E660" i="17"/>
  <c r="D660" i="17"/>
  <c r="H660" i="17" s="1"/>
  <c r="C660" i="17"/>
  <c r="G660" i="17" s="1"/>
  <c r="K660" i="17" s="1"/>
  <c r="M652" i="17"/>
  <c r="G652" i="17"/>
  <c r="B673" i="17" s="1"/>
  <c r="F652" i="17"/>
  <c r="E652" i="17"/>
  <c r="D652" i="17"/>
  <c r="C652" i="17"/>
  <c r="I652" i="17" s="1"/>
  <c r="L652" i="17" s="1"/>
  <c r="H637" i="17"/>
  <c r="G637" i="17"/>
  <c r="F637" i="17"/>
  <c r="E637" i="17"/>
  <c r="D637" i="17"/>
  <c r="C637" i="17"/>
  <c r="H636" i="17"/>
  <c r="G636" i="17"/>
  <c r="F636" i="17"/>
  <c r="E636" i="17"/>
  <c r="D636" i="17"/>
  <c r="C636" i="17"/>
  <c r="B620" i="17"/>
  <c r="B619" i="17"/>
  <c r="B618" i="17"/>
  <c r="B607" i="17"/>
  <c r="B606" i="17"/>
  <c r="B603" i="17"/>
  <c r="B610" i="17" s="1"/>
  <c r="B612" i="17" s="1"/>
  <c r="B613" i="17" s="1"/>
  <c r="J583" i="17"/>
  <c r="I583" i="17"/>
  <c r="F583" i="17"/>
  <c r="E583" i="17"/>
  <c r="D583" i="17"/>
  <c r="H583" i="17" s="1"/>
  <c r="C583" i="17"/>
  <c r="G583" i="17" s="1"/>
  <c r="J582" i="17"/>
  <c r="I582" i="17"/>
  <c r="F582" i="17"/>
  <c r="E582" i="17"/>
  <c r="D582" i="17"/>
  <c r="H582" i="17" s="1"/>
  <c r="C582" i="17"/>
  <c r="G582" i="17" s="1"/>
  <c r="K582" i="17" s="1"/>
  <c r="J581" i="17"/>
  <c r="I581" i="17"/>
  <c r="H581" i="17"/>
  <c r="F581" i="17"/>
  <c r="E581" i="17"/>
  <c r="D581" i="17"/>
  <c r="C581" i="17"/>
  <c r="G581" i="17" s="1"/>
  <c r="K581" i="17" s="1"/>
  <c r="G573" i="17"/>
  <c r="F573" i="17"/>
  <c r="M573" i="17" s="1"/>
  <c r="E573" i="17"/>
  <c r="D573" i="17"/>
  <c r="C573" i="17"/>
  <c r="I573" i="17" s="1"/>
  <c r="L573" i="17" s="1"/>
  <c r="H559" i="17"/>
  <c r="G559" i="17"/>
  <c r="F559" i="17"/>
  <c r="E559" i="17"/>
  <c r="D559" i="17"/>
  <c r="C559" i="17"/>
  <c r="H558" i="17"/>
  <c r="G558" i="17"/>
  <c r="F558" i="17"/>
  <c r="E558" i="17"/>
  <c r="D558" i="17"/>
  <c r="C558" i="17"/>
  <c r="H557" i="17"/>
  <c r="B594" i="17" s="1"/>
  <c r="G557" i="17"/>
  <c r="F557" i="17"/>
  <c r="E557" i="17"/>
  <c r="D557" i="17"/>
  <c r="C557" i="17"/>
  <c r="B541" i="17"/>
  <c r="B540" i="17" s="1"/>
  <c r="B539" i="17"/>
  <c r="B531" i="17"/>
  <c r="G531" i="17" s="1"/>
  <c r="B527" i="17"/>
  <c r="B528" i="17" s="1"/>
  <c r="B524" i="17"/>
  <c r="J504" i="17"/>
  <c r="I504" i="17"/>
  <c r="F504" i="17"/>
  <c r="E504" i="17"/>
  <c r="D504" i="17"/>
  <c r="H504" i="17" s="1"/>
  <c r="C504" i="17"/>
  <c r="G504" i="17" s="1"/>
  <c r="K504" i="17" s="1"/>
  <c r="J503" i="17"/>
  <c r="I503" i="17"/>
  <c r="F503" i="17"/>
  <c r="E503" i="17"/>
  <c r="D503" i="17"/>
  <c r="H503" i="17" s="1"/>
  <c r="C503" i="17"/>
  <c r="G503" i="17" s="1"/>
  <c r="J502" i="17"/>
  <c r="I502" i="17"/>
  <c r="F502" i="17"/>
  <c r="E502" i="17"/>
  <c r="D502" i="17"/>
  <c r="H502" i="17" s="1"/>
  <c r="C502" i="17"/>
  <c r="G502" i="17" s="1"/>
  <c r="K502" i="17" s="1"/>
  <c r="H483" i="17"/>
  <c r="G483" i="17"/>
  <c r="F483" i="17"/>
  <c r="E483" i="17"/>
  <c r="D483" i="17"/>
  <c r="C483" i="17"/>
  <c r="H482" i="17"/>
  <c r="G482" i="17"/>
  <c r="F482" i="17"/>
  <c r="E482" i="17"/>
  <c r="D482" i="17"/>
  <c r="C482" i="17"/>
  <c r="H481" i="17"/>
  <c r="G481" i="17"/>
  <c r="F481" i="17"/>
  <c r="E481" i="17"/>
  <c r="D481" i="17"/>
  <c r="C481" i="17"/>
  <c r="H480" i="17"/>
  <c r="G480" i="17"/>
  <c r="F480" i="17"/>
  <c r="E480" i="17"/>
  <c r="D480" i="17"/>
  <c r="C480" i="17"/>
  <c r="H479" i="17"/>
  <c r="G479" i="17"/>
  <c r="F479" i="17"/>
  <c r="E479" i="17"/>
  <c r="D479" i="17"/>
  <c r="C479" i="17"/>
  <c r="H478" i="17"/>
  <c r="B515" i="17" s="1"/>
  <c r="B545" i="17" s="1"/>
  <c r="G478" i="17"/>
  <c r="F478" i="17"/>
  <c r="E478" i="17"/>
  <c r="D478" i="17"/>
  <c r="C478" i="17"/>
  <c r="B461" i="17"/>
  <c r="B463" i="17" s="1"/>
  <c r="B462" i="17" s="1"/>
  <c r="B450" i="17"/>
  <c r="B449" i="17"/>
  <c r="B446" i="17"/>
  <c r="B453" i="17" s="1"/>
  <c r="B455" i="17" s="1"/>
  <c r="B456" i="17" s="1"/>
  <c r="J428" i="17"/>
  <c r="I428" i="17"/>
  <c r="F428" i="17"/>
  <c r="E428" i="17"/>
  <c r="D428" i="17"/>
  <c r="H428" i="17" s="1"/>
  <c r="C428" i="17"/>
  <c r="G428" i="17" s="1"/>
  <c r="J427" i="17"/>
  <c r="I427" i="17"/>
  <c r="F427" i="17"/>
  <c r="E427" i="17"/>
  <c r="D427" i="17"/>
  <c r="H427" i="17" s="1"/>
  <c r="C427" i="17"/>
  <c r="G427" i="17" s="1"/>
  <c r="K427" i="17" s="1"/>
  <c r="J426" i="17"/>
  <c r="I426" i="17"/>
  <c r="H426" i="17"/>
  <c r="F426" i="17"/>
  <c r="E426" i="17"/>
  <c r="D426" i="17"/>
  <c r="C426" i="17"/>
  <c r="G426" i="17" s="1"/>
  <c r="K426" i="17" s="1"/>
  <c r="J425" i="17"/>
  <c r="I425" i="17"/>
  <c r="F425" i="17"/>
  <c r="E425" i="17"/>
  <c r="D425" i="17"/>
  <c r="H425" i="17" s="1"/>
  <c r="C425" i="17"/>
  <c r="G425" i="17" s="1"/>
  <c r="K425" i="17" s="1"/>
  <c r="J424" i="17"/>
  <c r="I424" i="17"/>
  <c r="H424" i="17"/>
  <c r="F424" i="17"/>
  <c r="E424" i="17"/>
  <c r="D424" i="17"/>
  <c r="C424" i="17"/>
  <c r="G424" i="17" s="1"/>
  <c r="K424" i="17" s="1"/>
  <c r="H402" i="17"/>
  <c r="G402" i="17"/>
  <c r="F402" i="17"/>
  <c r="E402" i="17"/>
  <c r="D402" i="17"/>
  <c r="C402" i="17"/>
  <c r="H401" i="17"/>
  <c r="G401" i="17"/>
  <c r="F401" i="17"/>
  <c r="E401" i="17"/>
  <c r="D401" i="17"/>
  <c r="C401" i="17"/>
  <c r="H400" i="17"/>
  <c r="B437" i="17" s="1"/>
  <c r="G400" i="17"/>
  <c r="F400" i="17"/>
  <c r="E400" i="17"/>
  <c r="D400" i="17"/>
  <c r="C400" i="17"/>
  <c r="B383" i="17"/>
  <c r="B385" i="17" s="1"/>
  <c r="B384" i="17" s="1"/>
  <c r="B377" i="17"/>
  <c r="B378" i="17" s="1"/>
  <c r="B375" i="17"/>
  <c r="G375" i="17" s="1"/>
  <c r="B371" i="17"/>
  <c r="B372" i="17" s="1"/>
  <c r="B368" i="17"/>
  <c r="J350" i="17"/>
  <c r="I350" i="17"/>
  <c r="F350" i="17"/>
  <c r="E350" i="17"/>
  <c r="D350" i="17"/>
  <c r="H350" i="17" s="1"/>
  <c r="C350" i="17"/>
  <c r="G350" i="17" s="1"/>
  <c r="K350" i="17" s="1"/>
  <c r="J349" i="17"/>
  <c r="I349" i="17"/>
  <c r="H349" i="17"/>
  <c r="F349" i="17"/>
  <c r="E349" i="17"/>
  <c r="D349" i="17"/>
  <c r="C349" i="17"/>
  <c r="G349" i="17" s="1"/>
  <c r="K349" i="17" s="1"/>
  <c r="J348" i="17"/>
  <c r="I348" i="17"/>
  <c r="F348" i="17"/>
  <c r="E348" i="17"/>
  <c r="D348" i="17"/>
  <c r="H348" i="17" s="1"/>
  <c r="C348" i="17"/>
  <c r="G348" i="17" s="1"/>
  <c r="K348" i="17" s="1"/>
  <c r="J347" i="17"/>
  <c r="I347" i="17"/>
  <c r="H347" i="17"/>
  <c r="F347" i="17"/>
  <c r="E347" i="17"/>
  <c r="D347" i="17"/>
  <c r="C347" i="17"/>
  <c r="G347" i="17" s="1"/>
  <c r="K347" i="17" s="1"/>
  <c r="J346" i="17"/>
  <c r="I346" i="17"/>
  <c r="F346" i="17"/>
  <c r="E346" i="17"/>
  <c r="D346" i="17"/>
  <c r="H346" i="17" s="1"/>
  <c r="C346" i="17"/>
  <c r="G346" i="17" s="1"/>
  <c r="H325" i="17"/>
  <c r="G325" i="17"/>
  <c r="F325" i="17"/>
  <c r="E325" i="17"/>
  <c r="D325" i="17"/>
  <c r="C325" i="17"/>
  <c r="H324" i="17"/>
  <c r="G324" i="17"/>
  <c r="F324" i="17"/>
  <c r="E324" i="17"/>
  <c r="D324" i="17"/>
  <c r="C324" i="17"/>
  <c r="H323" i="17"/>
  <c r="G323" i="17"/>
  <c r="F323" i="17"/>
  <c r="E323" i="17"/>
  <c r="D323" i="17"/>
  <c r="C323" i="17"/>
  <c r="H322" i="17"/>
  <c r="B359" i="17" s="1"/>
  <c r="B389" i="17" s="1"/>
  <c r="G322" i="17"/>
  <c r="F322" i="17"/>
  <c r="E322" i="17"/>
  <c r="D322" i="17"/>
  <c r="C322" i="17"/>
  <c r="B305" i="17"/>
  <c r="B304" i="17"/>
  <c r="B306" i="17" s="1"/>
  <c r="B299" i="17"/>
  <c r="G296" i="17"/>
  <c r="B296" i="17"/>
  <c r="B298" i="17" s="1"/>
  <c r="B292" i="17"/>
  <c r="B289" i="17"/>
  <c r="J270" i="17"/>
  <c r="I270" i="17"/>
  <c r="F270" i="17"/>
  <c r="E270" i="17"/>
  <c r="D270" i="17"/>
  <c r="H270" i="17" s="1"/>
  <c r="C270" i="17"/>
  <c r="G270" i="17" s="1"/>
  <c r="K270" i="17" s="1"/>
  <c r="J269" i="17"/>
  <c r="I269" i="17"/>
  <c r="H269" i="17"/>
  <c r="F269" i="17"/>
  <c r="E269" i="17"/>
  <c r="D269" i="17"/>
  <c r="C269" i="17"/>
  <c r="G269" i="17" s="1"/>
  <c r="K269" i="17" s="1"/>
  <c r="J268" i="17"/>
  <c r="I268" i="17"/>
  <c r="F268" i="17"/>
  <c r="E268" i="17"/>
  <c r="D268" i="17"/>
  <c r="H268" i="17" s="1"/>
  <c r="C268" i="17"/>
  <c r="G268" i="17" s="1"/>
  <c r="K268" i="17" s="1"/>
  <c r="J267" i="17"/>
  <c r="I267" i="17"/>
  <c r="F267" i="17"/>
  <c r="E267" i="17"/>
  <c r="D267" i="17"/>
  <c r="H267" i="17" s="1"/>
  <c r="C267" i="17"/>
  <c r="G267" i="17" s="1"/>
  <c r="H246" i="17"/>
  <c r="G246" i="17"/>
  <c r="F246" i="17"/>
  <c r="E246" i="17"/>
  <c r="D246" i="17"/>
  <c r="C246" i="17"/>
  <c r="H245" i="17"/>
  <c r="G245" i="17"/>
  <c r="F245" i="17"/>
  <c r="E245" i="17"/>
  <c r="D245" i="17"/>
  <c r="C245" i="17"/>
  <c r="H244" i="17"/>
  <c r="G244" i="17"/>
  <c r="F244" i="17"/>
  <c r="E244" i="17"/>
  <c r="D244" i="17"/>
  <c r="C244" i="17"/>
  <c r="H243" i="17"/>
  <c r="G243" i="17"/>
  <c r="F243" i="17"/>
  <c r="E243" i="17"/>
  <c r="D243" i="17"/>
  <c r="C243" i="17"/>
  <c r="B227" i="17"/>
  <c r="B226" i="17" s="1"/>
  <c r="B225" i="17"/>
  <c r="B217" i="17"/>
  <c r="G217" i="17" s="1"/>
  <c r="B213" i="17"/>
  <c r="B210" i="17"/>
  <c r="J190" i="17"/>
  <c r="I190" i="17"/>
  <c r="F190" i="17"/>
  <c r="E190" i="17"/>
  <c r="D190" i="17"/>
  <c r="H190" i="17" s="1"/>
  <c r="C190" i="17"/>
  <c r="G190" i="17" s="1"/>
  <c r="J189" i="17"/>
  <c r="I189" i="17"/>
  <c r="F189" i="17"/>
  <c r="E189" i="17"/>
  <c r="D189" i="17"/>
  <c r="H189" i="17" s="1"/>
  <c r="C189" i="17"/>
  <c r="G189" i="17" s="1"/>
  <c r="K189" i="17" s="1"/>
  <c r="J188" i="17"/>
  <c r="I188" i="17"/>
  <c r="H188" i="17"/>
  <c r="F188" i="17"/>
  <c r="E188" i="17"/>
  <c r="D188" i="17"/>
  <c r="C188" i="17"/>
  <c r="G188" i="17" s="1"/>
  <c r="K188" i="17" s="1"/>
  <c r="N180" i="17"/>
  <c r="L180" i="17"/>
  <c r="I180" i="17"/>
  <c r="H180" i="17"/>
  <c r="G180" i="17"/>
  <c r="F180" i="17"/>
  <c r="M180" i="17" s="1"/>
  <c r="E180" i="17"/>
  <c r="D180" i="17"/>
  <c r="C180" i="17"/>
  <c r="H165" i="17"/>
  <c r="G165" i="17"/>
  <c r="F165" i="17"/>
  <c r="E165" i="17"/>
  <c r="D165" i="17"/>
  <c r="C165" i="17"/>
  <c r="H164" i="17"/>
  <c r="B201" i="17" s="1"/>
  <c r="G164" i="17"/>
  <c r="F164" i="17"/>
  <c r="E164" i="17"/>
  <c r="D164" i="17"/>
  <c r="C164" i="17"/>
  <c r="B22" i="17"/>
  <c r="B21" i="17"/>
  <c r="F21" i="17" s="1"/>
  <c r="V12" i="17"/>
  <c r="V11" i="17"/>
  <c r="V10" i="17"/>
  <c r="V9" i="17"/>
  <c r="V8" i="17"/>
  <c r="V7" i="17"/>
  <c r="K33" i="18" l="1"/>
  <c r="D19" i="17"/>
  <c r="E21" i="17"/>
  <c r="C22" i="17"/>
  <c r="D21" i="17"/>
  <c r="C14" i="17"/>
  <c r="D14" i="17"/>
  <c r="C18" i="17"/>
  <c r="D22" i="17"/>
  <c r="K33" i="17"/>
  <c r="K34" i="18"/>
  <c r="F14" i="18"/>
  <c r="F13" i="18"/>
  <c r="C14" i="18"/>
  <c r="C13" i="18"/>
  <c r="D14" i="18"/>
  <c r="E15" i="18"/>
  <c r="C17" i="18"/>
  <c r="D18" i="18"/>
  <c r="E19" i="18"/>
  <c r="F18" i="18"/>
  <c r="F17" i="18"/>
  <c r="C18" i="18"/>
  <c r="D13" i="18"/>
  <c r="D17" i="18"/>
  <c r="B674" i="18"/>
  <c r="B704" i="18" s="1"/>
  <c r="B703" i="18"/>
  <c r="B231" i="18"/>
  <c r="B202" i="18"/>
  <c r="B232" i="18" s="1"/>
  <c r="G217" i="18"/>
  <c r="B219" i="18"/>
  <c r="B220" i="18" s="1"/>
  <c r="K109" i="18"/>
  <c r="K188" i="18"/>
  <c r="B438" i="18"/>
  <c r="B468" i="18" s="1"/>
  <c r="B467" i="18"/>
  <c r="B60" i="18"/>
  <c r="B61" i="18" s="1"/>
  <c r="G58" i="18"/>
  <c r="B310" i="18"/>
  <c r="B281" i="18"/>
  <c r="B311" i="18" s="1"/>
  <c r="B595" i="18"/>
  <c r="B625" i="18" s="1"/>
  <c r="B624" i="18"/>
  <c r="G137" i="18"/>
  <c r="B139" i="18"/>
  <c r="B140" i="18" s="1"/>
  <c r="K269" i="18"/>
  <c r="B359" i="18"/>
  <c r="G453" i="18"/>
  <c r="B516" i="18"/>
  <c r="B546" i="18" s="1"/>
  <c r="B533" i="18"/>
  <c r="B534" i="18" s="1"/>
  <c r="G610" i="18"/>
  <c r="N652" i="18"/>
  <c r="H652" i="18" s="1"/>
  <c r="B691" i="18"/>
  <c r="B692" i="18" s="1"/>
  <c r="B752" i="18"/>
  <c r="K743" i="18"/>
  <c r="K749" i="18"/>
  <c r="K190" i="18"/>
  <c r="K428" i="18"/>
  <c r="K503" i="18"/>
  <c r="K583" i="18"/>
  <c r="K661" i="18"/>
  <c r="K741" i="18"/>
  <c r="F16" i="17"/>
  <c r="C17" i="17"/>
  <c r="D12" i="17"/>
  <c r="C15" i="17"/>
  <c r="D16" i="17"/>
  <c r="C19" i="17"/>
  <c r="F13" i="17"/>
  <c r="F17" i="17"/>
  <c r="F12" i="17"/>
  <c r="C13" i="17"/>
  <c r="C12" i="17"/>
  <c r="D13" i="17"/>
  <c r="C16" i="17"/>
  <c r="D17" i="17"/>
  <c r="K109" i="17"/>
  <c r="K34" i="17"/>
  <c r="B438" i="17"/>
  <c r="B468" i="17" s="1"/>
  <c r="B467" i="17"/>
  <c r="B674" i="17"/>
  <c r="B704" i="17" s="1"/>
  <c r="B703" i="17"/>
  <c r="B202" i="17"/>
  <c r="B232" i="17" s="1"/>
  <c r="B231" i="17"/>
  <c r="B360" i="17"/>
  <c r="B390" i="17" s="1"/>
  <c r="K346" i="17"/>
  <c r="B595" i="17"/>
  <c r="B625" i="17" s="1"/>
  <c r="B624" i="17"/>
  <c r="N573" i="17"/>
  <c r="H573" i="17" s="1"/>
  <c r="B219" i="17"/>
  <c r="B220" i="17" s="1"/>
  <c r="K267" i="17"/>
  <c r="G453" i="17"/>
  <c r="B516" i="17"/>
  <c r="B546" i="17" s="1"/>
  <c r="B533" i="17"/>
  <c r="B534" i="17" s="1"/>
  <c r="G610" i="17"/>
  <c r="N652" i="17"/>
  <c r="H652" i="17" s="1"/>
  <c r="B691" i="17"/>
  <c r="B692" i="17" s="1"/>
  <c r="B752" i="17"/>
  <c r="K743" i="17"/>
  <c r="K749" i="17"/>
  <c r="K108" i="17"/>
  <c r="K190" i="17"/>
  <c r="B280" i="17"/>
  <c r="K428" i="17"/>
  <c r="K503" i="17"/>
  <c r="K583" i="17"/>
  <c r="K661" i="17"/>
  <c r="K741" i="17"/>
  <c r="B389" i="18" l="1"/>
  <c r="B360" i="18"/>
  <c r="B390" i="18" s="1"/>
  <c r="B753" i="18"/>
  <c r="B783" i="18" s="1"/>
  <c r="B782" i="18"/>
  <c r="B310" i="17"/>
  <c r="B281" i="17"/>
  <c r="B311" i="17" s="1"/>
  <c r="B782" i="17"/>
  <c r="B753" i="17"/>
  <c r="B783" i="17" s="1"/>
  <c r="AE57" i="16" l="1"/>
  <c r="AD57" i="16"/>
  <c r="AE56" i="16"/>
  <c r="AE53" i="16" s="1"/>
  <c r="AD56" i="16"/>
  <c r="AE55" i="16"/>
  <c r="AD55" i="16"/>
  <c r="AG53" i="16"/>
  <c r="AD50" i="16"/>
  <c r="AG49" i="16"/>
  <c r="AE49" i="16"/>
  <c r="AE46" i="16"/>
  <c r="AD46" i="16"/>
  <c r="AE45" i="16"/>
  <c r="AD45" i="16"/>
  <c r="AE44" i="16"/>
  <c r="AD44" i="16"/>
  <c r="AE43" i="16"/>
  <c r="AE40" i="16" s="1"/>
  <c r="AD43" i="16"/>
  <c r="AE42" i="16"/>
  <c r="AD42" i="16"/>
  <c r="AA40" i="16" s="1"/>
  <c r="Q14" i="16" s="1"/>
  <c r="F28" i="18" s="1"/>
  <c r="M28" i="18" s="1"/>
  <c r="N28" i="18" s="1"/>
  <c r="H28" i="18" s="1"/>
  <c r="AG40" i="16"/>
  <c r="AD36" i="16"/>
  <c r="AG35" i="16"/>
  <c r="AE35" i="16"/>
  <c r="AE32" i="16"/>
  <c r="AD32" i="16"/>
  <c r="AE31" i="16"/>
  <c r="AD31" i="16"/>
  <c r="AE30" i="16"/>
  <c r="AD30" i="16"/>
  <c r="AE29" i="16"/>
  <c r="AG27" i="16" s="1"/>
  <c r="AD29" i="16"/>
  <c r="AE25" i="16"/>
  <c r="AD25" i="16"/>
  <c r="AE24" i="16"/>
  <c r="AD24" i="16"/>
  <c r="AE23" i="16"/>
  <c r="AD23" i="16"/>
  <c r="AG21" i="16"/>
  <c r="AE21" i="16"/>
  <c r="AE19" i="16"/>
  <c r="AD19" i="16"/>
  <c r="AE18" i="16"/>
  <c r="AG13" i="16" s="1"/>
  <c r="AD18" i="16"/>
  <c r="AE17" i="16"/>
  <c r="AD17" i="16"/>
  <c r="AA13" i="16" s="1"/>
  <c r="AE16" i="16"/>
  <c r="AE15" i="16"/>
  <c r="AD15" i="16"/>
  <c r="AE13" i="16"/>
  <c r="AE10" i="16"/>
  <c r="AD10" i="16"/>
  <c r="AE9" i="16"/>
  <c r="AD9" i="16"/>
  <c r="AE8" i="16"/>
  <c r="AA8" i="16"/>
  <c r="AE7" i="16"/>
  <c r="AE5" i="16" s="1"/>
  <c r="AD7" i="16"/>
  <c r="AG5" i="16"/>
  <c r="AA5" i="16"/>
  <c r="AC7" i="12"/>
  <c r="AD7" i="12"/>
  <c r="AD5" i="12" s="1"/>
  <c r="Z8" i="12"/>
  <c r="AD8" i="12"/>
  <c r="AC9" i="12"/>
  <c r="Z5" i="12" s="1"/>
  <c r="AD9" i="12"/>
  <c r="AC10" i="12"/>
  <c r="AD10" i="12"/>
  <c r="AF5" i="12" s="1"/>
  <c r="Z13" i="12"/>
  <c r="AC15" i="12"/>
  <c r="AD15" i="12"/>
  <c r="AC16" i="12"/>
  <c r="AD16" i="12"/>
  <c r="AC17" i="12"/>
  <c r="AD17" i="12"/>
  <c r="AD13" i="12" s="1"/>
  <c r="AC19" i="12"/>
  <c r="AD19" i="12"/>
  <c r="AC20" i="12"/>
  <c r="AD20" i="12"/>
  <c r="AF13" i="12" s="1"/>
  <c r="AC21" i="12"/>
  <c r="AD21" i="12"/>
  <c r="AD23" i="12"/>
  <c r="AC25" i="12"/>
  <c r="AD25" i="12"/>
  <c r="AF23" i="12" s="1"/>
  <c r="AC26" i="12"/>
  <c r="Z23" i="12" s="1"/>
  <c r="AD26" i="12"/>
  <c r="AC27" i="12"/>
  <c r="AD27" i="12"/>
  <c r="Z29" i="12"/>
  <c r="AC31" i="12"/>
  <c r="AD31" i="12"/>
  <c r="AD29" i="12" s="1"/>
  <c r="AC32" i="12"/>
  <c r="AD32" i="12"/>
  <c r="AC33" i="12"/>
  <c r="AD33" i="12"/>
  <c r="AC34" i="12"/>
  <c r="AD34" i="12"/>
  <c r="AD37" i="12"/>
  <c r="AF37" i="12"/>
  <c r="AC38" i="12"/>
  <c r="AC44" i="12"/>
  <c r="Z42" i="12" s="1"/>
  <c r="AD44" i="12"/>
  <c r="AC45" i="12"/>
  <c r="AD45" i="12"/>
  <c r="AF42" i="12" s="1"/>
  <c r="AC46" i="12"/>
  <c r="AD46" i="12"/>
  <c r="AC47" i="12"/>
  <c r="AD47" i="12"/>
  <c r="AC48" i="12"/>
  <c r="AD48" i="12"/>
  <c r="AD51" i="12"/>
  <c r="AC52" i="12"/>
  <c r="AC55" i="12"/>
  <c r="Z53" i="12" s="1"/>
  <c r="AD55" i="12"/>
  <c r="AC56" i="12"/>
  <c r="AD56" i="12"/>
  <c r="AD53" i="12" s="1"/>
  <c r="AF51" i="12" s="1"/>
  <c r="AC57" i="12"/>
  <c r="AD57" i="12"/>
  <c r="DA79" i="16"/>
  <c r="DA78" i="16"/>
  <c r="DA77" i="16"/>
  <c r="DA76" i="16"/>
  <c r="DA75" i="16"/>
  <c r="DA73" i="16"/>
  <c r="DA72" i="16"/>
  <c r="DA71" i="16"/>
  <c r="DA70" i="16"/>
  <c r="DA68" i="16"/>
  <c r="DA67" i="16"/>
  <c r="DA66" i="16"/>
  <c r="DA65" i="16"/>
  <c r="DA63" i="16"/>
  <c r="DA62" i="16"/>
  <c r="DA61" i="16"/>
  <c r="DA59" i="16"/>
  <c r="DA58" i="16"/>
  <c r="DA57" i="16"/>
  <c r="DA56" i="16"/>
  <c r="DA55" i="16"/>
  <c r="DA54" i="16"/>
  <c r="DA53" i="16"/>
  <c r="DA52" i="16"/>
  <c r="CC52" i="16"/>
  <c r="DA51" i="16"/>
  <c r="CC51" i="16"/>
  <c r="DA50" i="16"/>
  <c r="CC50" i="16"/>
  <c r="BN50" i="16"/>
  <c r="DA49" i="16"/>
  <c r="CM49" i="16"/>
  <c r="CL49" i="16"/>
  <c r="CC49" i="16"/>
  <c r="CM46" i="16" s="1"/>
  <c r="BN49" i="16"/>
  <c r="DA48" i="16"/>
  <c r="CM48" i="16"/>
  <c r="CL48" i="16"/>
  <c r="CC48" i="16"/>
  <c r="BN48" i="16"/>
  <c r="CL47" i="16" s="1"/>
  <c r="DA47" i="16"/>
  <c r="CM47" i="16"/>
  <c r="CC47" i="16"/>
  <c r="BN47" i="16"/>
  <c r="CL46" i="16" s="1"/>
  <c r="DA46" i="16"/>
  <c r="CC46" i="16"/>
  <c r="CM43" i="16" s="1"/>
  <c r="BN46" i="16"/>
  <c r="DA45" i="16"/>
  <c r="CM45" i="16"/>
  <c r="CL45" i="16"/>
  <c r="CC45" i="16"/>
  <c r="BN45" i="16"/>
  <c r="DA44" i="16"/>
  <c r="CM44" i="16"/>
  <c r="CL44" i="16"/>
  <c r="CC44" i="16"/>
  <c r="BN44" i="16"/>
  <c r="CL43" i="16" s="1"/>
  <c r="BN43" i="16"/>
  <c r="DA42" i="16"/>
  <c r="CM42" i="16"/>
  <c r="CL42" i="16"/>
  <c r="CC42" i="16"/>
  <c r="BN42" i="16"/>
  <c r="DA41" i="16"/>
  <c r="CM41" i="16"/>
  <c r="CL41" i="16"/>
  <c r="CC41" i="16"/>
  <c r="CM38" i="16" s="1"/>
  <c r="O41" i="16"/>
  <c r="DA40" i="16"/>
  <c r="CC40" i="16"/>
  <c r="CM37" i="16" s="1"/>
  <c r="BN40" i="16"/>
  <c r="AR40" i="16"/>
  <c r="DA39" i="16"/>
  <c r="CM39" i="16"/>
  <c r="CL39" i="16"/>
  <c r="CC39" i="16"/>
  <c r="BN39" i="16"/>
  <c r="CL38" i="16" s="1"/>
  <c r="DA38" i="16"/>
  <c r="BN38" i="16"/>
  <c r="CL37" i="16" s="1"/>
  <c r="DA37" i="16"/>
  <c r="CC37" i="16"/>
  <c r="CM34" i="16" s="1"/>
  <c r="BN37" i="16"/>
  <c r="DA36" i="16"/>
  <c r="CM36" i="16"/>
  <c r="CL36" i="16"/>
  <c r="CC36" i="16"/>
  <c r="G36" i="16"/>
  <c r="B36" i="16" s="1"/>
  <c r="DA35" i="16"/>
  <c r="CC35" i="16"/>
  <c r="BN35" i="16"/>
  <c r="DA34" i="16"/>
  <c r="CL34" i="16"/>
  <c r="CC34" i="16"/>
  <c r="BN34" i="16"/>
  <c r="DA33" i="16"/>
  <c r="CM33" i="16"/>
  <c r="CL33" i="16"/>
  <c r="CC33" i="16"/>
  <c r="BN33" i="16"/>
  <c r="DA32" i="16"/>
  <c r="CM32" i="16"/>
  <c r="CL32" i="16"/>
  <c r="CC32" i="16"/>
  <c r="CM29" i="16" s="1"/>
  <c r="BN32" i="16"/>
  <c r="CL31" i="16" s="1"/>
  <c r="CM31" i="16"/>
  <c r="BN31" i="16"/>
  <c r="CL30" i="16" s="1"/>
  <c r="DA30" i="16"/>
  <c r="CM30" i="16"/>
  <c r="CC30" i="16"/>
  <c r="BN30" i="16"/>
  <c r="CL29" i="16" s="1"/>
  <c r="DA29" i="16"/>
  <c r="CC29" i="16"/>
  <c r="DA28" i="16"/>
  <c r="CC28" i="16"/>
  <c r="CM25" i="16" s="1"/>
  <c r="BN28" i="16"/>
  <c r="CL27" i="16" s="1"/>
  <c r="DA27" i="16"/>
  <c r="CM27" i="16"/>
  <c r="BN27" i="16"/>
  <c r="CM26" i="16"/>
  <c r="CL26" i="16"/>
  <c r="CC26" i="16"/>
  <c r="CM23" i="16" s="1"/>
  <c r="BN26" i="16"/>
  <c r="CL25" i="16" s="1"/>
  <c r="B26" i="16"/>
  <c r="CE25" i="16"/>
  <c r="CC25" i="16"/>
  <c r="O25" i="16"/>
  <c r="DA24" i="16"/>
  <c r="CE24" i="16"/>
  <c r="CC24" i="16"/>
  <c r="BN24" i="16"/>
  <c r="Q24" i="16"/>
  <c r="G91" i="18" s="1"/>
  <c r="DA23" i="16"/>
  <c r="CL23" i="16"/>
  <c r="CE23" i="16"/>
  <c r="CC23" i="16"/>
  <c r="BN23" i="16"/>
  <c r="AR23" i="16"/>
  <c r="Q23" i="16"/>
  <c r="DA22" i="16"/>
  <c r="CM22" i="16"/>
  <c r="CL22" i="16"/>
  <c r="CE22" i="16"/>
  <c r="CC22" i="16"/>
  <c r="BN22" i="16"/>
  <c r="Q22" i="16"/>
  <c r="G89" i="18" s="1"/>
  <c r="DA21" i="16"/>
  <c r="CM21" i="16"/>
  <c r="CL21" i="16"/>
  <c r="CE21" i="16"/>
  <c r="CC21" i="16"/>
  <c r="BN21" i="16"/>
  <c r="Q21" i="16"/>
  <c r="G88" i="18" s="1"/>
  <c r="DA20" i="16"/>
  <c r="CM20" i="16"/>
  <c r="CL20" i="16"/>
  <c r="BN20" i="16"/>
  <c r="O20" i="16"/>
  <c r="DA19" i="16"/>
  <c r="CM19" i="16"/>
  <c r="CL19" i="16"/>
  <c r="CC19" i="16"/>
  <c r="CM16" i="16" s="1"/>
  <c r="BN19" i="16"/>
  <c r="B19" i="16"/>
  <c r="DA18" i="16"/>
  <c r="CM18" i="16"/>
  <c r="CL18" i="16"/>
  <c r="CC18" i="16"/>
  <c r="O18" i="16"/>
  <c r="DA17" i="16"/>
  <c r="CC17" i="16"/>
  <c r="CM14" i="16" s="1"/>
  <c r="BN17" i="16"/>
  <c r="CL16" i="16" s="1"/>
  <c r="DA16" i="16"/>
  <c r="CC16" i="16"/>
  <c r="BN16" i="16"/>
  <c r="Q16" i="16"/>
  <c r="G22" i="18" s="1"/>
  <c r="O16" i="16"/>
  <c r="S16" i="16" s="1"/>
  <c r="T16" i="16" s="1"/>
  <c r="DA15" i="16"/>
  <c r="CM15" i="16"/>
  <c r="CL15" i="16"/>
  <c r="BN15" i="16"/>
  <c r="DA14" i="16"/>
  <c r="CL14" i="16"/>
  <c r="BN14" i="16"/>
  <c r="DA13" i="16"/>
  <c r="CM13" i="16"/>
  <c r="CL13" i="16"/>
  <c r="CC13" i="16"/>
  <c r="Q13" i="16"/>
  <c r="G19" i="18" s="1"/>
  <c r="O13" i="16"/>
  <c r="H13" i="16"/>
  <c r="O24" i="16" s="1"/>
  <c r="S24" i="16" s="1"/>
  <c r="T24" i="16" s="1"/>
  <c r="DA12" i="16"/>
  <c r="CC12" i="16"/>
  <c r="BN12" i="16"/>
  <c r="Q12" i="16"/>
  <c r="G18" i="18" s="1"/>
  <c r="H12" i="16"/>
  <c r="O23" i="16" s="1"/>
  <c r="S23" i="16" s="1"/>
  <c r="T23" i="16" s="1"/>
  <c r="DA11" i="16"/>
  <c r="CM11" i="16"/>
  <c r="CL11" i="16"/>
  <c r="CC11" i="16"/>
  <c r="BN11" i="16"/>
  <c r="Q11" i="16"/>
  <c r="G17" i="18" s="1"/>
  <c r="H11" i="16"/>
  <c r="O22" i="16" s="1"/>
  <c r="DA10" i="16"/>
  <c r="CM10" i="16"/>
  <c r="CL10" i="16"/>
  <c r="BN10" i="16"/>
  <c r="Q10" i="16"/>
  <c r="G16" i="18" s="1"/>
  <c r="H10" i="16"/>
  <c r="O21" i="16" s="1"/>
  <c r="DA9" i="16"/>
  <c r="CM9" i="16"/>
  <c r="CL9" i="16"/>
  <c r="CC9" i="16"/>
  <c r="CM6" i="16" s="1"/>
  <c r="BN9" i="16"/>
  <c r="O9" i="16"/>
  <c r="H9" i="16"/>
  <c r="DA8" i="16"/>
  <c r="CM8" i="16"/>
  <c r="CL8" i="16"/>
  <c r="CC8" i="16"/>
  <c r="H8" i="16"/>
  <c r="O12" i="16" s="1"/>
  <c r="DA7" i="16"/>
  <c r="CC7" i="16"/>
  <c r="BN7" i="16"/>
  <c r="O7" i="16"/>
  <c r="H7" i="16"/>
  <c r="G4" i="16" s="1"/>
  <c r="B7" i="16"/>
  <c r="G34" i="16" s="1"/>
  <c r="DA6" i="16"/>
  <c r="CL6" i="16"/>
  <c r="CC6" i="16"/>
  <c r="BN6" i="16"/>
  <c r="H6" i="16"/>
  <c r="O10" i="16" s="1"/>
  <c r="B6" i="16"/>
  <c r="B23" i="16" s="1"/>
  <c r="B24" i="16" s="1"/>
  <c r="DA5" i="16"/>
  <c r="CM5" i="16"/>
  <c r="CL5" i="16"/>
  <c r="BN5" i="16"/>
  <c r="CL4" i="16" s="1"/>
  <c r="CM4" i="16"/>
  <c r="BN4" i="16"/>
  <c r="CL3" i="16" s="1"/>
  <c r="B4" i="16"/>
  <c r="O43" i="16" s="1"/>
  <c r="CM3" i="16"/>
  <c r="AD36" i="15"/>
  <c r="AG35" i="15"/>
  <c r="AE35" i="15"/>
  <c r="AE10" i="15"/>
  <c r="AD10" i="15"/>
  <c r="AE9" i="15"/>
  <c r="AD9" i="15"/>
  <c r="AA5" i="15" s="1"/>
  <c r="Q15" i="15" s="1"/>
  <c r="AE8" i="15"/>
  <c r="AA8" i="15"/>
  <c r="AE7" i="15"/>
  <c r="AE5" i="15" s="1"/>
  <c r="AD7" i="15"/>
  <c r="AG5" i="15"/>
  <c r="DA79" i="15"/>
  <c r="DA78" i="15"/>
  <c r="DA77" i="15"/>
  <c r="DA76" i="15"/>
  <c r="DA75" i="15"/>
  <c r="DA73" i="15"/>
  <c r="DA72" i="15"/>
  <c r="DA71" i="15"/>
  <c r="DA70" i="15"/>
  <c r="DA68" i="15"/>
  <c r="DA67" i="15"/>
  <c r="DA66" i="15"/>
  <c r="DA65" i="15"/>
  <c r="DA63" i="15"/>
  <c r="DA62" i="15"/>
  <c r="DA61" i="15"/>
  <c r="DA59" i="15"/>
  <c r="DA58" i="15"/>
  <c r="DA57" i="15"/>
  <c r="AE57" i="15"/>
  <c r="AD57" i="15"/>
  <c r="DA56" i="15"/>
  <c r="AE56" i="15"/>
  <c r="AG53" i="15" s="1"/>
  <c r="AD56" i="15"/>
  <c r="DA55" i="15"/>
  <c r="AE55" i="15"/>
  <c r="AD55" i="15"/>
  <c r="AA53" i="15" s="1"/>
  <c r="DA54" i="15"/>
  <c r="DA53" i="15"/>
  <c r="AE53" i="15"/>
  <c r="DA52" i="15"/>
  <c r="CC52" i="15"/>
  <c r="DA51" i="15"/>
  <c r="CC51" i="15"/>
  <c r="DA50" i="15"/>
  <c r="CC50" i="15"/>
  <c r="BN50" i="15"/>
  <c r="AD50" i="15"/>
  <c r="DA49" i="15"/>
  <c r="CM49" i="15"/>
  <c r="CL49" i="15"/>
  <c r="CC49" i="15"/>
  <c r="BN49" i="15"/>
  <c r="CL48" i="15" s="1"/>
  <c r="AG49" i="15"/>
  <c r="AE49" i="15"/>
  <c r="DA48" i="15"/>
  <c r="CM48" i="15"/>
  <c r="CC48" i="15"/>
  <c r="BN48" i="15"/>
  <c r="CL47" i="15" s="1"/>
  <c r="DA47" i="15"/>
  <c r="CM47" i="15"/>
  <c r="CC47" i="15"/>
  <c r="BN47" i="15"/>
  <c r="CL46" i="15" s="1"/>
  <c r="DA46" i="15"/>
  <c r="CM46" i="15"/>
  <c r="CC46" i="15"/>
  <c r="CM43" i="15" s="1"/>
  <c r="BN46" i="15"/>
  <c r="AE46" i="15"/>
  <c r="AD46" i="15"/>
  <c r="DA45" i="15"/>
  <c r="CM45" i="15"/>
  <c r="CL45" i="15"/>
  <c r="CC45" i="15"/>
  <c r="BN45" i="15"/>
  <c r="CL44" i="15" s="1"/>
  <c r="AE45" i="15"/>
  <c r="AD45" i="15"/>
  <c r="DA44" i="15"/>
  <c r="CM44" i="15"/>
  <c r="CC44" i="15"/>
  <c r="BN44" i="15"/>
  <c r="AE44" i="15"/>
  <c r="AD44" i="15"/>
  <c r="CL43" i="15"/>
  <c r="BN43" i="15"/>
  <c r="AE43" i="15"/>
  <c r="AD43" i="15"/>
  <c r="DA42" i="15"/>
  <c r="CM42" i="15"/>
  <c r="CL42" i="15"/>
  <c r="CC42" i="15"/>
  <c r="BN42" i="15"/>
  <c r="CL41" i="15" s="1"/>
  <c r="AE42" i="15"/>
  <c r="AD42" i="15"/>
  <c r="AA40" i="15" s="1"/>
  <c r="Q14" i="15" s="1"/>
  <c r="F28" i="17" s="1"/>
  <c r="M28" i="17" s="1"/>
  <c r="DA41" i="15"/>
  <c r="CM41" i="15"/>
  <c r="CC41" i="15"/>
  <c r="CM38" i="15" s="1"/>
  <c r="O41" i="15"/>
  <c r="DA40" i="15"/>
  <c r="CC40" i="15"/>
  <c r="CM37" i="15" s="1"/>
  <c r="BN40" i="15"/>
  <c r="CL39" i="15" s="1"/>
  <c r="AR40" i="15"/>
  <c r="DA39" i="15"/>
  <c r="CM39" i="15"/>
  <c r="CC39" i="15"/>
  <c r="CM36" i="15" s="1"/>
  <c r="BN39" i="15"/>
  <c r="DA38" i="15"/>
  <c r="CL38" i="15"/>
  <c r="BN38" i="15"/>
  <c r="CL37" i="15" s="1"/>
  <c r="DA37" i="15"/>
  <c r="CC37" i="15"/>
  <c r="CM34" i="15" s="1"/>
  <c r="BN37" i="15"/>
  <c r="CL36" i="15" s="1"/>
  <c r="DA36" i="15"/>
  <c r="CC36" i="15"/>
  <c r="CM33" i="15" s="1"/>
  <c r="G36" i="15"/>
  <c r="B36" i="15"/>
  <c r="DA35" i="15"/>
  <c r="CC35" i="15"/>
  <c r="CM32" i="15" s="1"/>
  <c r="BN35" i="15"/>
  <c r="CL34" i="15" s="1"/>
  <c r="DA34" i="15"/>
  <c r="CC34" i="15"/>
  <c r="BN34" i="15"/>
  <c r="CL33" i="15" s="1"/>
  <c r="DA33" i="15"/>
  <c r="CC33" i="15"/>
  <c r="BN33" i="15"/>
  <c r="CL32" i="15" s="1"/>
  <c r="DA32" i="15"/>
  <c r="CC32" i="15"/>
  <c r="CM29" i="15" s="1"/>
  <c r="BN32" i="15"/>
  <c r="AE32" i="15"/>
  <c r="AD32" i="15"/>
  <c r="CM31" i="15"/>
  <c r="CL31" i="15"/>
  <c r="BN31" i="15"/>
  <c r="AE31" i="15"/>
  <c r="AD31" i="15"/>
  <c r="DA30" i="15"/>
  <c r="CM30" i="15"/>
  <c r="CL30" i="15"/>
  <c r="CC30" i="15"/>
  <c r="BN30" i="15"/>
  <c r="CL29" i="15" s="1"/>
  <c r="AE30" i="15"/>
  <c r="AD30" i="15"/>
  <c r="AA27" i="15" s="1"/>
  <c r="DA29" i="15"/>
  <c r="CC29" i="15"/>
  <c r="CM26" i="15" s="1"/>
  <c r="AE29" i="15"/>
  <c r="AG27" i="15" s="1"/>
  <c r="AD29" i="15"/>
  <c r="DA28" i="15"/>
  <c r="CC28" i="15"/>
  <c r="BN28" i="15"/>
  <c r="CL27" i="15" s="1"/>
  <c r="DA27" i="15"/>
  <c r="CM27" i="15"/>
  <c r="BN27" i="15"/>
  <c r="CL26" i="15" s="1"/>
  <c r="CC26" i="15"/>
  <c r="CM23" i="15" s="1"/>
  <c r="BN26" i="15"/>
  <c r="B26" i="15"/>
  <c r="CM25" i="15"/>
  <c r="CL25" i="15"/>
  <c r="CC25" i="15"/>
  <c r="CE25" i="15" s="1"/>
  <c r="AE25" i="15"/>
  <c r="AD25" i="15"/>
  <c r="O25" i="15"/>
  <c r="DA24" i="15"/>
  <c r="CE24" i="15"/>
  <c r="CC24" i="15"/>
  <c r="CM21" i="15" s="1"/>
  <c r="BN24" i="15"/>
  <c r="CL23" i="15" s="1"/>
  <c r="AE24" i="15"/>
  <c r="AD24" i="15"/>
  <c r="Q24" i="15"/>
  <c r="G91" i="17" s="1"/>
  <c r="DA23" i="15"/>
  <c r="CE23" i="15"/>
  <c r="CC23" i="15"/>
  <c r="BN23" i="15"/>
  <c r="CL22" i="15" s="1"/>
  <c r="AR23" i="15"/>
  <c r="AE23" i="15"/>
  <c r="AE21" i="15" s="1"/>
  <c r="AD23" i="15"/>
  <c r="Q23" i="15"/>
  <c r="G90" i="17" s="1"/>
  <c r="DA22" i="15"/>
  <c r="CM22" i="15"/>
  <c r="CE22" i="15"/>
  <c r="CC22" i="15"/>
  <c r="BN22" i="15"/>
  <c r="Q22" i="15"/>
  <c r="G89" i="17" s="1"/>
  <c r="DA21" i="15"/>
  <c r="CL21" i="15"/>
  <c r="CE21" i="15"/>
  <c r="CC21" i="15"/>
  <c r="BN21" i="15"/>
  <c r="AG21" i="15"/>
  <c r="AA21" i="15"/>
  <c r="Q21" i="15"/>
  <c r="G88" i="17" s="1"/>
  <c r="DA20" i="15"/>
  <c r="CM20" i="15"/>
  <c r="CL20" i="15"/>
  <c r="BN20" i="15"/>
  <c r="CL19" i="15" s="1"/>
  <c r="O20" i="15"/>
  <c r="DA19" i="15"/>
  <c r="CM19" i="15"/>
  <c r="CC19" i="15"/>
  <c r="CM16" i="15" s="1"/>
  <c r="BN19" i="15"/>
  <c r="CL18" i="15" s="1"/>
  <c r="AE19" i="15"/>
  <c r="AG13" i="15" s="1"/>
  <c r="U18" i="15" s="1"/>
  <c r="AD19" i="15"/>
  <c r="B19" i="15"/>
  <c r="DA18" i="15"/>
  <c r="CM18" i="15"/>
  <c r="CC18" i="15"/>
  <c r="CM15" i="15" s="1"/>
  <c r="AE18" i="15"/>
  <c r="AD18" i="15"/>
  <c r="O18" i="15"/>
  <c r="E85" i="17" s="1"/>
  <c r="DA17" i="15"/>
  <c r="CC17" i="15"/>
  <c r="BN17" i="15"/>
  <c r="AE17" i="15"/>
  <c r="AD17" i="15"/>
  <c r="AA13" i="15" s="1"/>
  <c r="DA16" i="15"/>
  <c r="CL16" i="15"/>
  <c r="CC16" i="15"/>
  <c r="CM13" i="15" s="1"/>
  <c r="BN16" i="15"/>
  <c r="CL15" i="15" s="1"/>
  <c r="AE16" i="15"/>
  <c r="Q16" i="15"/>
  <c r="O16" i="15"/>
  <c r="U16" i="15" s="1"/>
  <c r="DA15" i="15"/>
  <c r="BN15" i="15"/>
  <c r="CL14" i="15" s="1"/>
  <c r="AE15" i="15"/>
  <c r="AE13" i="15" s="1"/>
  <c r="AD15" i="15"/>
  <c r="DA14" i="15"/>
  <c r="CM14" i="15"/>
  <c r="BN14" i="15"/>
  <c r="DA13" i="15"/>
  <c r="CL13" i="15"/>
  <c r="CC13" i="15"/>
  <c r="Q13" i="15"/>
  <c r="G19" i="17" s="1"/>
  <c r="H13" i="15"/>
  <c r="O24" i="15" s="1"/>
  <c r="E91" i="17" s="1"/>
  <c r="DA12" i="15"/>
  <c r="CC12" i="15"/>
  <c r="CM9" i="15" s="1"/>
  <c r="BN12" i="15"/>
  <c r="CL11" i="15" s="1"/>
  <c r="Q12" i="15"/>
  <c r="G18" i="17" s="1"/>
  <c r="H12" i="15"/>
  <c r="DA11" i="15"/>
  <c r="CM11" i="15"/>
  <c r="CC11" i="15"/>
  <c r="CM8" i="15" s="1"/>
  <c r="BN11" i="15"/>
  <c r="Q11" i="15"/>
  <c r="G17" i="17" s="1"/>
  <c r="H11" i="15"/>
  <c r="O22" i="15" s="1"/>
  <c r="E89" i="17" s="1"/>
  <c r="DA10" i="15"/>
  <c r="CM10" i="15"/>
  <c r="CL10" i="15"/>
  <c r="BN10" i="15"/>
  <c r="Q10" i="15"/>
  <c r="G16" i="17" s="1"/>
  <c r="H10" i="15"/>
  <c r="O21" i="15" s="1"/>
  <c r="E88" i="17" s="1"/>
  <c r="DA9" i="15"/>
  <c r="CL9" i="15"/>
  <c r="CC9" i="15"/>
  <c r="CM6" i="15" s="1"/>
  <c r="BN9" i="15"/>
  <c r="O9" i="15"/>
  <c r="H9" i="15"/>
  <c r="O13" i="15" s="1"/>
  <c r="E19" i="17" s="1"/>
  <c r="DA8" i="15"/>
  <c r="CL8" i="15"/>
  <c r="CC8" i="15"/>
  <c r="H8" i="15"/>
  <c r="O12" i="15" s="1"/>
  <c r="E18" i="17" s="1"/>
  <c r="DA7" i="15"/>
  <c r="CC7" i="15"/>
  <c r="BN7" i="15"/>
  <c r="O7" i="15"/>
  <c r="H7" i="15"/>
  <c r="O11" i="15" s="1"/>
  <c r="E17" i="17" s="1"/>
  <c r="B7" i="15"/>
  <c r="B66" i="17" s="1"/>
  <c r="B68" i="17" s="1"/>
  <c r="B67" i="17" s="1"/>
  <c r="DA6" i="15"/>
  <c r="CL6" i="15"/>
  <c r="CC6" i="15"/>
  <c r="BN6" i="15"/>
  <c r="CL5" i="15" s="1"/>
  <c r="H6" i="15"/>
  <c r="O10" i="15" s="1"/>
  <c r="B6" i="15"/>
  <c r="B23" i="15" s="1"/>
  <c r="B24" i="15" s="1"/>
  <c r="DA5" i="15"/>
  <c r="CM5" i="15"/>
  <c r="BN5" i="15"/>
  <c r="CL4" i="15" s="1"/>
  <c r="U15" i="15"/>
  <c r="CM4" i="15"/>
  <c r="BN4" i="15"/>
  <c r="CL3" i="15" s="1"/>
  <c r="B4" i="15"/>
  <c r="CM3" i="15"/>
  <c r="R23" i="16" l="1"/>
  <c r="H90" i="18" s="1"/>
  <c r="G90" i="18"/>
  <c r="Q30" i="15"/>
  <c r="Q31" i="15"/>
  <c r="Q9" i="15"/>
  <c r="G15" i="17" s="1"/>
  <c r="Q7" i="15"/>
  <c r="G13" i="17" s="1"/>
  <c r="Q6" i="15"/>
  <c r="G12" i="17" s="1"/>
  <c r="Q20" i="15"/>
  <c r="G87" i="17" s="1"/>
  <c r="Q8" i="15"/>
  <c r="G14" i="17" s="1"/>
  <c r="O14" i="15"/>
  <c r="R14" i="15" s="1"/>
  <c r="G28" i="17" s="1"/>
  <c r="Q27" i="15"/>
  <c r="I34" i="17" s="1"/>
  <c r="AE27" i="15"/>
  <c r="U20" i="15"/>
  <c r="E87" i="17"/>
  <c r="E92" i="17"/>
  <c r="U10" i="15"/>
  <c r="E16" i="17"/>
  <c r="U7" i="15"/>
  <c r="E13" i="17"/>
  <c r="U9" i="15"/>
  <c r="E15" i="17"/>
  <c r="S16" i="15"/>
  <c r="T16" i="15" s="1"/>
  <c r="E22" i="17"/>
  <c r="R15" i="15"/>
  <c r="H21" i="17" s="1"/>
  <c r="G21" i="17"/>
  <c r="R16" i="15"/>
  <c r="G22" i="17"/>
  <c r="R12" i="16"/>
  <c r="H18" i="18" s="1"/>
  <c r="U12" i="16"/>
  <c r="R16" i="16"/>
  <c r="H22" i="18" s="1"/>
  <c r="U20" i="16"/>
  <c r="R7" i="15"/>
  <c r="H13" i="17" s="1"/>
  <c r="R20" i="15"/>
  <c r="H87" i="17" s="1"/>
  <c r="R10" i="15"/>
  <c r="H16" i="17" s="1"/>
  <c r="S9" i="15"/>
  <c r="T9" i="15" s="1"/>
  <c r="Q7" i="16"/>
  <c r="Q6" i="16"/>
  <c r="G12" i="18" s="1"/>
  <c r="Q17" i="16"/>
  <c r="G84" i="18" s="1"/>
  <c r="U22" i="16"/>
  <c r="U16" i="16"/>
  <c r="AE27" i="16"/>
  <c r="U21" i="16"/>
  <c r="U9" i="16"/>
  <c r="U7" i="16"/>
  <c r="AD42" i="12"/>
  <c r="AF29" i="12"/>
  <c r="AF53" i="12"/>
  <c r="S20" i="16"/>
  <c r="T20" i="16" s="1"/>
  <c r="S9" i="16"/>
  <c r="T9" i="16" s="1"/>
  <c r="S18" i="16"/>
  <c r="T18" i="16" s="1"/>
  <c r="S7" i="16"/>
  <c r="T7" i="16" s="1"/>
  <c r="U10" i="16"/>
  <c r="S10" i="16"/>
  <c r="T10" i="16" s="1"/>
  <c r="Q15" i="16"/>
  <c r="Q25" i="16"/>
  <c r="R10" i="16"/>
  <c r="Q30" i="16"/>
  <c r="Q31" i="16"/>
  <c r="U15" i="16"/>
  <c r="U25" i="16"/>
  <c r="Q26" i="16"/>
  <c r="Q29" i="16"/>
  <c r="F20" i="16"/>
  <c r="R35" i="16"/>
  <c r="F9" i="16"/>
  <c r="F6" i="16"/>
  <c r="F22" i="16"/>
  <c r="F21" i="16"/>
  <c r="F8" i="16"/>
  <c r="S25" i="16"/>
  <c r="T25" i="16" s="1"/>
  <c r="S15" i="16"/>
  <c r="T15" i="16" s="1"/>
  <c r="U13" i="16"/>
  <c r="F7" i="16"/>
  <c r="B8" i="16"/>
  <c r="Q8" i="16"/>
  <c r="G14" i="18" s="1"/>
  <c r="Q9" i="16"/>
  <c r="F10" i="16"/>
  <c r="F11" i="16"/>
  <c r="F12" i="16"/>
  <c r="S12" i="16"/>
  <c r="T12" i="16" s="1"/>
  <c r="F13" i="16"/>
  <c r="O14" i="16"/>
  <c r="F16" i="16"/>
  <c r="S21" i="16"/>
  <c r="T21" i="16" s="1"/>
  <c r="S22" i="16"/>
  <c r="T22" i="16" s="1"/>
  <c r="U24" i="16"/>
  <c r="C43" i="16"/>
  <c r="O11" i="16"/>
  <c r="R13" i="16"/>
  <c r="H19" i="18" s="1"/>
  <c r="F18" i="16"/>
  <c r="R24" i="16"/>
  <c r="H91" i="18" s="1"/>
  <c r="F17" i="16"/>
  <c r="Q28" i="16"/>
  <c r="I109" i="18" s="1"/>
  <c r="U23" i="16"/>
  <c r="S13" i="16"/>
  <c r="T13" i="16" s="1"/>
  <c r="Q19" i="16"/>
  <c r="G86" i="18" s="1"/>
  <c r="Q18" i="16"/>
  <c r="U18" i="16"/>
  <c r="Q20" i="16"/>
  <c r="R21" i="16"/>
  <c r="R22" i="16"/>
  <c r="H89" i="18" s="1"/>
  <c r="Q27" i="16"/>
  <c r="I34" i="18" s="1"/>
  <c r="B34" i="16"/>
  <c r="R22" i="15"/>
  <c r="H89" i="17" s="1"/>
  <c r="U24" i="15"/>
  <c r="S24" i="15"/>
  <c r="T24" i="15" s="1"/>
  <c r="S11" i="15"/>
  <c r="T11" i="15" s="1"/>
  <c r="R11" i="15"/>
  <c r="H17" i="17" s="1"/>
  <c r="U11" i="15"/>
  <c r="S12" i="15"/>
  <c r="T12" i="15" s="1"/>
  <c r="U12" i="15"/>
  <c r="S25" i="15"/>
  <c r="T25" i="15" s="1"/>
  <c r="S15" i="15"/>
  <c r="T15" i="15" s="1"/>
  <c r="G4" i="15"/>
  <c r="F12" i="15" s="1"/>
  <c r="S7" i="15"/>
  <c r="T7" i="15" s="1"/>
  <c r="S21" i="15"/>
  <c r="T21" i="15" s="1"/>
  <c r="U21" i="15"/>
  <c r="S10" i="15"/>
  <c r="T10" i="15" s="1"/>
  <c r="R13" i="15"/>
  <c r="H19" i="17" s="1"/>
  <c r="S18" i="15"/>
  <c r="T18" i="15" s="1"/>
  <c r="S20" i="15"/>
  <c r="T20" i="15" s="1"/>
  <c r="R24" i="15"/>
  <c r="H91" i="17" s="1"/>
  <c r="U13" i="15"/>
  <c r="S13" i="15"/>
  <c r="T13" i="15" s="1"/>
  <c r="G34" i="15"/>
  <c r="B54" i="17" s="1"/>
  <c r="C43" i="15"/>
  <c r="B34" i="15"/>
  <c r="S22" i="15"/>
  <c r="T22" i="15" s="1"/>
  <c r="U22" i="15"/>
  <c r="Q19" i="15"/>
  <c r="G86" i="17" s="1"/>
  <c r="Q18" i="15"/>
  <c r="R21" i="15"/>
  <c r="Q25" i="15"/>
  <c r="F17" i="15"/>
  <c r="F18" i="15"/>
  <c r="Q26" i="15"/>
  <c r="Q29" i="15"/>
  <c r="AE40" i="15"/>
  <c r="AG40" i="15"/>
  <c r="O43" i="15"/>
  <c r="F16" i="15"/>
  <c r="B8" i="15"/>
  <c r="R12" i="15"/>
  <c r="H18" i="17" s="1"/>
  <c r="Q17" i="15"/>
  <c r="G84" i="17" s="1"/>
  <c r="Q28" i="15"/>
  <c r="I109" i="17" s="1"/>
  <c r="U25" i="15"/>
  <c r="O23" i="15"/>
  <c r="E90" i="17" s="1"/>
  <c r="DA16" i="6"/>
  <c r="DA78" i="6"/>
  <c r="DA79" i="6"/>
  <c r="DA77" i="6"/>
  <c r="R20" i="16" l="1"/>
  <c r="H87" i="18" s="1"/>
  <c r="G87" i="18"/>
  <c r="R25" i="16"/>
  <c r="H92" i="18" s="1"/>
  <c r="G92" i="18"/>
  <c r="R18" i="16"/>
  <c r="H85" i="18" s="1"/>
  <c r="G85" i="18"/>
  <c r="I108" i="18"/>
  <c r="I33" i="18"/>
  <c r="R15" i="16"/>
  <c r="H21" i="18" s="1"/>
  <c r="G21" i="18"/>
  <c r="AP39" i="16"/>
  <c r="H88" i="18"/>
  <c r="R9" i="16"/>
  <c r="H15" i="18" s="1"/>
  <c r="G15" i="18"/>
  <c r="H16" i="18"/>
  <c r="R7" i="16"/>
  <c r="H13" i="18" s="1"/>
  <c r="G13" i="18"/>
  <c r="I108" i="17"/>
  <c r="I33" i="17"/>
  <c r="U14" i="15"/>
  <c r="AP12" i="15" s="1"/>
  <c r="R9" i="15"/>
  <c r="H15" i="17" s="1"/>
  <c r="H22" i="17"/>
  <c r="R25" i="15"/>
  <c r="H92" i="17" s="1"/>
  <c r="G92" i="17"/>
  <c r="AP24" i="15"/>
  <c r="AP20" i="15"/>
  <c r="DG33" i="15" s="1"/>
  <c r="E28" i="17"/>
  <c r="I28" i="17"/>
  <c r="J28" i="17" s="1"/>
  <c r="L28" i="17" s="1"/>
  <c r="N28" i="17" s="1"/>
  <c r="H28" i="17" s="1"/>
  <c r="H88" i="17"/>
  <c r="O26" i="15"/>
  <c r="S14" i="15"/>
  <c r="T14" i="15" s="1"/>
  <c r="R18" i="15"/>
  <c r="H85" i="17" s="1"/>
  <c r="G85" i="17"/>
  <c r="AP9" i="15"/>
  <c r="B51" i="17"/>
  <c r="B58" i="17" s="1"/>
  <c r="B35" i="16"/>
  <c r="B35" i="15"/>
  <c r="F8" i="15"/>
  <c r="DG28" i="16"/>
  <c r="AZ9" i="16"/>
  <c r="CK8" i="16" s="1"/>
  <c r="O30" i="16"/>
  <c r="R30" i="16" s="1"/>
  <c r="O31" i="16"/>
  <c r="R31" i="16" s="1"/>
  <c r="O17" i="16"/>
  <c r="O19" i="16"/>
  <c r="R19" i="16" s="1"/>
  <c r="H86" i="18" s="1"/>
  <c r="O6" i="16"/>
  <c r="G35" i="16"/>
  <c r="F24" i="16"/>
  <c r="O29" i="16"/>
  <c r="U11" i="16"/>
  <c r="S11" i="16"/>
  <c r="T11" i="16" s="1"/>
  <c r="R11" i="16"/>
  <c r="AP22" i="16" s="1"/>
  <c r="S14" i="16"/>
  <c r="O26" i="16"/>
  <c r="U14" i="16"/>
  <c r="AP12" i="16" s="1"/>
  <c r="R14" i="16"/>
  <c r="G28" i="18" s="1"/>
  <c r="AZ30" i="16"/>
  <c r="CK29" i="16" s="1"/>
  <c r="DG61" i="16"/>
  <c r="R26" i="16"/>
  <c r="O46" i="15"/>
  <c r="G35" i="15"/>
  <c r="B133" i="17" s="1"/>
  <c r="B145" i="17" s="1"/>
  <c r="B147" i="17" s="1"/>
  <c r="B146" i="17" s="1"/>
  <c r="F24" i="15"/>
  <c r="O29" i="15"/>
  <c r="R29" i="15" s="1"/>
  <c r="O30" i="15"/>
  <c r="O19" i="15"/>
  <c r="O31" i="15"/>
  <c r="O17" i="15"/>
  <c r="O6" i="15"/>
  <c r="S23" i="15"/>
  <c r="T23" i="15" s="1"/>
  <c r="U23" i="15"/>
  <c r="F10" i="15"/>
  <c r="R26" i="15"/>
  <c r="R23" i="15"/>
  <c r="H90" i="17" s="1"/>
  <c r="F9" i="15"/>
  <c r="U26" i="15"/>
  <c r="S26" i="15"/>
  <c r="DG28" i="15"/>
  <c r="AZ9" i="15"/>
  <c r="CK8" i="15" s="1"/>
  <c r="AZ24" i="15"/>
  <c r="CK23" i="15" s="1"/>
  <c r="DG36" i="15"/>
  <c r="F20" i="15"/>
  <c r="F22" i="15"/>
  <c r="F21" i="15"/>
  <c r="R35" i="15"/>
  <c r="F7" i="15"/>
  <c r="F13" i="15"/>
  <c r="F11" i="15"/>
  <c r="F6" i="15"/>
  <c r="B127" i="14"/>
  <c r="B48" i="14"/>
  <c r="B127" i="13"/>
  <c r="B48" i="13"/>
  <c r="F33" i="3"/>
  <c r="E33" i="3"/>
  <c r="B133" i="14"/>
  <c r="B130" i="14"/>
  <c r="F109" i="14"/>
  <c r="E109" i="14"/>
  <c r="D109" i="14"/>
  <c r="H109" i="14" s="1"/>
  <c r="C109" i="14"/>
  <c r="G109" i="14" s="1"/>
  <c r="F108" i="14"/>
  <c r="E108" i="14"/>
  <c r="D108" i="14"/>
  <c r="H108" i="14" s="1"/>
  <c r="C108" i="14"/>
  <c r="G108" i="14" s="1"/>
  <c r="F92" i="14"/>
  <c r="E92" i="14"/>
  <c r="D92" i="14"/>
  <c r="C92" i="14"/>
  <c r="F91" i="14"/>
  <c r="E91" i="14"/>
  <c r="D91" i="14"/>
  <c r="C91" i="14"/>
  <c r="G90" i="14"/>
  <c r="F90" i="14"/>
  <c r="E90" i="14"/>
  <c r="D90" i="14"/>
  <c r="C90" i="14"/>
  <c r="F89" i="14"/>
  <c r="E89" i="14"/>
  <c r="D89" i="14"/>
  <c r="C89" i="14"/>
  <c r="G88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B66" i="14"/>
  <c r="B54" i="14"/>
  <c r="B51" i="14"/>
  <c r="F34" i="14"/>
  <c r="E34" i="14"/>
  <c r="D34" i="14"/>
  <c r="H34" i="14" s="1"/>
  <c r="C34" i="14"/>
  <c r="G34" i="14" s="1"/>
  <c r="F33" i="14"/>
  <c r="E33" i="14"/>
  <c r="D33" i="14"/>
  <c r="H33" i="14" s="1"/>
  <c r="C33" i="14"/>
  <c r="G33" i="14" s="1"/>
  <c r="K28" i="14"/>
  <c r="I28" i="14"/>
  <c r="E28" i="14"/>
  <c r="D28" i="14"/>
  <c r="C28" i="14"/>
  <c r="F22" i="14"/>
  <c r="E22" i="14"/>
  <c r="D22" i="14"/>
  <c r="C22" i="14"/>
  <c r="F21" i="14"/>
  <c r="E21" i="14"/>
  <c r="D21" i="14"/>
  <c r="C21" i="14"/>
  <c r="E19" i="14"/>
  <c r="D19" i="14"/>
  <c r="C19" i="14"/>
  <c r="B19" i="14"/>
  <c r="F19" i="14" s="1"/>
  <c r="B18" i="14"/>
  <c r="E18" i="14" s="1"/>
  <c r="E17" i="14"/>
  <c r="B17" i="14"/>
  <c r="E16" i="14"/>
  <c r="D16" i="14"/>
  <c r="B16" i="14"/>
  <c r="E15" i="14"/>
  <c r="D15" i="14"/>
  <c r="C15" i="14"/>
  <c r="B15" i="14"/>
  <c r="F15" i="14" s="1"/>
  <c r="B14" i="14"/>
  <c r="E14" i="14" s="1"/>
  <c r="E13" i="14"/>
  <c r="B13" i="14"/>
  <c r="E12" i="14"/>
  <c r="D12" i="14"/>
  <c r="B12" i="14"/>
  <c r="B778" i="14"/>
  <c r="B777" i="14"/>
  <c r="B776" i="14"/>
  <c r="G768" i="14"/>
  <c r="B764" i="14"/>
  <c r="B761" i="14"/>
  <c r="B768" i="14" s="1"/>
  <c r="B770" i="14" s="1"/>
  <c r="B771" i="14" s="1"/>
  <c r="J750" i="14"/>
  <c r="I750" i="14"/>
  <c r="F750" i="14"/>
  <c r="E750" i="14"/>
  <c r="D750" i="14"/>
  <c r="H750" i="14" s="1"/>
  <c r="C750" i="14"/>
  <c r="G750" i="14" s="1"/>
  <c r="J749" i="14"/>
  <c r="I749" i="14"/>
  <c r="F749" i="14"/>
  <c r="E749" i="14"/>
  <c r="D749" i="14"/>
  <c r="H749" i="14" s="1"/>
  <c r="C749" i="14"/>
  <c r="G749" i="14" s="1"/>
  <c r="K749" i="14" s="1"/>
  <c r="J748" i="14"/>
  <c r="I748" i="14"/>
  <c r="F748" i="14"/>
  <c r="E748" i="14"/>
  <c r="D748" i="14"/>
  <c r="H748" i="14" s="1"/>
  <c r="C748" i="14"/>
  <c r="G748" i="14" s="1"/>
  <c r="K748" i="14" s="1"/>
  <c r="J747" i="14"/>
  <c r="I747" i="14"/>
  <c r="F747" i="14"/>
  <c r="E747" i="14"/>
  <c r="D747" i="14"/>
  <c r="H747" i="14" s="1"/>
  <c r="C747" i="14"/>
  <c r="G747" i="14" s="1"/>
  <c r="J746" i="14"/>
  <c r="I746" i="14"/>
  <c r="F746" i="14"/>
  <c r="E746" i="14"/>
  <c r="D746" i="14"/>
  <c r="H746" i="14" s="1"/>
  <c r="C746" i="14"/>
  <c r="G746" i="14" s="1"/>
  <c r="J745" i="14"/>
  <c r="I745" i="14"/>
  <c r="F745" i="14"/>
  <c r="E745" i="14"/>
  <c r="D745" i="14"/>
  <c r="H745" i="14" s="1"/>
  <c r="C745" i="14"/>
  <c r="G745" i="14" s="1"/>
  <c r="K745" i="14" s="1"/>
  <c r="J744" i="14"/>
  <c r="I744" i="14"/>
  <c r="F744" i="14"/>
  <c r="E744" i="14"/>
  <c r="D744" i="14"/>
  <c r="H744" i="14" s="1"/>
  <c r="C744" i="14"/>
  <c r="G744" i="14" s="1"/>
  <c r="K744" i="14" s="1"/>
  <c r="J743" i="14"/>
  <c r="I743" i="14"/>
  <c r="F743" i="14"/>
  <c r="E743" i="14"/>
  <c r="D743" i="14"/>
  <c r="H743" i="14" s="1"/>
  <c r="C743" i="14"/>
  <c r="G743" i="14" s="1"/>
  <c r="J742" i="14"/>
  <c r="I742" i="14"/>
  <c r="F742" i="14"/>
  <c r="E742" i="14"/>
  <c r="D742" i="14"/>
  <c r="H742" i="14" s="1"/>
  <c r="C742" i="14"/>
  <c r="G742" i="14" s="1"/>
  <c r="J741" i="14"/>
  <c r="I741" i="14"/>
  <c r="F741" i="14"/>
  <c r="E741" i="14"/>
  <c r="D741" i="14"/>
  <c r="H741" i="14" s="1"/>
  <c r="C741" i="14"/>
  <c r="G741" i="14" s="1"/>
  <c r="K741" i="14" s="1"/>
  <c r="J740" i="14"/>
  <c r="I740" i="14"/>
  <c r="F740" i="14"/>
  <c r="E740" i="14"/>
  <c r="D740" i="14"/>
  <c r="H740" i="14" s="1"/>
  <c r="C740" i="14"/>
  <c r="G740" i="14" s="1"/>
  <c r="K740" i="14" s="1"/>
  <c r="J739" i="14"/>
  <c r="I739" i="14"/>
  <c r="F739" i="14"/>
  <c r="E739" i="14"/>
  <c r="D739" i="14"/>
  <c r="H739" i="14" s="1"/>
  <c r="C739" i="14"/>
  <c r="G739" i="14" s="1"/>
  <c r="M731" i="14"/>
  <c r="N731" i="14" s="1"/>
  <c r="H731" i="14" s="1"/>
  <c r="L731" i="14"/>
  <c r="G731" i="14"/>
  <c r="F731" i="14"/>
  <c r="E731" i="14"/>
  <c r="D731" i="14"/>
  <c r="C731" i="14"/>
  <c r="I731" i="14" s="1"/>
  <c r="H717" i="14"/>
  <c r="G717" i="14"/>
  <c r="F717" i="14"/>
  <c r="E717" i="14"/>
  <c r="D717" i="14"/>
  <c r="C717" i="14"/>
  <c r="H716" i="14"/>
  <c r="G716" i="14"/>
  <c r="F716" i="14"/>
  <c r="E716" i="14"/>
  <c r="D716" i="14"/>
  <c r="C716" i="14"/>
  <c r="H715" i="14"/>
  <c r="G715" i="14"/>
  <c r="F715" i="14"/>
  <c r="E715" i="14"/>
  <c r="D715" i="14"/>
  <c r="C715" i="14"/>
  <c r="B699" i="14"/>
  <c r="B698" i="14" s="1"/>
  <c r="B697" i="14"/>
  <c r="B692" i="14"/>
  <c r="B691" i="14"/>
  <c r="B685" i="14"/>
  <c r="B682" i="14"/>
  <c r="B689" i="14" s="1"/>
  <c r="G689" i="14" s="1"/>
  <c r="J661" i="14"/>
  <c r="I661" i="14"/>
  <c r="F661" i="14"/>
  <c r="E661" i="14"/>
  <c r="D661" i="14"/>
  <c r="H661" i="14" s="1"/>
  <c r="C661" i="14"/>
  <c r="G661" i="14" s="1"/>
  <c r="K661" i="14" s="1"/>
  <c r="J660" i="14"/>
  <c r="I660" i="14"/>
  <c r="F660" i="14"/>
  <c r="E660" i="14"/>
  <c r="D660" i="14"/>
  <c r="H660" i="14" s="1"/>
  <c r="C660" i="14"/>
  <c r="G660" i="14" s="1"/>
  <c r="L652" i="14"/>
  <c r="I652" i="14"/>
  <c r="G652" i="14"/>
  <c r="F652" i="14"/>
  <c r="M652" i="14" s="1"/>
  <c r="N652" i="14" s="1"/>
  <c r="H652" i="14" s="1"/>
  <c r="E652" i="14"/>
  <c r="D652" i="14"/>
  <c r="C652" i="14"/>
  <c r="H637" i="14"/>
  <c r="G637" i="14"/>
  <c r="F637" i="14"/>
  <c r="E637" i="14"/>
  <c r="D637" i="14"/>
  <c r="C637" i="14"/>
  <c r="H636" i="14"/>
  <c r="B673" i="14" s="1"/>
  <c r="B703" i="14" s="1"/>
  <c r="G636" i="14"/>
  <c r="F636" i="14"/>
  <c r="E636" i="14"/>
  <c r="D636" i="14"/>
  <c r="C636" i="14"/>
  <c r="B618" i="14"/>
  <c r="B620" i="14" s="1"/>
  <c r="B619" i="14" s="1"/>
  <c r="B610" i="14"/>
  <c r="B607" i="14"/>
  <c r="B606" i="14"/>
  <c r="B603" i="14"/>
  <c r="J583" i="14"/>
  <c r="I583" i="14"/>
  <c r="H583" i="14"/>
  <c r="F583" i="14"/>
  <c r="E583" i="14"/>
  <c r="D583" i="14"/>
  <c r="C583" i="14"/>
  <c r="G583" i="14" s="1"/>
  <c r="K583" i="14" s="1"/>
  <c r="J582" i="14"/>
  <c r="I582" i="14"/>
  <c r="F582" i="14"/>
  <c r="E582" i="14"/>
  <c r="D582" i="14"/>
  <c r="H582" i="14" s="1"/>
  <c r="C582" i="14"/>
  <c r="G582" i="14" s="1"/>
  <c r="J581" i="14"/>
  <c r="B594" i="14" s="1"/>
  <c r="I581" i="14"/>
  <c r="F581" i="14"/>
  <c r="E581" i="14"/>
  <c r="D581" i="14"/>
  <c r="H581" i="14" s="1"/>
  <c r="C581" i="14"/>
  <c r="G581" i="14" s="1"/>
  <c r="K581" i="14" s="1"/>
  <c r="M573" i="14"/>
  <c r="I573" i="14"/>
  <c r="L573" i="14" s="1"/>
  <c r="N573" i="14" s="1"/>
  <c r="H573" i="14" s="1"/>
  <c r="G573" i="14"/>
  <c r="F573" i="14"/>
  <c r="E573" i="14"/>
  <c r="D573" i="14"/>
  <c r="C573" i="14"/>
  <c r="H559" i="14"/>
  <c r="G559" i="14"/>
  <c r="F559" i="14"/>
  <c r="E559" i="14"/>
  <c r="D559" i="14"/>
  <c r="C559" i="14"/>
  <c r="H558" i="14"/>
  <c r="G558" i="14"/>
  <c r="F558" i="14"/>
  <c r="E558" i="14"/>
  <c r="D558" i="14"/>
  <c r="C558" i="14"/>
  <c r="H557" i="14"/>
  <c r="G557" i="14"/>
  <c r="F557" i="14"/>
  <c r="E557" i="14"/>
  <c r="D557" i="14"/>
  <c r="C557" i="14"/>
  <c r="B539" i="14"/>
  <c r="B541" i="14" s="1"/>
  <c r="B540" i="14" s="1"/>
  <c r="B528" i="14"/>
  <c r="B527" i="14"/>
  <c r="B524" i="14"/>
  <c r="B531" i="14" s="1"/>
  <c r="J504" i="14"/>
  <c r="I504" i="14"/>
  <c r="F504" i="14"/>
  <c r="E504" i="14"/>
  <c r="D504" i="14"/>
  <c r="H504" i="14" s="1"/>
  <c r="C504" i="14"/>
  <c r="G504" i="14" s="1"/>
  <c r="K504" i="14" s="1"/>
  <c r="J503" i="14"/>
  <c r="I503" i="14"/>
  <c r="F503" i="14"/>
  <c r="E503" i="14"/>
  <c r="D503" i="14"/>
  <c r="H503" i="14" s="1"/>
  <c r="C503" i="14"/>
  <c r="G503" i="14" s="1"/>
  <c r="K503" i="14" s="1"/>
  <c r="J502" i="14"/>
  <c r="I502" i="14"/>
  <c r="F502" i="14"/>
  <c r="E502" i="14"/>
  <c r="D502" i="14"/>
  <c r="H502" i="14" s="1"/>
  <c r="C502" i="14"/>
  <c r="G502" i="14" s="1"/>
  <c r="K502" i="14" s="1"/>
  <c r="H483" i="14"/>
  <c r="G483" i="14"/>
  <c r="F483" i="14"/>
  <c r="E483" i="14"/>
  <c r="D483" i="14"/>
  <c r="C483" i="14"/>
  <c r="H482" i="14"/>
  <c r="G482" i="14"/>
  <c r="F482" i="14"/>
  <c r="E482" i="14"/>
  <c r="D482" i="14"/>
  <c r="C482" i="14"/>
  <c r="H481" i="14"/>
  <c r="G481" i="14"/>
  <c r="F481" i="14"/>
  <c r="E481" i="14"/>
  <c r="D481" i="14"/>
  <c r="C481" i="14"/>
  <c r="H480" i="14"/>
  <c r="G480" i="14"/>
  <c r="F480" i="14"/>
  <c r="E480" i="14"/>
  <c r="D480" i="14"/>
  <c r="C480" i="14"/>
  <c r="H479" i="14"/>
  <c r="G479" i="14"/>
  <c r="F479" i="14"/>
  <c r="E479" i="14"/>
  <c r="D479" i="14"/>
  <c r="C479" i="14"/>
  <c r="H478" i="14"/>
  <c r="B515" i="14" s="1"/>
  <c r="B545" i="14" s="1"/>
  <c r="G478" i="14"/>
  <c r="F478" i="14"/>
  <c r="E478" i="14"/>
  <c r="D478" i="14"/>
  <c r="C478" i="14"/>
  <c r="B463" i="14"/>
  <c r="B462" i="14" s="1"/>
  <c r="B461" i="14"/>
  <c r="B449" i="14"/>
  <c r="B450" i="14" s="1"/>
  <c r="B446" i="14"/>
  <c r="B453" i="14" s="1"/>
  <c r="G453" i="14" s="1"/>
  <c r="J428" i="14"/>
  <c r="I428" i="14"/>
  <c r="F428" i="14"/>
  <c r="E428" i="14"/>
  <c r="D428" i="14"/>
  <c r="H428" i="14" s="1"/>
  <c r="C428" i="14"/>
  <c r="G428" i="14" s="1"/>
  <c r="K428" i="14" s="1"/>
  <c r="J427" i="14"/>
  <c r="I427" i="14"/>
  <c r="F427" i="14"/>
  <c r="E427" i="14"/>
  <c r="D427" i="14"/>
  <c r="H427" i="14" s="1"/>
  <c r="C427" i="14"/>
  <c r="G427" i="14" s="1"/>
  <c r="K427" i="14" s="1"/>
  <c r="J426" i="14"/>
  <c r="I426" i="14"/>
  <c r="H426" i="14"/>
  <c r="F426" i="14"/>
  <c r="E426" i="14"/>
  <c r="D426" i="14"/>
  <c r="C426" i="14"/>
  <c r="G426" i="14" s="1"/>
  <c r="K426" i="14" s="1"/>
  <c r="J425" i="14"/>
  <c r="I425" i="14"/>
  <c r="F425" i="14"/>
  <c r="E425" i="14"/>
  <c r="D425" i="14"/>
  <c r="H425" i="14" s="1"/>
  <c r="C425" i="14"/>
  <c r="G425" i="14" s="1"/>
  <c r="J424" i="14"/>
  <c r="I424" i="14"/>
  <c r="F424" i="14"/>
  <c r="E424" i="14"/>
  <c r="D424" i="14"/>
  <c r="H424" i="14" s="1"/>
  <c r="C424" i="14"/>
  <c r="G424" i="14" s="1"/>
  <c r="K424" i="14" s="1"/>
  <c r="H402" i="14"/>
  <c r="G402" i="14"/>
  <c r="F402" i="14"/>
  <c r="E402" i="14"/>
  <c r="D402" i="14"/>
  <c r="C402" i="14"/>
  <c r="H401" i="14"/>
  <c r="G401" i="14"/>
  <c r="F401" i="14"/>
  <c r="E401" i="14"/>
  <c r="D401" i="14"/>
  <c r="C401" i="14"/>
  <c r="H400" i="14"/>
  <c r="G400" i="14"/>
  <c r="F400" i="14"/>
  <c r="E400" i="14"/>
  <c r="D400" i="14"/>
  <c r="C400" i="14"/>
  <c r="B385" i="14"/>
  <c r="B384" i="14" s="1"/>
  <c r="B383" i="14"/>
  <c r="B377" i="14"/>
  <c r="B378" i="14" s="1"/>
  <c r="B372" i="14"/>
  <c r="B371" i="14"/>
  <c r="B368" i="14"/>
  <c r="B375" i="14" s="1"/>
  <c r="G375" i="14" s="1"/>
  <c r="B359" i="14"/>
  <c r="J350" i="14"/>
  <c r="I350" i="14"/>
  <c r="F350" i="14"/>
  <c r="E350" i="14"/>
  <c r="D350" i="14"/>
  <c r="H350" i="14" s="1"/>
  <c r="C350" i="14"/>
  <c r="G350" i="14" s="1"/>
  <c r="J349" i="14"/>
  <c r="I349" i="14"/>
  <c r="H349" i="14"/>
  <c r="F349" i="14"/>
  <c r="E349" i="14"/>
  <c r="D349" i="14"/>
  <c r="C349" i="14"/>
  <c r="G349" i="14" s="1"/>
  <c r="K349" i="14" s="1"/>
  <c r="J348" i="14"/>
  <c r="I348" i="14"/>
  <c r="F348" i="14"/>
  <c r="E348" i="14"/>
  <c r="D348" i="14"/>
  <c r="H348" i="14" s="1"/>
  <c r="C348" i="14"/>
  <c r="G348" i="14" s="1"/>
  <c r="J347" i="14"/>
  <c r="I347" i="14"/>
  <c r="F347" i="14"/>
  <c r="E347" i="14"/>
  <c r="D347" i="14"/>
  <c r="H347" i="14" s="1"/>
  <c r="C347" i="14"/>
  <c r="G347" i="14" s="1"/>
  <c r="K347" i="14" s="1"/>
  <c r="J346" i="14"/>
  <c r="I346" i="14"/>
  <c r="F346" i="14"/>
  <c r="E346" i="14"/>
  <c r="D346" i="14"/>
  <c r="H346" i="14" s="1"/>
  <c r="C346" i="14"/>
  <c r="G346" i="14" s="1"/>
  <c r="H325" i="14"/>
  <c r="G325" i="14"/>
  <c r="F325" i="14"/>
  <c r="E325" i="14"/>
  <c r="D325" i="14"/>
  <c r="C325" i="14"/>
  <c r="H324" i="14"/>
  <c r="G324" i="14"/>
  <c r="F324" i="14"/>
  <c r="E324" i="14"/>
  <c r="D324" i="14"/>
  <c r="C324" i="14"/>
  <c r="H323" i="14"/>
  <c r="G323" i="14"/>
  <c r="F323" i="14"/>
  <c r="E323" i="14"/>
  <c r="D323" i="14"/>
  <c r="C323" i="14"/>
  <c r="H322" i="14"/>
  <c r="G322" i="14"/>
  <c r="F322" i="14"/>
  <c r="E322" i="14"/>
  <c r="D322" i="14"/>
  <c r="C322" i="14"/>
  <c r="B306" i="14"/>
  <c r="B305" i="14" s="1"/>
  <c r="B304" i="14"/>
  <c r="B298" i="14"/>
  <c r="B299" i="14" s="1"/>
  <c r="G296" i="14"/>
  <c r="B292" i="14"/>
  <c r="B289" i="14"/>
  <c r="B296" i="14" s="1"/>
  <c r="J270" i="14"/>
  <c r="I270" i="14"/>
  <c r="F270" i="14"/>
  <c r="E270" i="14"/>
  <c r="D270" i="14"/>
  <c r="H270" i="14" s="1"/>
  <c r="C270" i="14"/>
  <c r="G270" i="14" s="1"/>
  <c r="J269" i="14"/>
  <c r="I269" i="14"/>
  <c r="F269" i="14"/>
  <c r="E269" i="14"/>
  <c r="D269" i="14"/>
  <c r="H269" i="14" s="1"/>
  <c r="C269" i="14"/>
  <c r="G269" i="14" s="1"/>
  <c r="K269" i="14" s="1"/>
  <c r="J268" i="14"/>
  <c r="I268" i="14"/>
  <c r="F268" i="14"/>
  <c r="E268" i="14"/>
  <c r="D268" i="14"/>
  <c r="H268" i="14" s="1"/>
  <c r="C268" i="14"/>
  <c r="G268" i="14" s="1"/>
  <c r="J267" i="14"/>
  <c r="I267" i="14"/>
  <c r="F267" i="14"/>
  <c r="E267" i="14"/>
  <c r="D267" i="14"/>
  <c r="H267" i="14" s="1"/>
  <c r="C267" i="14"/>
  <c r="G267" i="14" s="1"/>
  <c r="H246" i="14"/>
  <c r="G246" i="14"/>
  <c r="F246" i="14"/>
  <c r="E246" i="14"/>
  <c r="D246" i="14"/>
  <c r="C246" i="14"/>
  <c r="H245" i="14"/>
  <c r="G245" i="14"/>
  <c r="F245" i="14"/>
  <c r="E245" i="14"/>
  <c r="D245" i="14"/>
  <c r="C245" i="14"/>
  <c r="H244" i="14"/>
  <c r="G244" i="14"/>
  <c r="F244" i="14"/>
  <c r="E244" i="14"/>
  <c r="D244" i="14"/>
  <c r="C244" i="14"/>
  <c r="H243" i="14"/>
  <c r="B280" i="14" s="1"/>
  <c r="B310" i="14" s="1"/>
  <c r="G243" i="14"/>
  <c r="F243" i="14"/>
  <c r="E243" i="14"/>
  <c r="D243" i="14"/>
  <c r="C243" i="14"/>
  <c r="B227" i="14"/>
  <c r="B226" i="14" s="1"/>
  <c r="B225" i="14"/>
  <c r="B213" i="14"/>
  <c r="B210" i="14"/>
  <c r="B217" i="14" s="1"/>
  <c r="G217" i="14" s="1"/>
  <c r="J190" i="14"/>
  <c r="I190" i="14"/>
  <c r="F190" i="14"/>
  <c r="E190" i="14"/>
  <c r="D190" i="14"/>
  <c r="H190" i="14" s="1"/>
  <c r="C190" i="14"/>
  <c r="G190" i="14" s="1"/>
  <c r="K190" i="14" s="1"/>
  <c r="J189" i="14"/>
  <c r="I189" i="14"/>
  <c r="F189" i="14"/>
  <c r="E189" i="14"/>
  <c r="D189" i="14"/>
  <c r="H189" i="14" s="1"/>
  <c r="C189" i="14"/>
  <c r="G189" i="14" s="1"/>
  <c r="K189" i="14" s="1"/>
  <c r="J188" i="14"/>
  <c r="I188" i="14"/>
  <c r="F188" i="14"/>
  <c r="E188" i="14"/>
  <c r="D188" i="14"/>
  <c r="H188" i="14" s="1"/>
  <c r="C188" i="14"/>
  <c r="G188" i="14" s="1"/>
  <c r="L180" i="14"/>
  <c r="I180" i="14"/>
  <c r="G180" i="14"/>
  <c r="F180" i="14"/>
  <c r="M180" i="14" s="1"/>
  <c r="N180" i="14" s="1"/>
  <c r="H180" i="14" s="1"/>
  <c r="E180" i="14"/>
  <c r="D180" i="14"/>
  <c r="C180" i="14"/>
  <c r="H165" i="14"/>
  <c r="G165" i="14"/>
  <c r="F165" i="14"/>
  <c r="E165" i="14"/>
  <c r="D165" i="14"/>
  <c r="C165" i="14"/>
  <c r="H164" i="14"/>
  <c r="G164" i="14"/>
  <c r="F164" i="14"/>
  <c r="E164" i="14"/>
  <c r="D164" i="14"/>
  <c r="C164" i="14"/>
  <c r="B145" i="14"/>
  <c r="B147" i="14" s="1"/>
  <c r="B146" i="14" s="1"/>
  <c r="B68" i="14"/>
  <c r="B67" i="14" s="1"/>
  <c r="B58" i="14"/>
  <c r="J28" i="14"/>
  <c r="L28" i="14"/>
  <c r="B22" i="14"/>
  <c r="B21" i="14"/>
  <c r="V12" i="14"/>
  <c r="V11" i="14"/>
  <c r="V10" i="14"/>
  <c r="V9" i="14"/>
  <c r="V8" i="14"/>
  <c r="V7" i="14"/>
  <c r="B133" i="13"/>
  <c r="B130" i="13"/>
  <c r="J109" i="13"/>
  <c r="I109" i="13"/>
  <c r="F109" i="13"/>
  <c r="E109" i="13"/>
  <c r="D109" i="13"/>
  <c r="H109" i="13" s="1"/>
  <c r="C109" i="13"/>
  <c r="G109" i="13" s="1"/>
  <c r="J108" i="13"/>
  <c r="I108" i="13"/>
  <c r="F108" i="13"/>
  <c r="E108" i="13"/>
  <c r="D108" i="13"/>
  <c r="H108" i="13" s="1"/>
  <c r="C108" i="13"/>
  <c r="G108" i="13" s="1"/>
  <c r="K108" i="13" s="1"/>
  <c r="H92" i="13"/>
  <c r="G92" i="13"/>
  <c r="F92" i="13"/>
  <c r="E92" i="13"/>
  <c r="D92" i="13"/>
  <c r="C92" i="13"/>
  <c r="H91" i="13"/>
  <c r="G91" i="13"/>
  <c r="F91" i="13"/>
  <c r="E91" i="13"/>
  <c r="D91" i="13"/>
  <c r="C91" i="13"/>
  <c r="H90" i="13"/>
  <c r="G90" i="13"/>
  <c r="F90" i="13"/>
  <c r="E90" i="13"/>
  <c r="D90" i="13"/>
  <c r="C90" i="13"/>
  <c r="H89" i="13"/>
  <c r="G89" i="13"/>
  <c r="F89" i="13"/>
  <c r="E89" i="13"/>
  <c r="D89" i="13"/>
  <c r="C89" i="13"/>
  <c r="H88" i="13"/>
  <c r="G88" i="13"/>
  <c r="F88" i="13"/>
  <c r="E88" i="13"/>
  <c r="D88" i="13"/>
  <c r="C88" i="13"/>
  <c r="H87" i="13"/>
  <c r="G87" i="13"/>
  <c r="F87" i="13"/>
  <c r="E87" i="13"/>
  <c r="D87" i="13"/>
  <c r="C87" i="13"/>
  <c r="H86" i="13"/>
  <c r="G86" i="13"/>
  <c r="F86" i="13"/>
  <c r="E86" i="13"/>
  <c r="D86" i="13"/>
  <c r="C86" i="13"/>
  <c r="H85" i="13"/>
  <c r="G85" i="13"/>
  <c r="F85" i="13"/>
  <c r="E85" i="13"/>
  <c r="D85" i="13"/>
  <c r="C85" i="13"/>
  <c r="H84" i="13"/>
  <c r="G84" i="13"/>
  <c r="F84" i="13"/>
  <c r="E84" i="13"/>
  <c r="D84" i="13"/>
  <c r="C84" i="13"/>
  <c r="B66" i="13"/>
  <c r="B54" i="13"/>
  <c r="B51" i="13"/>
  <c r="B58" i="13" s="1"/>
  <c r="J34" i="13"/>
  <c r="I34" i="13"/>
  <c r="F34" i="13"/>
  <c r="E34" i="13"/>
  <c r="D34" i="13"/>
  <c r="H34" i="13" s="1"/>
  <c r="C34" i="13"/>
  <c r="G34" i="13" s="1"/>
  <c r="J33" i="13"/>
  <c r="I33" i="13"/>
  <c r="F33" i="13"/>
  <c r="E33" i="13"/>
  <c r="D33" i="13"/>
  <c r="H33" i="13" s="1"/>
  <c r="C33" i="13"/>
  <c r="G33" i="13" s="1"/>
  <c r="K28" i="13"/>
  <c r="I28" i="13"/>
  <c r="G28" i="13"/>
  <c r="F28" i="13"/>
  <c r="M28" i="13" s="1"/>
  <c r="E28" i="13"/>
  <c r="D28" i="13"/>
  <c r="C28" i="13"/>
  <c r="H22" i="13"/>
  <c r="G22" i="13"/>
  <c r="F22" i="13"/>
  <c r="E22" i="13"/>
  <c r="D22" i="13"/>
  <c r="C22" i="13"/>
  <c r="H21" i="13"/>
  <c r="G21" i="13"/>
  <c r="F21" i="13"/>
  <c r="E21" i="13"/>
  <c r="D21" i="13"/>
  <c r="C21" i="13"/>
  <c r="H19" i="13"/>
  <c r="E19" i="13"/>
  <c r="D19" i="13"/>
  <c r="B19" i="13"/>
  <c r="F19" i="13" s="1"/>
  <c r="H18" i="13"/>
  <c r="G18" i="13"/>
  <c r="E18" i="13"/>
  <c r="D18" i="13"/>
  <c r="C18" i="13"/>
  <c r="B18" i="13"/>
  <c r="F18" i="13" s="1"/>
  <c r="B17" i="13"/>
  <c r="H17" i="13" s="1"/>
  <c r="E16" i="13"/>
  <c r="B16" i="13"/>
  <c r="G16" i="13" s="1"/>
  <c r="H15" i="13"/>
  <c r="E15" i="13"/>
  <c r="D15" i="13"/>
  <c r="B15" i="13"/>
  <c r="F15" i="13" s="1"/>
  <c r="H14" i="13"/>
  <c r="G14" i="13"/>
  <c r="E14" i="13"/>
  <c r="D14" i="13"/>
  <c r="C14" i="13"/>
  <c r="B14" i="13"/>
  <c r="F14" i="13" s="1"/>
  <c r="B13" i="13"/>
  <c r="H13" i="13" s="1"/>
  <c r="E12" i="13"/>
  <c r="B12" i="13"/>
  <c r="G12" i="13" s="1"/>
  <c r="B776" i="13"/>
  <c r="B778" i="13" s="1"/>
  <c r="B777" i="13" s="1"/>
  <c r="G768" i="13"/>
  <c r="B768" i="13"/>
  <c r="B770" i="13" s="1"/>
  <c r="B771" i="13" s="1"/>
  <c r="B764" i="13"/>
  <c r="B761" i="13"/>
  <c r="J750" i="13"/>
  <c r="I750" i="13"/>
  <c r="F750" i="13"/>
  <c r="E750" i="13"/>
  <c r="D750" i="13"/>
  <c r="H750" i="13" s="1"/>
  <c r="C750" i="13"/>
  <c r="G750" i="13" s="1"/>
  <c r="K750" i="13" s="1"/>
  <c r="J749" i="13"/>
  <c r="I749" i="13"/>
  <c r="F749" i="13"/>
  <c r="E749" i="13"/>
  <c r="D749" i="13"/>
  <c r="H749" i="13" s="1"/>
  <c r="C749" i="13"/>
  <c r="G749" i="13" s="1"/>
  <c r="K749" i="13" s="1"/>
  <c r="J748" i="13"/>
  <c r="I748" i="13"/>
  <c r="F748" i="13"/>
  <c r="E748" i="13"/>
  <c r="D748" i="13"/>
  <c r="H748" i="13" s="1"/>
  <c r="C748" i="13"/>
  <c r="G748" i="13" s="1"/>
  <c r="K748" i="13" s="1"/>
  <c r="J747" i="13"/>
  <c r="I747" i="13"/>
  <c r="F747" i="13"/>
  <c r="E747" i="13"/>
  <c r="D747" i="13"/>
  <c r="H747" i="13" s="1"/>
  <c r="C747" i="13"/>
  <c r="G747" i="13" s="1"/>
  <c r="J746" i="13"/>
  <c r="I746" i="13"/>
  <c r="F746" i="13"/>
  <c r="E746" i="13"/>
  <c r="D746" i="13"/>
  <c r="H746" i="13" s="1"/>
  <c r="C746" i="13"/>
  <c r="G746" i="13" s="1"/>
  <c r="J745" i="13"/>
  <c r="I745" i="13"/>
  <c r="F745" i="13"/>
  <c r="E745" i="13"/>
  <c r="D745" i="13"/>
  <c r="H745" i="13" s="1"/>
  <c r="C745" i="13"/>
  <c r="G745" i="13" s="1"/>
  <c r="K745" i="13" s="1"/>
  <c r="J744" i="13"/>
  <c r="I744" i="13"/>
  <c r="F744" i="13"/>
  <c r="E744" i="13"/>
  <c r="D744" i="13"/>
  <c r="H744" i="13" s="1"/>
  <c r="C744" i="13"/>
  <c r="G744" i="13" s="1"/>
  <c r="K744" i="13" s="1"/>
  <c r="J743" i="13"/>
  <c r="I743" i="13"/>
  <c r="F743" i="13"/>
  <c r="E743" i="13"/>
  <c r="D743" i="13"/>
  <c r="H743" i="13" s="1"/>
  <c r="C743" i="13"/>
  <c r="G743" i="13" s="1"/>
  <c r="J742" i="13"/>
  <c r="I742" i="13"/>
  <c r="F742" i="13"/>
  <c r="E742" i="13"/>
  <c r="D742" i="13"/>
  <c r="H742" i="13" s="1"/>
  <c r="C742" i="13"/>
  <c r="G742" i="13" s="1"/>
  <c r="K742" i="13" s="1"/>
  <c r="J741" i="13"/>
  <c r="I741" i="13"/>
  <c r="F741" i="13"/>
  <c r="E741" i="13"/>
  <c r="D741" i="13"/>
  <c r="H741" i="13" s="1"/>
  <c r="C741" i="13"/>
  <c r="G741" i="13" s="1"/>
  <c r="J740" i="13"/>
  <c r="I740" i="13"/>
  <c r="F740" i="13"/>
  <c r="E740" i="13"/>
  <c r="D740" i="13"/>
  <c r="H740" i="13" s="1"/>
  <c r="C740" i="13"/>
  <c r="G740" i="13" s="1"/>
  <c r="K740" i="13" s="1"/>
  <c r="J739" i="13"/>
  <c r="I739" i="13"/>
  <c r="F739" i="13"/>
  <c r="E739" i="13"/>
  <c r="D739" i="13"/>
  <c r="H739" i="13" s="1"/>
  <c r="C739" i="13"/>
  <c r="G739" i="13" s="1"/>
  <c r="G731" i="13"/>
  <c r="F731" i="13"/>
  <c r="M731" i="13" s="1"/>
  <c r="E731" i="13"/>
  <c r="D731" i="13"/>
  <c r="C731" i="13"/>
  <c r="I731" i="13" s="1"/>
  <c r="L731" i="13" s="1"/>
  <c r="H717" i="13"/>
  <c r="G717" i="13"/>
  <c r="F717" i="13"/>
  <c r="E717" i="13"/>
  <c r="D717" i="13"/>
  <c r="C717" i="13"/>
  <c r="H716" i="13"/>
  <c r="G716" i="13"/>
  <c r="F716" i="13"/>
  <c r="E716" i="13"/>
  <c r="D716" i="13"/>
  <c r="C716" i="13"/>
  <c r="H715" i="13"/>
  <c r="G715" i="13"/>
  <c r="F715" i="13"/>
  <c r="E715" i="13"/>
  <c r="D715" i="13"/>
  <c r="C715" i="13"/>
  <c r="B699" i="13"/>
  <c r="B698" i="13" s="1"/>
  <c r="B697" i="13"/>
  <c r="B691" i="13"/>
  <c r="B692" i="13" s="1"/>
  <c r="B685" i="13"/>
  <c r="B682" i="13"/>
  <c r="B689" i="13" s="1"/>
  <c r="G689" i="13" s="1"/>
  <c r="J661" i="13"/>
  <c r="I661" i="13"/>
  <c r="F661" i="13"/>
  <c r="E661" i="13"/>
  <c r="D661" i="13"/>
  <c r="H661" i="13" s="1"/>
  <c r="C661" i="13"/>
  <c r="G661" i="13" s="1"/>
  <c r="K661" i="13" s="1"/>
  <c r="J660" i="13"/>
  <c r="I660" i="13"/>
  <c r="F660" i="13"/>
  <c r="E660" i="13"/>
  <c r="D660" i="13"/>
  <c r="H660" i="13" s="1"/>
  <c r="C660" i="13"/>
  <c r="G660" i="13" s="1"/>
  <c r="K660" i="13" s="1"/>
  <c r="M652" i="13"/>
  <c r="N652" i="13" s="1"/>
  <c r="H652" i="13" s="1"/>
  <c r="I652" i="13"/>
  <c r="L652" i="13" s="1"/>
  <c r="G652" i="13"/>
  <c r="B673" i="13" s="1"/>
  <c r="F652" i="13"/>
  <c r="E652" i="13"/>
  <c r="D652" i="13"/>
  <c r="C652" i="13"/>
  <c r="H637" i="13"/>
  <c r="G637" i="13"/>
  <c r="F637" i="13"/>
  <c r="E637" i="13"/>
  <c r="D637" i="13"/>
  <c r="C637" i="13"/>
  <c r="H636" i="13"/>
  <c r="G636" i="13"/>
  <c r="F636" i="13"/>
  <c r="E636" i="13"/>
  <c r="D636" i="13"/>
  <c r="C636" i="13"/>
  <c r="B618" i="13"/>
  <c r="B620" i="13" s="1"/>
  <c r="B619" i="13" s="1"/>
  <c r="B607" i="13"/>
  <c r="B606" i="13"/>
  <c r="B603" i="13"/>
  <c r="B610" i="13" s="1"/>
  <c r="J583" i="13"/>
  <c r="I583" i="13"/>
  <c r="F583" i="13"/>
  <c r="E583" i="13"/>
  <c r="D583" i="13"/>
  <c r="H583" i="13" s="1"/>
  <c r="C583" i="13"/>
  <c r="G583" i="13" s="1"/>
  <c r="J582" i="13"/>
  <c r="I582" i="13"/>
  <c r="F582" i="13"/>
  <c r="E582" i="13"/>
  <c r="D582" i="13"/>
  <c r="H582" i="13" s="1"/>
  <c r="C582" i="13"/>
  <c r="G582" i="13" s="1"/>
  <c r="K582" i="13" s="1"/>
  <c r="J581" i="13"/>
  <c r="B594" i="13" s="1"/>
  <c r="I581" i="13"/>
  <c r="F581" i="13"/>
  <c r="E581" i="13"/>
  <c r="D581" i="13"/>
  <c r="H581" i="13" s="1"/>
  <c r="C581" i="13"/>
  <c r="G581" i="13" s="1"/>
  <c r="L573" i="13"/>
  <c r="I573" i="13"/>
  <c r="G573" i="13"/>
  <c r="F573" i="13"/>
  <c r="M573" i="13" s="1"/>
  <c r="N573" i="13" s="1"/>
  <c r="H573" i="13" s="1"/>
  <c r="E573" i="13"/>
  <c r="D573" i="13"/>
  <c r="C573" i="13"/>
  <c r="H559" i="13"/>
  <c r="G559" i="13"/>
  <c r="F559" i="13"/>
  <c r="E559" i="13"/>
  <c r="D559" i="13"/>
  <c r="C559" i="13"/>
  <c r="H558" i="13"/>
  <c r="G558" i="13"/>
  <c r="F558" i="13"/>
  <c r="E558" i="13"/>
  <c r="D558" i="13"/>
  <c r="C558" i="13"/>
  <c r="H557" i="13"/>
  <c r="G557" i="13"/>
  <c r="F557" i="13"/>
  <c r="E557" i="13"/>
  <c r="D557" i="13"/>
  <c r="C557" i="13"/>
  <c r="B539" i="13"/>
  <c r="B541" i="13" s="1"/>
  <c r="B540" i="13" s="1"/>
  <c r="B531" i="13"/>
  <c r="B527" i="13"/>
  <c r="B528" i="13" s="1"/>
  <c r="B524" i="13"/>
  <c r="J504" i="13"/>
  <c r="I504" i="13"/>
  <c r="F504" i="13"/>
  <c r="E504" i="13"/>
  <c r="D504" i="13"/>
  <c r="H504" i="13" s="1"/>
  <c r="C504" i="13"/>
  <c r="G504" i="13" s="1"/>
  <c r="K504" i="13" s="1"/>
  <c r="J503" i="13"/>
  <c r="I503" i="13"/>
  <c r="F503" i="13"/>
  <c r="E503" i="13"/>
  <c r="D503" i="13"/>
  <c r="H503" i="13" s="1"/>
  <c r="C503" i="13"/>
  <c r="G503" i="13" s="1"/>
  <c r="J502" i="13"/>
  <c r="I502" i="13"/>
  <c r="F502" i="13"/>
  <c r="E502" i="13"/>
  <c r="D502" i="13"/>
  <c r="H502" i="13" s="1"/>
  <c r="C502" i="13"/>
  <c r="G502" i="13" s="1"/>
  <c r="K502" i="13" s="1"/>
  <c r="H483" i="13"/>
  <c r="G483" i="13"/>
  <c r="F483" i="13"/>
  <c r="E483" i="13"/>
  <c r="D483" i="13"/>
  <c r="C483" i="13"/>
  <c r="H482" i="13"/>
  <c r="G482" i="13"/>
  <c r="F482" i="13"/>
  <c r="E482" i="13"/>
  <c r="D482" i="13"/>
  <c r="C482" i="13"/>
  <c r="H481" i="13"/>
  <c r="G481" i="13"/>
  <c r="F481" i="13"/>
  <c r="E481" i="13"/>
  <c r="D481" i="13"/>
  <c r="C481" i="13"/>
  <c r="H480" i="13"/>
  <c r="G480" i="13"/>
  <c r="F480" i="13"/>
  <c r="E480" i="13"/>
  <c r="D480" i="13"/>
  <c r="C480" i="13"/>
  <c r="H479" i="13"/>
  <c r="G479" i="13"/>
  <c r="F479" i="13"/>
  <c r="E479" i="13"/>
  <c r="D479" i="13"/>
  <c r="C479" i="13"/>
  <c r="H478" i="13"/>
  <c r="B515" i="13" s="1"/>
  <c r="B545" i="13" s="1"/>
  <c r="G478" i="13"/>
  <c r="F478" i="13"/>
  <c r="E478" i="13"/>
  <c r="D478" i="13"/>
  <c r="C478" i="13"/>
  <c r="B463" i="13"/>
  <c r="B462" i="13"/>
  <c r="B461" i="13"/>
  <c r="B450" i="13"/>
  <c r="B449" i="13"/>
  <c r="B446" i="13"/>
  <c r="B453" i="13" s="1"/>
  <c r="B455" i="13" s="1"/>
  <c r="B456" i="13" s="1"/>
  <c r="J428" i="13"/>
  <c r="I428" i="13"/>
  <c r="F428" i="13"/>
  <c r="E428" i="13"/>
  <c r="D428" i="13"/>
  <c r="H428" i="13" s="1"/>
  <c r="C428" i="13"/>
  <c r="G428" i="13" s="1"/>
  <c r="J427" i="13"/>
  <c r="I427" i="13"/>
  <c r="F427" i="13"/>
  <c r="E427" i="13"/>
  <c r="D427" i="13"/>
  <c r="H427" i="13" s="1"/>
  <c r="C427" i="13"/>
  <c r="G427" i="13" s="1"/>
  <c r="K427" i="13" s="1"/>
  <c r="J426" i="13"/>
  <c r="I426" i="13"/>
  <c r="F426" i="13"/>
  <c r="E426" i="13"/>
  <c r="D426" i="13"/>
  <c r="H426" i="13" s="1"/>
  <c r="C426" i="13"/>
  <c r="G426" i="13" s="1"/>
  <c r="J425" i="13"/>
  <c r="I425" i="13"/>
  <c r="F425" i="13"/>
  <c r="E425" i="13"/>
  <c r="D425" i="13"/>
  <c r="H425" i="13" s="1"/>
  <c r="C425" i="13"/>
  <c r="G425" i="13" s="1"/>
  <c r="K425" i="13" s="1"/>
  <c r="J424" i="13"/>
  <c r="I424" i="13"/>
  <c r="F424" i="13"/>
  <c r="E424" i="13"/>
  <c r="D424" i="13"/>
  <c r="H424" i="13" s="1"/>
  <c r="C424" i="13"/>
  <c r="G424" i="13" s="1"/>
  <c r="H402" i="13"/>
  <c r="G402" i="13"/>
  <c r="F402" i="13"/>
  <c r="E402" i="13"/>
  <c r="D402" i="13"/>
  <c r="C402" i="13"/>
  <c r="H401" i="13"/>
  <c r="G401" i="13"/>
  <c r="F401" i="13"/>
  <c r="E401" i="13"/>
  <c r="D401" i="13"/>
  <c r="C401" i="13"/>
  <c r="H400" i="13"/>
  <c r="G400" i="13"/>
  <c r="F400" i="13"/>
  <c r="E400" i="13"/>
  <c r="D400" i="13"/>
  <c r="C400" i="13"/>
  <c r="B385" i="13"/>
  <c r="B384" i="13" s="1"/>
  <c r="B383" i="13"/>
  <c r="B377" i="13"/>
  <c r="B378" i="13" s="1"/>
  <c r="B375" i="13"/>
  <c r="G375" i="13" s="1"/>
  <c r="B371" i="13"/>
  <c r="B372" i="13" s="1"/>
  <c r="B368" i="13"/>
  <c r="J350" i="13"/>
  <c r="I350" i="13"/>
  <c r="F350" i="13"/>
  <c r="E350" i="13"/>
  <c r="D350" i="13"/>
  <c r="H350" i="13" s="1"/>
  <c r="C350" i="13"/>
  <c r="G350" i="13" s="1"/>
  <c r="K350" i="13" s="1"/>
  <c r="J349" i="13"/>
  <c r="I349" i="13"/>
  <c r="F349" i="13"/>
  <c r="E349" i="13"/>
  <c r="D349" i="13"/>
  <c r="H349" i="13" s="1"/>
  <c r="C349" i="13"/>
  <c r="G349" i="13" s="1"/>
  <c r="J348" i="13"/>
  <c r="I348" i="13"/>
  <c r="F348" i="13"/>
  <c r="E348" i="13"/>
  <c r="D348" i="13"/>
  <c r="H348" i="13" s="1"/>
  <c r="C348" i="13"/>
  <c r="G348" i="13" s="1"/>
  <c r="K348" i="13" s="1"/>
  <c r="J347" i="13"/>
  <c r="I347" i="13"/>
  <c r="F347" i="13"/>
  <c r="E347" i="13"/>
  <c r="D347" i="13"/>
  <c r="H347" i="13" s="1"/>
  <c r="C347" i="13"/>
  <c r="G347" i="13" s="1"/>
  <c r="J346" i="13"/>
  <c r="I346" i="13"/>
  <c r="F346" i="13"/>
  <c r="E346" i="13"/>
  <c r="D346" i="13"/>
  <c r="H346" i="13" s="1"/>
  <c r="C346" i="13"/>
  <c r="G346" i="13" s="1"/>
  <c r="K346" i="13" s="1"/>
  <c r="H325" i="13"/>
  <c r="G325" i="13"/>
  <c r="F325" i="13"/>
  <c r="E325" i="13"/>
  <c r="D325" i="13"/>
  <c r="C325" i="13"/>
  <c r="H324" i="13"/>
  <c r="G324" i="13"/>
  <c r="F324" i="13"/>
  <c r="E324" i="13"/>
  <c r="D324" i="13"/>
  <c r="C324" i="13"/>
  <c r="H323" i="13"/>
  <c r="G323" i="13"/>
  <c r="F323" i="13"/>
  <c r="E323" i="13"/>
  <c r="D323" i="13"/>
  <c r="C323" i="13"/>
  <c r="H322" i="13"/>
  <c r="B359" i="13" s="1"/>
  <c r="G322" i="13"/>
  <c r="F322" i="13"/>
  <c r="E322" i="13"/>
  <c r="D322" i="13"/>
  <c r="C322" i="13"/>
  <c r="B306" i="13"/>
  <c r="B305" i="13"/>
  <c r="B304" i="13"/>
  <c r="G296" i="13"/>
  <c r="B292" i="13"/>
  <c r="B289" i="13"/>
  <c r="B296" i="13" s="1"/>
  <c r="B298" i="13" s="1"/>
  <c r="B299" i="13" s="1"/>
  <c r="B281" i="13"/>
  <c r="B311" i="13" s="1"/>
  <c r="J270" i="13"/>
  <c r="I270" i="13"/>
  <c r="F270" i="13"/>
  <c r="E270" i="13"/>
  <c r="D270" i="13"/>
  <c r="H270" i="13" s="1"/>
  <c r="C270" i="13"/>
  <c r="G270" i="13" s="1"/>
  <c r="J269" i="13"/>
  <c r="I269" i="13"/>
  <c r="F269" i="13"/>
  <c r="E269" i="13"/>
  <c r="D269" i="13"/>
  <c r="H269" i="13" s="1"/>
  <c r="C269" i="13"/>
  <c r="G269" i="13" s="1"/>
  <c r="K269" i="13" s="1"/>
  <c r="J268" i="13"/>
  <c r="I268" i="13"/>
  <c r="F268" i="13"/>
  <c r="E268" i="13"/>
  <c r="D268" i="13"/>
  <c r="H268" i="13" s="1"/>
  <c r="C268" i="13"/>
  <c r="G268" i="13" s="1"/>
  <c r="K268" i="13" s="1"/>
  <c r="J267" i="13"/>
  <c r="I267" i="13"/>
  <c r="H267" i="13"/>
  <c r="F267" i="13"/>
  <c r="E267" i="13"/>
  <c r="D267" i="13"/>
  <c r="C267" i="13"/>
  <c r="G267" i="13" s="1"/>
  <c r="K267" i="13" s="1"/>
  <c r="H246" i="13"/>
  <c r="G246" i="13"/>
  <c r="F246" i="13"/>
  <c r="E246" i="13"/>
  <c r="D246" i="13"/>
  <c r="C246" i="13"/>
  <c r="H245" i="13"/>
  <c r="G245" i="13"/>
  <c r="F245" i="13"/>
  <c r="E245" i="13"/>
  <c r="D245" i="13"/>
  <c r="C245" i="13"/>
  <c r="H244" i="13"/>
  <c r="G244" i="13"/>
  <c r="F244" i="13"/>
  <c r="E244" i="13"/>
  <c r="D244" i="13"/>
  <c r="C244" i="13"/>
  <c r="H243" i="13"/>
  <c r="B280" i="13" s="1"/>
  <c r="B310" i="13" s="1"/>
  <c r="G243" i="13"/>
  <c r="F243" i="13"/>
  <c r="E243" i="13"/>
  <c r="D243" i="13"/>
  <c r="C243" i="13"/>
  <c r="B227" i="13"/>
  <c r="B226" i="13" s="1"/>
  <c r="B225" i="13"/>
  <c r="B219" i="13"/>
  <c r="B220" i="13" s="1"/>
  <c r="B213" i="13"/>
  <c r="B210" i="13"/>
  <c r="B217" i="13" s="1"/>
  <c r="G217" i="13" s="1"/>
  <c r="J190" i="13"/>
  <c r="I190" i="13"/>
  <c r="F190" i="13"/>
  <c r="E190" i="13"/>
  <c r="D190" i="13"/>
  <c r="H190" i="13" s="1"/>
  <c r="C190" i="13"/>
  <c r="G190" i="13" s="1"/>
  <c r="K190" i="13" s="1"/>
  <c r="J189" i="13"/>
  <c r="I189" i="13"/>
  <c r="F189" i="13"/>
  <c r="E189" i="13"/>
  <c r="D189" i="13"/>
  <c r="H189" i="13" s="1"/>
  <c r="C189" i="13"/>
  <c r="G189" i="13" s="1"/>
  <c r="K189" i="13" s="1"/>
  <c r="J188" i="13"/>
  <c r="I188" i="13"/>
  <c r="F188" i="13"/>
  <c r="E188" i="13"/>
  <c r="D188" i="13"/>
  <c r="H188" i="13" s="1"/>
  <c r="C188" i="13"/>
  <c r="G188" i="13" s="1"/>
  <c r="M180" i="13"/>
  <c r="L180" i="13"/>
  <c r="G180" i="13"/>
  <c r="F180" i="13"/>
  <c r="E180" i="13"/>
  <c r="D180" i="13"/>
  <c r="C180" i="13"/>
  <c r="I180" i="13" s="1"/>
  <c r="H165" i="13"/>
  <c r="G165" i="13"/>
  <c r="F165" i="13"/>
  <c r="E165" i="13"/>
  <c r="D165" i="13"/>
  <c r="C165" i="13"/>
  <c r="H164" i="13"/>
  <c r="B201" i="13" s="1"/>
  <c r="B202" i="13" s="1"/>
  <c r="B232" i="13" s="1"/>
  <c r="G164" i="13"/>
  <c r="F164" i="13"/>
  <c r="E164" i="13"/>
  <c r="D164" i="13"/>
  <c r="C164" i="13"/>
  <c r="B145" i="13"/>
  <c r="B147" i="13" s="1"/>
  <c r="B146" i="13" s="1"/>
  <c r="B68" i="13"/>
  <c r="B67" i="13" s="1"/>
  <c r="J28" i="13"/>
  <c r="B22" i="13"/>
  <c r="B21" i="13"/>
  <c r="V12" i="13"/>
  <c r="V11" i="13"/>
  <c r="V10" i="13"/>
  <c r="V9" i="13"/>
  <c r="V8" i="13"/>
  <c r="V7" i="13"/>
  <c r="R16" i="12"/>
  <c r="S16" i="12" s="1"/>
  <c r="R7" i="12"/>
  <c r="S7" i="12" s="1"/>
  <c r="T20" i="12"/>
  <c r="P25" i="12"/>
  <c r="Q25" i="12" s="1"/>
  <c r="H92" i="14" s="1"/>
  <c r="DE79" i="12"/>
  <c r="DE78" i="12"/>
  <c r="DE77" i="12"/>
  <c r="DE76" i="12"/>
  <c r="DE75" i="12"/>
  <c r="DE73" i="12"/>
  <c r="DE72" i="12"/>
  <c r="DE71" i="12"/>
  <c r="DE70" i="12"/>
  <c r="DE68" i="12"/>
  <c r="DE67" i="12"/>
  <c r="DE66" i="12"/>
  <c r="DE65" i="12"/>
  <c r="DE63" i="12"/>
  <c r="DE62" i="12"/>
  <c r="DE61" i="12"/>
  <c r="DE59" i="12"/>
  <c r="DE58" i="12"/>
  <c r="DE57" i="12"/>
  <c r="DE56" i="12"/>
  <c r="DE55" i="12"/>
  <c r="DE54" i="12"/>
  <c r="DE53" i="12"/>
  <c r="DE52" i="12"/>
  <c r="CB52" i="12"/>
  <c r="DE51" i="12"/>
  <c r="CB51" i="12"/>
  <c r="CQ48" i="12" s="1"/>
  <c r="DE50" i="12"/>
  <c r="CB50" i="12"/>
  <c r="BM50" i="12"/>
  <c r="CP49" i="12" s="1"/>
  <c r="DE49" i="12"/>
  <c r="CQ49" i="12"/>
  <c r="CB49" i="12"/>
  <c r="CQ46" i="12" s="1"/>
  <c r="BM49" i="12"/>
  <c r="T16" i="12"/>
  <c r="DE48" i="12"/>
  <c r="CP48" i="12"/>
  <c r="CB48" i="12"/>
  <c r="BM48" i="12"/>
  <c r="DE47" i="12"/>
  <c r="CQ47" i="12"/>
  <c r="CP47" i="12"/>
  <c r="CB47" i="12"/>
  <c r="BM47" i="12"/>
  <c r="DE46" i="12"/>
  <c r="CP46" i="12"/>
  <c r="CB46" i="12"/>
  <c r="BM46" i="12"/>
  <c r="DE45" i="12"/>
  <c r="CQ45" i="12"/>
  <c r="CP45" i="12"/>
  <c r="CB45" i="12"/>
  <c r="BM45" i="12"/>
  <c r="DE44" i="12"/>
  <c r="CQ44" i="12"/>
  <c r="CP44" i="12"/>
  <c r="CB44" i="12"/>
  <c r="BM44" i="12"/>
  <c r="CQ43" i="12"/>
  <c r="CP43" i="12"/>
  <c r="BM43" i="12"/>
  <c r="CP42" i="12" s="1"/>
  <c r="DE42" i="12"/>
  <c r="CQ42" i="12"/>
  <c r="CB42" i="12"/>
  <c r="CQ39" i="12" s="1"/>
  <c r="BM42" i="12"/>
  <c r="DE41" i="12"/>
  <c r="CQ41" i="12"/>
  <c r="CP41" i="12"/>
  <c r="CB41" i="12"/>
  <c r="N41" i="12"/>
  <c r="DE40" i="12"/>
  <c r="CB40" i="12"/>
  <c r="BM40" i="12"/>
  <c r="AQ40" i="12"/>
  <c r="DE39" i="12"/>
  <c r="CP39" i="12"/>
  <c r="CB39" i="12"/>
  <c r="BM39" i="12"/>
  <c r="DE38" i="12"/>
  <c r="CQ38" i="12"/>
  <c r="CP38" i="12"/>
  <c r="BM38" i="12"/>
  <c r="DE37" i="12"/>
  <c r="CQ37" i="12"/>
  <c r="CP37" i="12"/>
  <c r="CB37" i="12"/>
  <c r="BM37" i="12"/>
  <c r="DE36" i="12"/>
  <c r="CQ36" i="12"/>
  <c r="CP36" i="12"/>
  <c r="CB36" i="12"/>
  <c r="G36" i="12"/>
  <c r="B36" i="12" s="1"/>
  <c r="DE35" i="12"/>
  <c r="CB35" i="12"/>
  <c r="BM35" i="12"/>
  <c r="CP34" i="12" s="1"/>
  <c r="DE34" i="12"/>
  <c r="CQ34" i="12"/>
  <c r="CB34" i="12"/>
  <c r="CQ31" i="12" s="1"/>
  <c r="BM34" i="12"/>
  <c r="DE33" i="12"/>
  <c r="CQ33" i="12"/>
  <c r="CP33" i="12"/>
  <c r="CB33" i="12"/>
  <c r="BM33" i="12"/>
  <c r="CP32" i="12" s="1"/>
  <c r="DE32" i="12"/>
  <c r="CQ32" i="12"/>
  <c r="CB32" i="12"/>
  <c r="BM32" i="12"/>
  <c r="CP31" i="12" s="1"/>
  <c r="BM31" i="12"/>
  <c r="CP30" i="12" s="1"/>
  <c r="P31" i="12"/>
  <c r="DE30" i="12"/>
  <c r="CQ30" i="12"/>
  <c r="CB30" i="12"/>
  <c r="BM30" i="12"/>
  <c r="CP29" i="12" s="1"/>
  <c r="P30" i="12"/>
  <c r="DE29" i="12"/>
  <c r="CQ29" i="12"/>
  <c r="CB29" i="12"/>
  <c r="DE28" i="12"/>
  <c r="CB28" i="12"/>
  <c r="BM28" i="12"/>
  <c r="DE27" i="12"/>
  <c r="CQ27" i="12"/>
  <c r="CP27" i="12"/>
  <c r="BM27" i="12"/>
  <c r="CQ26" i="12"/>
  <c r="CP26" i="12"/>
  <c r="CB26" i="12"/>
  <c r="BM26" i="12"/>
  <c r="CP25" i="12" s="1"/>
  <c r="B26" i="12"/>
  <c r="CQ25" i="12"/>
  <c r="CD25" i="12"/>
  <c r="CB25" i="12"/>
  <c r="N25" i="12"/>
  <c r="DE24" i="12"/>
  <c r="CD24" i="12"/>
  <c r="CB24" i="12"/>
  <c r="BM24" i="12"/>
  <c r="P24" i="12"/>
  <c r="G91" i="14" s="1"/>
  <c r="DE23" i="12"/>
  <c r="CQ23" i="12"/>
  <c r="CP23" i="12"/>
  <c r="CD23" i="12"/>
  <c r="CB23" i="12"/>
  <c r="CQ20" i="12" s="1"/>
  <c r="BM23" i="12"/>
  <c r="AQ23" i="12"/>
  <c r="P23" i="12"/>
  <c r="N23" i="12"/>
  <c r="DE22" i="12"/>
  <c r="CQ22" i="12"/>
  <c r="CP22" i="12"/>
  <c r="CD22" i="12"/>
  <c r="CB22" i="12"/>
  <c r="BM22" i="12"/>
  <c r="P22" i="12"/>
  <c r="G89" i="14" s="1"/>
  <c r="N22" i="12"/>
  <c r="DE21" i="12"/>
  <c r="CQ21" i="12"/>
  <c r="CP21" i="12"/>
  <c r="CD21" i="12"/>
  <c r="CB21" i="12"/>
  <c r="BM21" i="12"/>
  <c r="CP20" i="12" s="1"/>
  <c r="P21" i="12"/>
  <c r="DE20" i="12"/>
  <c r="BM20" i="12"/>
  <c r="N20" i="12"/>
  <c r="DE19" i="12"/>
  <c r="CQ19" i="12"/>
  <c r="CP19" i="12"/>
  <c r="CB19" i="12"/>
  <c r="BM19" i="12"/>
  <c r="CP18" i="12" s="1"/>
  <c r="B19" i="12"/>
  <c r="DE18" i="12"/>
  <c r="CQ18" i="12"/>
  <c r="CB18" i="12"/>
  <c r="CQ15" i="12" s="1"/>
  <c r="N18" i="12"/>
  <c r="DE17" i="12"/>
  <c r="CB17" i="12"/>
  <c r="BM17" i="12"/>
  <c r="CP16" i="12" s="1"/>
  <c r="DE16" i="12"/>
  <c r="CQ16" i="12"/>
  <c r="CB16" i="12"/>
  <c r="BM16" i="12"/>
  <c r="CP15" i="12" s="1"/>
  <c r="P16" i="12"/>
  <c r="Q16" i="12" s="1"/>
  <c r="H22" i="14" s="1"/>
  <c r="N16" i="12"/>
  <c r="DE15" i="12"/>
  <c r="BM15" i="12"/>
  <c r="DE14" i="12"/>
  <c r="CQ14" i="12"/>
  <c r="CP14" i="12"/>
  <c r="BM14" i="12"/>
  <c r="P14" i="12"/>
  <c r="F28" i="14" s="1"/>
  <c r="DE13" i="12"/>
  <c r="CQ13" i="12"/>
  <c r="CP13" i="12"/>
  <c r="CB13" i="12"/>
  <c r="P13" i="12"/>
  <c r="G19" i="14" s="1"/>
  <c r="H13" i="12"/>
  <c r="N24" i="12" s="1"/>
  <c r="DE12" i="12"/>
  <c r="CB12" i="12"/>
  <c r="CQ9" i="12" s="1"/>
  <c r="BM12" i="12"/>
  <c r="CP11" i="12" s="1"/>
  <c r="P12" i="12"/>
  <c r="H12" i="12"/>
  <c r="DE11" i="12"/>
  <c r="CQ11" i="12"/>
  <c r="CB11" i="12"/>
  <c r="BM11" i="12"/>
  <c r="CP10" i="12" s="1"/>
  <c r="P11" i="12"/>
  <c r="H11" i="12"/>
  <c r="DE10" i="12"/>
  <c r="CQ10" i="12"/>
  <c r="BM10" i="12"/>
  <c r="CP9" i="12" s="1"/>
  <c r="P10" i="12"/>
  <c r="Q10" i="12" s="1"/>
  <c r="H16" i="14" s="1"/>
  <c r="H10" i="12"/>
  <c r="N21" i="12" s="1"/>
  <c r="DE9" i="12"/>
  <c r="CB9" i="12"/>
  <c r="BM9" i="12"/>
  <c r="N9" i="12"/>
  <c r="H9" i="12"/>
  <c r="N13" i="12" s="1"/>
  <c r="DE8" i="12"/>
  <c r="CQ8" i="12"/>
  <c r="CP8" i="12"/>
  <c r="CB8" i="12"/>
  <c r="H8" i="12"/>
  <c r="N12" i="12" s="1"/>
  <c r="DE7" i="12"/>
  <c r="CB7" i="12"/>
  <c r="CQ4" i="12" s="1"/>
  <c r="BM7" i="12"/>
  <c r="N7" i="12"/>
  <c r="H7" i="12"/>
  <c r="N11" i="12" s="1"/>
  <c r="B7" i="12"/>
  <c r="DE6" i="12"/>
  <c r="CQ6" i="12"/>
  <c r="CP6" i="12"/>
  <c r="CB6" i="12"/>
  <c r="CQ3" i="12" s="1"/>
  <c r="BM6" i="12"/>
  <c r="CP5" i="12" s="1"/>
  <c r="H6" i="12"/>
  <c r="N10" i="12" s="1"/>
  <c r="B6" i="12"/>
  <c r="B8" i="12" s="1"/>
  <c r="DE5" i="12"/>
  <c r="CQ5" i="12"/>
  <c r="BM5" i="12"/>
  <c r="CP4" i="12" s="1"/>
  <c r="T25" i="12"/>
  <c r="R15" i="12"/>
  <c r="S15" i="12" s="1"/>
  <c r="BM4" i="12"/>
  <c r="CP3" i="12" s="1"/>
  <c r="B4" i="12"/>
  <c r="AC50" i="11"/>
  <c r="AF49" i="11"/>
  <c r="AD49" i="11"/>
  <c r="AD46" i="11"/>
  <c r="AC46" i="11"/>
  <c r="AD45" i="11"/>
  <c r="AC45" i="11"/>
  <c r="AD44" i="11"/>
  <c r="AC44" i="11"/>
  <c r="AD43" i="11"/>
  <c r="AC43" i="11"/>
  <c r="AD42" i="11"/>
  <c r="AF40" i="11" s="1"/>
  <c r="AC42" i="11"/>
  <c r="Z40" i="11"/>
  <c r="AC36" i="11"/>
  <c r="AF35" i="11"/>
  <c r="AD35" i="11"/>
  <c r="AD32" i="11"/>
  <c r="AC32" i="11"/>
  <c r="AD31" i="11"/>
  <c r="AC31" i="11"/>
  <c r="AD30" i="11"/>
  <c r="AF27" i="11" s="1"/>
  <c r="AC30" i="11"/>
  <c r="AD29" i="11"/>
  <c r="AD27" i="11" s="1"/>
  <c r="AC29" i="11"/>
  <c r="Z27" i="11"/>
  <c r="AD25" i="11"/>
  <c r="AC25" i="11"/>
  <c r="AD24" i="11"/>
  <c r="AC24" i="11"/>
  <c r="AD23" i="11"/>
  <c r="AC23" i="11"/>
  <c r="Z21" i="11" s="1"/>
  <c r="P28" i="11" s="1"/>
  <c r="AF21" i="11"/>
  <c r="AD21" i="11"/>
  <c r="AD19" i="11"/>
  <c r="AF13" i="11" s="1"/>
  <c r="AC19" i="11"/>
  <c r="AD18" i="11"/>
  <c r="AC18" i="11"/>
  <c r="AD17" i="11"/>
  <c r="AD13" i="11" s="1"/>
  <c r="AC17" i="11"/>
  <c r="AD16" i="11"/>
  <c r="AD15" i="11"/>
  <c r="AC15" i="11"/>
  <c r="Z13" i="11" s="1"/>
  <c r="AD10" i="11"/>
  <c r="AF5" i="11" s="1"/>
  <c r="T15" i="11" s="1"/>
  <c r="AC10" i="11"/>
  <c r="AD9" i="11"/>
  <c r="AC9" i="11"/>
  <c r="AD8" i="11"/>
  <c r="Z8" i="11"/>
  <c r="AD7" i="11"/>
  <c r="AD5" i="11" s="1"/>
  <c r="R15" i="11" s="1"/>
  <c r="S15" i="11" s="1"/>
  <c r="AC7" i="11"/>
  <c r="Z5" i="11"/>
  <c r="DE76" i="11"/>
  <c r="DE75" i="11"/>
  <c r="DE73" i="11"/>
  <c r="DE72" i="11"/>
  <c r="DE71" i="11"/>
  <c r="DE70" i="11"/>
  <c r="DE68" i="11"/>
  <c r="DE67" i="11"/>
  <c r="DE66" i="11"/>
  <c r="DE65" i="11"/>
  <c r="DE63" i="11"/>
  <c r="DE62" i="11"/>
  <c r="DE61" i="11"/>
  <c r="DE59" i="11"/>
  <c r="DE58" i="11"/>
  <c r="DE57" i="11"/>
  <c r="AD57" i="11"/>
  <c r="AC57" i="11"/>
  <c r="DE56" i="11"/>
  <c r="AD56" i="11"/>
  <c r="AC56" i="11"/>
  <c r="DE55" i="11"/>
  <c r="AD55" i="11"/>
  <c r="AC55" i="11"/>
  <c r="DE54" i="11"/>
  <c r="DE53" i="11"/>
  <c r="AF53" i="11"/>
  <c r="AD53" i="11"/>
  <c r="Z53" i="11"/>
  <c r="DE52" i="11"/>
  <c r="CB52" i="11"/>
  <c r="DE51" i="11"/>
  <c r="CB51" i="11"/>
  <c r="CQ48" i="11" s="1"/>
  <c r="DE50" i="11"/>
  <c r="CB50" i="11"/>
  <c r="BM50" i="11"/>
  <c r="CP49" i="11" s="1"/>
  <c r="DE49" i="11"/>
  <c r="CQ49" i="11"/>
  <c r="CB49" i="11"/>
  <c r="CQ46" i="11" s="1"/>
  <c r="BM49" i="11"/>
  <c r="DE48" i="11"/>
  <c r="CP48" i="11"/>
  <c r="CB48" i="11"/>
  <c r="BM48" i="11"/>
  <c r="DE47" i="11"/>
  <c r="CQ47" i="11"/>
  <c r="CP47" i="11"/>
  <c r="CB47" i="11"/>
  <c r="BM47" i="11"/>
  <c r="DE46" i="11"/>
  <c r="CP46" i="11"/>
  <c r="CB46" i="11"/>
  <c r="BM46" i="11"/>
  <c r="DE45" i="11"/>
  <c r="CQ45" i="11"/>
  <c r="CP45" i="11"/>
  <c r="CB45" i="11"/>
  <c r="BM45" i="11"/>
  <c r="DE44" i="11"/>
  <c r="CQ44" i="11"/>
  <c r="CP44" i="11"/>
  <c r="CB44" i="11"/>
  <c r="BM44" i="11"/>
  <c r="CQ43" i="11"/>
  <c r="CP43" i="11"/>
  <c r="BM43" i="11"/>
  <c r="CP42" i="11" s="1"/>
  <c r="P14" i="11"/>
  <c r="DE42" i="11"/>
  <c r="CQ42" i="11"/>
  <c r="CB42" i="11"/>
  <c r="CQ39" i="11" s="1"/>
  <c r="BM42" i="11"/>
  <c r="CP41" i="11" s="1"/>
  <c r="DE41" i="11"/>
  <c r="CQ41" i="11"/>
  <c r="CB41" i="11"/>
  <c r="N41" i="11"/>
  <c r="DE40" i="11"/>
  <c r="CB40" i="11"/>
  <c r="CQ37" i="11" s="1"/>
  <c r="BM40" i="11"/>
  <c r="AQ40" i="11"/>
  <c r="DE39" i="11"/>
  <c r="CP39" i="11"/>
  <c r="CB39" i="11"/>
  <c r="BM39" i="11"/>
  <c r="DE38" i="11"/>
  <c r="CQ38" i="11"/>
  <c r="CP38" i="11"/>
  <c r="BM38" i="11"/>
  <c r="DE37" i="11"/>
  <c r="CP37" i="11"/>
  <c r="CB37" i="11"/>
  <c r="BM37" i="11"/>
  <c r="DE36" i="11"/>
  <c r="CQ36" i="11"/>
  <c r="CP36" i="11"/>
  <c r="CB36" i="11"/>
  <c r="G36" i="11"/>
  <c r="B36" i="11"/>
  <c r="DE35" i="11"/>
  <c r="CB35" i="11"/>
  <c r="BM35" i="11"/>
  <c r="CP34" i="11" s="1"/>
  <c r="DE34" i="11"/>
  <c r="CQ34" i="11"/>
  <c r="CB34" i="11"/>
  <c r="BM34" i="11"/>
  <c r="G34" i="11"/>
  <c r="DE33" i="11"/>
  <c r="CQ33" i="11"/>
  <c r="CP33" i="11"/>
  <c r="CB33" i="11"/>
  <c r="BM33" i="11"/>
  <c r="DE32" i="11"/>
  <c r="CQ32" i="11"/>
  <c r="CP32" i="11"/>
  <c r="CB32" i="11"/>
  <c r="BM32" i="11"/>
  <c r="CP31" i="11" s="1"/>
  <c r="CQ31" i="11"/>
  <c r="BM31" i="11"/>
  <c r="CP30" i="11" s="1"/>
  <c r="P31" i="11"/>
  <c r="DE30" i="11"/>
  <c r="CQ30" i="11"/>
  <c r="CB30" i="11"/>
  <c r="BM30" i="11"/>
  <c r="P30" i="11"/>
  <c r="DE29" i="11"/>
  <c r="CQ29" i="11"/>
  <c r="CP29" i="11"/>
  <c r="CB29" i="11"/>
  <c r="DE28" i="11"/>
  <c r="CB28" i="11"/>
  <c r="CQ25" i="11" s="1"/>
  <c r="BM28" i="11"/>
  <c r="DE27" i="11"/>
  <c r="CQ27" i="11"/>
  <c r="CP27" i="11"/>
  <c r="BM27" i="11"/>
  <c r="CQ26" i="11"/>
  <c r="CP26" i="11"/>
  <c r="CB26" i="11"/>
  <c r="BM26" i="11"/>
  <c r="CP25" i="11" s="1"/>
  <c r="B26" i="11"/>
  <c r="CD25" i="11"/>
  <c r="CB25" i="11"/>
  <c r="N25" i="11"/>
  <c r="DE24" i="11"/>
  <c r="CD24" i="11"/>
  <c r="CB24" i="11"/>
  <c r="CQ21" i="11" s="1"/>
  <c r="BM24" i="11"/>
  <c r="P24" i="11"/>
  <c r="DE23" i="11"/>
  <c r="CQ23" i="11"/>
  <c r="CP23" i="11"/>
  <c r="CD23" i="11"/>
  <c r="CB23" i="11"/>
  <c r="CQ20" i="11" s="1"/>
  <c r="BM23" i="11"/>
  <c r="AQ23" i="11"/>
  <c r="S23" i="11"/>
  <c r="R23" i="11"/>
  <c r="P23" i="11"/>
  <c r="N23" i="11"/>
  <c r="B23" i="11"/>
  <c r="B24" i="11" s="1"/>
  <c r="DE22" i="11"/>
  <c r="CQ22" i="11"/>
  <c r="CP22" i="11"/>
  <c r="CD22" i="11"/>
  <c r="CB22" i="11"/>
  <c r="BM22" i="11"/>
  <c r="P22" i="11"/>
  <c r="N22" i="11"/>
  <c r="DE21" i="11"/>
  <c r="CP21" i="11"/>
  <c r="CD21" i="11"/>
  <c r="CB21" i="11"/>
  <c r="BM21" i="11"/>
  <c r="CP20" i="11" s="1"/>
  <c r="P21" i="11"/>
  <c r="Q21" i="11" s="1"/>
  <c r="DE20" i="11"/>
  <c r="BM20" i="11"/>
  <c r="CP19" i="11" s="1"/>
  <c r="N20" i="11"/>
  <c r="DE19" i="11"/>
  <c r="CQ19" i="11"/>
  <c r="CB19" i="11"/>
  <c r="BM19" i="11"/>
  <c r="CP18" i="11" s="1"/>
  <c r="B19" i="11"/>
  <c r="DE18" i="11"/>
  <c r="CQ18" i="11"/>
  <c r="CB18" i="11"/>
  <c r="CQ15" i="11" s="1"/>
  <c r="N18" i="11"/>
  <c r="DE17" i="11"/>
  <c r="CB17" i="11"/>
  <c r="BM17" i="11"/>
  <c r="CP16" i="11" s="1"/>
  <c r="DE16" i="11"/>
  <c r="CQ16" i="11"/>
  <c r="CB16" i="11"/>
  <c r="BM16" i="11"/>
  <c r="CP15" i="11" s="1"/>
  <c r="T16" i="11"/>
  <c r="P16" i="11"/>
  <c r="Q16" i="11" s="1"/>
  <c r="N16" i="11"/>
  <c r="DE15" i="11"/>
  <c r="BM15" i="11"/>
  <c r="DE14" i="11"/>
  <c r="CQ14" i="11"/>
  <c r="CP14" i="11"/>
  <c r="BM14" i="11"/>
  <c r="DE13" i="11"/>
  <c r="CQ13" i="11"/>
  <c r="CP13" i="11"/>
  <c r="CB13" i="11"/>
  <c r="P13" i="11"/>
  <c r="N13" i="11"/>
  <c r="H13" i="11"/>
  <c r="DE12" i="11"/>
  <c r="CB12" i="11"/>
  <c r="CQ9" i="11" s="1"/>
  <c r="BM12" i="11"/>
  <c r="CP11" i="11" s="1"/>
  <c r="P12" i="11"/>
  <c r="H12" i="11"/>
  <c r="DE11" i="11"/>
  <c r="CQ11" i="11"/>
  <c r="CB11" i="11"/>
  <c r="BM11" i="11"/>
  <c r="CP10" i="11" s="1"/>
  <c r="P11" i="11"/>
  <c r="H11" i="11"/>
  <c r="DE10" i="11"/>
  <c r="CQ10" i="11"/>
  <c r="BM10" i="11"/>
  <c r="CP9" i="11" s="1"/>
  <c r="P10" i="11"/>
  <c r="H10" i="11"/>
  <c r="N21" i="11" s="1"/>
  <c r="DE9" i="11"/>
  <c r="CB9" i="11"/>
  <c r="BM9" i="11"/>
  <c r="N9" i="11"/>
  <c r="H9" i="11"/>
  <c r="DE8" i="11"/>
  <c r="CQ8" i="11"/>
  <c r="CP8" i="11"/>
  <c r="CB8" i="11"/>
  <c r="H8" i="11"/>
  <c r="N12" i="11" s="1"/>
  <c r="DE7" i="11"/>
  <c r="CB7" i="11"/>
  <c r="CQ4" i="11" s="1"/>
  <c r="BM7" i="11"/>
  <c r="CP6" i="11" s="1"/>
  <c r="N7" i="11"/>
  <c r="H7" i="11"/>
  <c r="F7" i="11" s="1"/>
  <c r="B7" i="11"/>
  <c r="DE6" i="11"/>
  <c r="CQ6" i="11"/>
  <c r="CB6" i="11"/>
  <c r="CQ3" i="11" s="1"/>
  <c r="BM6" i="11"/>
  <c r="CP5" i="11" s="1"/>
  <c r="H6" i="11"/>
  <c r="B6" i="11"/>
  <c r="B8" i="11" s="1"/>
  <c r="F24" i="11" s="1"/>
  <c r="DE5" i="11"/>
  <c r="CQ5" i="11"/>
  <c r="BM5" i="11"/>
  <c r="CP4" i="11" s="1"/>
  <c r="BM4" i="11"/>
  <c r="CP3" i="11" s="1"/>
  <c r="G4" i="11"/>
  <c r="B4" i="11"/>
  <c r="J108" i="18" l="1"/>
  <c r="J33" i="18"/>
  <c r="O40" i="16"/>
  <c r="H17" i="18"/>
  <c r="AZ20" i="15"/>
  <c r="CK19" i="15" s="1"/>
  <c r="E84" i="17"/>
  <c r="AP45" i="15"/>
  <c r="AP44" i="15"/>
  <c r="R19" i="15"/>
  <c r="H86" i="17" s="1"/>
  <c r="E86" i="17"/>
  <c r="J108" i="17"/>
  <c r="J33" i="17"/>
  <c r="AP19" i="15"/>
  <c r="AP23" i="15"/>
  <c r="E12" i="17"/>
  <c r="Q46" i="15"/>
  <c r="G58" i="17"/>
  <c r="B60" i="17"/>
  <c r="B61" i="17" s="1"/>
  <c r="AP39" i="15"/>
  <c r="AZ39" i="15" s="1"/>
  <c r="CK38" i="15" s="1"/>
  <c r="AP30" i="15"/>
  <c r="B130" i="17"/>
  <c r="B137" i="17" s="1"/>
  <c r="F108" i="17"/>
  <c r="F33" i="17"/>
  <c r="AP48" i="15"/>
  <c r="M28" i="14"/>
  <c r="N28" i="14" s="1"/>
  <c r="H28" i="14" s="1"/>
  <c r="G22" i="14"/>
  <c r="G92" i="14"/>
  <c r="G16" i="14"/>
  <c r="DG36" i="16"/>
  <c r="AZ24" i="16"/>
  <c r="CK23" i="16" s="1"/>
  <c r="S29" i="16"/>
  <c r="T29" i="16" s="1"/>
  <c r="U29" i="16"/>
  <c r="U19" i="16"/>
  <c r="S19" i="16"/>
  <c r="T19" i="16" s="1"/>
  <c r="Q46" i="16"/>
  <c r="B27" i="16"/>
  <c r="O8" i="16"/>
  <c r="S6" i="16"/>
  <c r="U6" i="16"/>
  <c r="R6" i="16"/>
  <c r="H12" i="18" s="1"/>
  <c r="U26" i="16"/>
  <c r="S26" i="16"/>
  <c r="S17" i="16"/>
  <c r="T17" i="16" s="1"/>
  <c r="U17" i="16"/>
  <c r="R17" i="16"/>
  <c r="H84" i="18" s="1"/>
  <c r="DG72" i="16"/>
  <c r="AZ39" i="16"/>
  <c r="CK38" i="16" s="1"/>
  <c r="U30" i="16"/>
  <c r="O27" i="16"/>
  <c r="S30" i="16"/>
  <c r="T30" i="16" s="1"/>
  <c r="AZ20" i="16"/>
  <c r="CK19" i="16" s="1"/>
  <c r="DG33" i="16"/>
  <c r="T14" i="16"/>
  <c r="O46" i="16"/>
  <c r="S31" i="16"/>
  <c r="T31" i="16" s="1"/>
  <c r="O28" i="16"/>
  <c r="U31" i="16"/>
  <c r="R29" i="16"/>
  <c r="DG72" i="15"/>
  <c r="S31" i="15"/>
  <c r="T31" i="15" s="1"/>
  <c r="U31" i="15"/>
  <c r="O28" i="15"/>
  <c r="R31" i="15"/>
  <c r="AZ22" i="15"/>
  <c r="CK21" i="15" s="1"/>
  <c r="DG35" i="15"/>
  <c r="T26" i="15"/>
  <c r="R6" i="15"/>
  <c r="H12" i="17" s="1"/>
  <c r="O8" i="15"/>
  <c r="B27" i="15" s="1"/>
  <c r="S6" i="15"/>
  <c r="U6" i="15"/>
  <c r="S30" i="15"/>
  <c r="T30" i="15" s="1"/>
  <c r="U30" i="15"/>
  <c r="R30" i="15"/>
  <c r="U29" i="15"/>
  <c r="S29" i="15"/>
  <c r="T29" i="15" s="1"/>
  <c r="O40" i="15"/>
  <c r="AZ12" i="15"/>
  <c r="CK11" i="15" s="1"/>
  <c r="DG27" i="15"/>
  <c r="S17" i="15"/>
  <c r="T17" i="15" s="1"/>
  <c r="U17" i="15"/>
  <c r="U19" i="15"/>
  <c r="S19" i="15"/>
  <c r="T19" i="15" s="1"/>
  <c r="R17" i="15"/>
  <c r="H84" i="17" s="1"/>
  <c r="K108" i="14"/>
  <c r="K34" i="14"/>
  <c r="F14" i="14"/>
  <c r="F18" i="14"/>
  <c r="F13" i="14"/>
  <c r="C14" i="14"/>
  <c r="F17" i="14"/>
  <c r="C18" i="14"/>
  <c r="G18" i="14"/>
  <c r="F12" i="14"/>
  <c r="C13" i="14"/>
  <c r="D14" i="14"/>
  <c r="F16" i="14"/>
  <c r="C17" i="14"/>
  <c r="G17" i="14"/>
  <c r="D18" i="14"/>
  <c r="B137" i="14"/>
  <c r="C12" i="14"/>
  <c r="D13" i="14"/>
  <c r="C16" i="14"/>
  <c r="D17" i="14"/>
  <c r="B139" i="14"/>
  <c r="B140" i="14" s="1"/>
  <c r="G137" i="14"/>
  <c r="B595" i="14"/>
  <c r="B625" i="14" s="1"/>
  <c r="B624" i="14"/>
  <c r="K33" i="14"/>
  <c r="G58" i="14"/>
  <c r="B60" i="14"/>
  <c r="B61" i="14" s="1"/>
  <c r="K188" i="14"/>
  <c r="K268" i="14"/>
  <c r="K346" i="14"/>
  <c r="K350" i="14"/>
  <c r="B533" i="14"/>
  <c r="B534" i="14" s="1"/>
  <c r="G531" i="14"/>
  <c r="K660" i="14"/>
  <c r="B455" i="14"/>
  <c r="B456" i="14" s="1"/>
  <c r="B752" i="14"/>
  <c r="K743" i="14"/>
  <c r="K746" i="14"/>
  <c r="K109" i="14"/>
  <c r="B360" i="14"/>
  <c r="B390" i="14" s="1"/>
  <c r="B389" i="14"/>
  <c r="B281" i="14"/>
  <c r="B311" i="14" s="1"/>
  <c r="B612" i="14"/>
  <c r="B613" i="14" s="1"/>
  <c r="G610" i="14"/>
  <c r="B219" i="14"/>
  <c r="B220" i="14" s="1"/>
  <c r="K348" i="14"/>
  <c r="B437" i="14"/>
  <c r="K739" i="14"/>
  <c r="K742" i="14"/>
  <c r="K747" i="14"/>
  <c r="B201" i="14"/>
  <c r="K267" i="14"/>
  <c r="K270" i="14"/>
  <c r="K425" i="14"/>
  <c r="B516" i="14"/>
  <c r="B546" i="14" s="1"/>
  <c r="K582" i="14"/>
  <c r="B674" i="14"/>
  <c r="B704" i="14" s="1"/>
  <c r="K750" i="14"/>
  <c r="K109" i="13"/>
  <c r="F13" i="13"/>
  <c r="F17" i="13"/>
  <c r="F16" i="13"/>
  <c r="C17" i="13"/>
  <c r="G17" i="13"/>
  <c r="D12" i="13"/>
  <c r="H12" i="13"/>
  <c r="E13" i="13"/>
  <c r="C15" i="13"/>
  <c r="G15" i="13"/>
  <c r="D16" i="13"/>
  <c r="H16" i="13"/>
  <c r="E17" i="13"/>
  <c r="C19" i="13"/>
  <c r="G19" i="13"/>
  <c r="F12" i="13"/>
  <c r="C13" i="13"/>
  <c r="G13" i="13"/>
  <c r="B137" i="13"/>
  <c r="B140" i="13" s="1"/>
  <c r="C12" i="13"/>
  <c r="D13" i="13"/>
  <c r="C16" i="13"/>
  <c r="D17" i="13"/>
  <c r="G58" i="13"/>
  <c r="B60" i="13"/>
  <c r="B61" i="13" s="1"/>
  <c r="K34" i="13"/>
  <c r="B595" i="13"/>
  <c r="B625" i="13" s="1"/>
  <c r="B624" i="13"/>
  <c r="L28" i="13"/>
  <c r="N28" i="13" s="1"/>
  <c r="H28" i="13" s="1"/>
  <c r="K347" i="13"/>
  <c r="K349" i="13"/>
  <c r="K581" i="13"/>
  <c r="K583" i="13"/>
  <c r="B612" i="13"/>
  <c r="B613" i="13" s="1"/>
  <c r="G610" i="13"/>
  <c r="K739" i="13"/>
  <c r="K746" i="13"/>
  <c r="N731" i="13"/>
  <c r="H731" i="13" s="1"/>
  <c r="K33" i="13"/>
  <c r="N180" i="13"/>
  <c r="H180" i="13" s="1"/>
  <c r="B437" i="13"/>
  <c r="K428" i="13"/>
  <c r="B533" i="13"/>
  <c r="B534" i="13" s="1"/>
  <c r="G531" i="13"/>
  <c r="B674" i="13"/>
  <c r="B704" i="13" s="1"/>
  <c r="B703" i="13"/>
  <c r="B752" i="13"/>
  <c r="K747" i="13"/>
  <c r="B231" i="13"/>
  <c r="B360" i="13"/>
  <c r="B390" i="13" s="1"/>
  <c r="B389" i="13"/>
  <c r="B121" i="13"/>
  <c r="K188" i="13"/>
  <c r="K270" i="13"/>
  <c r="K424" i="13"/>
  <c r="K426" i="13"/>
  <c r="G453" i="13"/>
  <c r="K503" i="13"/>
  <c r="B516" i="13"/>
  <c r="B546" i="13" s="1"/>
  <c r="K741" i="13"/>
  <c r="K743" i="13"/>
  <c r="R9" i="12"/>
  <c r="S9" i="12" s="1"/>
  <c r="R10" i="12"/>
  <c r="S10" i="12" s="1"/>
  <c r="T7" i="12"/>
  <c r="R20" i="12"/>
  <c r="S20" i="12" s="1"/>
  <c r="T13" i="12"/>
  <c r="R13" i="12"/>
  <c r="S13" i="12" s="1"/>
  <c r="G35" i="12"/>
  <c r="N29" i="12"/>
  <c r="F24" i="12"/>
  <c r="R11" i="12"/>
  <c r="S11" i="12" s="1"/>
  <c r="T11" i="12"/>
  <c r="Q11" i="12"/>
  <c r="H17" i="14" s="1"/>
  <c r="R12" i="12"/>
  <c r="S12" i="12" s="1"/>
  <c r="T12" i="12"/>
  <c r="Q12" i="12"/>
  <c r="H18" i="14" s="1"/>
  <c r="Q24" i="12"/>
  <c r="H91" i="14" s="1"/>
  <c r="T24" i="12"/>
  <c r="R24" i="12"/>
  <c r="S24" i="12" s="1"/>
  <c r="T10" i="12"/>
  <c r="P15" i="12"/>
  <c r="T18" i="12"/>
  <c r="R18" i="12"/>
  <c r="S18" i="12" s="1"/>
  <c r="T9" i="12"/>
  <c r="B34" i="12"/>
  <c r="AO9" i="12" s="1"/>
  <c r="AY9" i="12" s="1"/>
  <c r="CO8" i="12" s="1"/>
  <c r="N14" i="12"/>
  <c r="C43" i="12"/>
  <c r="G34" i="12"/>
  <c r="F9" i="12"/>
  <c r="Q23" i="12"/>
  <c r="H90" i="14" s="1"/>
  <c r="P28" i="12"/>
  <c r="I109" i="14" s="1"/>
  <c r="P27" i="12"/>
  <c r="I34" i="14" s="1"/>
  <c r="R21" i="12"/>
  <c r="S21" i="12" s="1"/>
  <c r="G4" i="12"/>
  <c r="F6" i="12" s="1"/>
  <c r="T22" i="12"/>
  <c r="R22" i="12"/>
  <c r="S22" i="12" s="1"/>
  <c r="R25" i="12"/>
  <c r="S25" i="12" s="1"/>
  <c r="P29" i="12"/>
  <c r="Q29" i="12" s="1"/>
  <c r="P26" i="12"/>
  <c r="N43" i="12"/>
  <c r="B35" i="12"/>
  <c r="AO30" i="12" s="1"/>
  <c r="AY30" i="12" s="1"/>
  <c r="CO29" i="12" s="1"/>
  <c r="F16" i="12"/>
  <c r="T21" i="12"/>
  <c r="Q21" i="12"/>
  <c r="H88" i="14" s="1"/>
  <c r="F13" i="12"/>
  <c r="B23" i="12"/>
  <c r="F18" i="12"/>
  <c r="Q13" i="12"/>
  <c r="H19" i="14" s="1"/>
  <c r="T15" i="12"/>
  <c r="Q22" i="12"/>
  <c r="H89" i="14" s="1"/>
  <c r="T23" i="12"/>
  <c r="R23" i="12"/>
  <c r="S23" i="12" s="1"/>
  <c r="R7" i="11"/>
  <c r="S7" i="11" s="1"/>
  <c r="R9" i="11"/>
  <c r="S9" i="11" s="1"/>
  <c r="T7" i="11"/>
  <c r="AD40" i="11"/>
  <c r="R12" i="11"/>
  <c r="S12" i="11" s="1"/>
  <c r="T12" i="11"/>
  <c r="P25" i="11"/>
  <c r="Q25" i="11" s="1"/>
  <c r="P15" i="11"/>
  <c r="Q15" i="11" s="1"/>
  <c r="F20" i="11"/>
  <c r="F12" i="11"/>
  <c r="Q35" i="11"/>
  <c r="F21" i="11"/>
  <c r="F8" i="11"/>
  <c r="F13" i="11"/>
  <c r="F22" i="11"/>
  <c r="F10" i="11"/>
  <c r="T13" i="11"/>
  <c r="R13" i="11"/>
  <c r="S13" i="11" s="1"/>
  <c r="T18" i="11"/>
  <c r="N43" i="11"/>
  <c r="B35" i="11"/>
  <c r="AO30" i="11" s="1"/>
  <c r="AY30" i="11" s="1"/>
  <c r="CO29" i="11" s="1"/>
  <c r="F16" i="11"/>
  <c r="N10" i="11"/>
  <c r="F6" i="11"/>
  <c r="T9" i="11"/>
  <c r="Q10" i="11"/>
  <c r="N11" i="11"/>
  <c r="Q11" i="11" s="1"/>
  <c r="R16" i="11"/>
  <c r="S16" i="11" s="1"/>
  <c r="P27" i="11"/>
  <c r="N24" i="11"/>
  <c r="F17" i="11"/>
  <c r="F18" i="11"/>
  <c r="R20" i="11"/>
  <c r="S20" i="11" s="1"/>
  <c r="T20" i="11"/>
  <c r="Q22" i="11"/>
  <c r="T22" i="11"/>
  <c r="R22" i="11"/>
  <c r="S22" i="11" s="1"/>
  <c r="R25" i="11"/>
  <c r="S25" i="11" s="1"/>
  <c r="G35" i="11"/>
  <c r="N29" i="11"/>
  <c r="F9" i="11"/>
  <c r="T21" i="11"/>
  <c r="R21" i="11"/>
  <c r="S21" i="11" s="1"/>
  <c r="R18" i="11"/>
  <c r="S18" i="11" s="1"/>
  <c r="P29" i="11"/>
  <c r="Q29" i="11" s="1"/>
  <c r="P26" i="11"/>
  <c r="B34" i="11"/>
  <c r="AO9" i="11" s="1"/>
  <c r="AY9" i="11" s="1"/>
  <c r="CO8" i="11" s="1"/>
  <c r="N14" i="11"/>
  <c r="C43" i="11"/>
  <c r="F11" i="11"/>
  <c r="T25" i="11"/>
  <c r="Q12" i="11"/>
  <c r="Q13" i="11"/>
  <c r="Q23" i="11"/>
  <c r="T23" i="11"/>
  <c r="AP45" i="16" l="1"/>
  <c r="AP44" i="16"/>
  <c r="AP31" i="16"/>
  <c r="AP28" i="15"/>
  <c r="AP35" i="15" s="1"/>
  <c r="AP27" i="15"/>
  <c r="AP34" i="15" s="1"/>
  <c r="AP43" i="15"/>
  <c r="AP47" i="15" s="1"/>
  <c r="AP26" i="15"/>
  <c r="AP33" i="15" s="1"/>
  <c r="F109" i="17"/>
  <c r="AP38" i="15"/>
  <c r="AP31" i="15"/>
  <c r="DG62" i="15" s="1"/>
  <c r="AP10" i="15"/>
  <c r="AP50" i="15"/>
  <c r="AZ48" i="15"/>
  <c r="CK47" i="15" s="1"/>
  <c r="DG77" i="15"/>
  <c r="G137" i="17"/>
  <c r="B140" i="17"/>
  <c r="DG61" i="15"/>
  <c r="AZ30" i="15"/>
  <c r="CK29" i="15" s="1"/>
  <c r="O27" i="15"/>
  <c r="E14" i="17"/>
  <c r="AP7" i="15"/>
  <c r="AP17" i="15" s="1"/>
  <c r="AP4" i="15"/>
  <c r="AP14" i="15" s="1"/>
  <c r="Q15" i="12"/>
  <c r="H21" i="14" s="1"/>
  <c r="G21" i="14"/>
  <c r="I108" i="14"/>
  <c r="I33" i="14"/>
  <c r="S27" i="16"/>
  <c r="T27" i="16" s="1"/>
  <c r="U27" i="16"/>
  <c r="AP11" i="16" s="1"/>
  <c r="R27" i="16"/>
  <c r="J34" i="18" s="1"/>
  <c r="DG70" i="16"/>
  <c r="AZ37" i="16"/>
  <c r="CK36" i="16" s="1"/>
  <c r="S8" i="16"/>
  <c r="T8" i="16" s="1"/>
  <c r="U8" i="16"/>
  <c r="Q44" i="16" s="1"/>
  <c r="R8" i="16"/>
  <c r="H14" i="18" s="1"/>
  <c r="B42" i="18" s="1"/>
  <c r="AZ19" i="16"/>
  <c r="CK18" i="16" s="1"/>
  <c r="DG32" i="16"/>
  <c r="AZ23" i="16"/>
  <c r="CK22" i="16" s="1"/>
  <c r="DG37" i="16"/>
  <c r="S28" i="16"/>
  <c r="T28" i="16" s="1"/>
  <c r="U28" i="16"/>
  <c r="AP32" i="16" s="1"/>
  <c r="R28" i="16"/>
  <c r="J109" i="18" s="1"/>
  <c r="B121" i="18" s="1"/>
  <c r="DG62" i="16"/>
  <c r="AZ31" i="16"/>
  <c r="CK30" i="16" s="1"/>
  <c r="DG77" i="16"/>
  <c r="AZ48" i="16"/>
  <c r="CK47" i="16" s="1"/>
  <c r="DG35" i="16"/>
  <c r="AZ22" i="16"/>
  <c r="CK21" i="16" s="1"/>
  <c r="AZ40" i="16"/>
  <c r="CK39" i="16" s="1"/>
  <c r="DG73" i="16"/>
  <c r="T26" i="16"/>
  <c r="T6" i="16"/>
  <c r="DG27" i="16"/>
  <c r="AZ12" i="16"/>
  <c r="CK11" i="16" s="1"/>
  <c r="U8" i="15"/>
  <c r="S8" i="15"/>
  <c r="T8" i="15" s="1"/>
  <c r="R8" i="15"/>
  <c r="DG70" i="15"/>
  <c r="AZ37" i="15"/>
  <c r="CK36" i="15" s="1"/>
  <c r="AZ45" i="15"/>
  <c r="CK44" i="15" s="1"/>
  <c r="DG76" i="15"/>
  <c r="S27" i="15"/>
  <c r="U27" i="15"/>
  <c r="AP11" i="15" s="1"/>
  <c r="R27" i="15"/>
  <c r="J34" i="17" s="1"/>
  <c r="O39" i="15"/>
  <c r="DG75" i="15"/>
  <c r="AZ44" i="15"/>
  <c r="CK43" i="15" s="1"/>
  <c r="AZ40" i="15"/>
  <c r="CK39" i="15" s="1"/>
  <c r="DG73" i="15"/>
  <c r="T6" i="15"/>
  <c r="U28" i="15"/>
  <c r="AP32" i="15" s="1"/>
  <c r="S28" i="15"/>
  <c r="T28" i="15" s="1"/>
  <c r="R28" i="15"/>
  <c r="J109" i="17" s="1"/>
  <c r="B121" i="17" s="1"/>
  <c r="G137" i="13"/>
  <c r="B782" i="14"/>
  <c r="B753" i="14"/>
  <c r="B783" i="14" s="1"/>
  <c r="B438" i="14"/>
  <c r="B468" i="14" s="1"/>
  <c r="B467" i="14"/>
  <c r="B202" i="14"/>
  <c r="B232" i="14" s="1"/>
  <c r="B231" i="14"/>
  <c r="B42" i="13"/>
  <c r="B43" i="13" s="1"/>
  <c r="B73" i="13" s="1"/>
  <c r="W7" i="13" s="1"/>
  <c r="B782" i="13"/>
  <c r="B753" i="13"/>
  <c r="B783" i="13" s="1"/>
  <c r="B438" i="13"/>
  <c r="B468" i="13" s="1"/>
  <c r="B467" i="13"/>
  <c r="B151" i="13"/>
  <c r="B122" i="13"/>
  <c r="B152" i="13" s="1"/>
  <c r="W8" i="13" s="1"/>
  <c r="N40" i="12"/>
  <c r="P18" i="12"/>
  <c r="P19" i="12"/>
  <c r="G86" i="14" s="1"/>
  <c r="P17" i="12"/>
  <c r="P9" i="12"/>
  <c r="P6" i="12"/>
  <c r="G12" i="14" s="1"/>
  <c r="P20" i="12"/>
  <c r="P8" i="12"/>
  <c r="G14" i="14" s="1"/>
  <c r="P7" i="12"/>
  <c r="N31" i="12"/>
  <c r="N30" i="12"/>
  <c r="N19" i="12"/>
  <c r="N17" i="12"/>
  <c r="N6" i="12"/>
  <c r="T29" i="12"/>
  <c r="R29" i="12"/>
  <c r="S29" i="12" s="1"/>
  <c r="B24" i="12"/>
  <c r="F17" i="12"/>
  <c r="F20" i="12"/>
  <c r="F22" i="12"/>
  <c r="F21" i="12"/>
  <c r="F7" i="12"/>
  <c r="F12" i="12"/>
  <c r="F8" i="12"/>
  <c r="F11" i="12"/>
  <c r="F10" i="12"/>
  <c r="AO20" i="12"/>
  <c r="AY20" i="12" s="1"/>
  <c r="CO19" i="12" s="1"/>
  <c r="R14" i="12"/>
  <c r="N26" i="12"/>
  <c r="Q26" i="12" s="1"/>
  <c r="T14" i="12"/>
  <c r="Q14" i="12"/>
  <c r="G28" i="14" s="1"/>
  <c r="AO24" i="12"/>
  <c r="AY24" i="12" s="1"/>
  <c r="CO23" i="12" s="1"/>
  <c r="P18" i="11"/>
  <c r="Q18" i="11" s="1"/>
  <c r="P17" i="11"/>
  <c r="Q17" i="11" s="1"/>
  <c r="P6" i="11"/>
  <c r="P8" i="11"/>
  <c r="P7" i="11"/>
  <c r="Q7" i="11" s="1"/>
  <c r="P9" i="11"/>
  <c r="Q9" i="11" s="1"/>
  <c r="P20" i="11"/>
  <c r="Q20" i="11" s="1"/>
  <c r="P19" i="11"/>
  <c r="Q24" i="11"/>
  <c r="T24" i="11"/>
  <c r="R24" i="11"/>
  <c r="S24" i="11" s="1"/>
  <c r="N31" i="11"/>
  <c r="N30" i="11"/>
  <c r="N19" i="11"/>
  <c r="N17" i="11"/>
  <c r="N6" i="11"/>
  <c r="Q26" i="11"/>
  <c r="AO20" i="11"/>
  <c r="AY20" i="11" s="1"/>
  <c r="CO19" i="11" s="1"/>
  <c r="R14" i="11"/>
  <c r="N26" i="11"/>
  <c r="AO24" i="11"/>
  <c r="AY24" i="11" s="1"/>
  <c r="CO23" i="11" s="1"/>
  <c r="T14" i="11"/>
  <c r="Q14" i="11"/>
  <c r="T29" i="11"/>
  <c r="R29" i="11"/>
  <c r="S29" i="11" s="1"/>
  <c r="R11" i="11"/>
  <c r="S11" i="11" s="1"/>
  <c r="T11" i="11"/>
  <c r="R10" i="11"/>
  <c r="S10" i="11" s="1"/>
  <c r="T10" i="11"/>
  <c r="B33" i="3"/>
  <c r="AD36" i="6"/>
  <c r="R34" i="16" l="1"/>
  <c r="O39" i="16"/>
  <c r="B72" i="18"/>
  <c r="B43" i="18"/>
  <c r="B73" i="18" s="1"/>
  <c r="W7" i="18" s="1"/>
  <c r="B151" i="18"/>
  <c r="B122" i="18"/>
  <c r="B152" i="18" s="1"/>
  <c r="W8" i="18" s="1"/>
  <c r="AP10" i="16"/>
  <c r="B151" i="17"/>
  <c r="B122" i="17"/>
  <c r="B152" i="17" s="1"/>
  <c r="W8" i="17" s="1"/>
  <c r="R34" i="15"/>
  <c r="H14" i="17"/>
  <c r="B42" i="17" s="1"/>
  <c r="AZ31" i="15"/>
  <c r="CK30" i="15" s="1"/>
  <c r="AP5" i="15"/>
  <c r="AP15" i="15" s="1"/>
  <c r="F34" i="17"/>
  <c r="AP21" i="15"/>
  <c r="DG34" i="15" s="1"/>
  <c r="AP6" i="15"/>
  <c r="AP42" i="15"/>
  <c r="AP46" i="15" s="1"/>
  <c r="AP49" i="15"/>
  <c r="AZ50" i="15"/>
  <c r="CK49" i="15" s="1"/>
  <c r="DG79" i="15"/>
  <c r="O44" i="16"/>
  <c r="O45" i="16"/>
  <c r="Q45" i="16"/>
  <c r="Q17" i="12"/>
  <c r="H84" i="14" s="1"/>
  <c r="G84" i="14"/>
  <c r="Q20" i="12"/>
  <c r="H87" i="14" s="1"/>
  <c r="G87" i="14"/>
  <c r="J33" i="14"/>
  <c r="J108" i="14"/>
  <c r="Q18" i="12"/>
  <c r="H85" i="14" s="1"/>
  <c r="G85" i="14"/>
  <c r="Q7" i="12"/>
  <c r="H13" i="14" s="1"/>
  <c r="G13" i="14"/>
  <c r="Q9" i="12"/>
  <c r="H15" i="14" s="1"/>
  <c r="G15" i="14"/>
  <c r="DG76" i="16"/>
  <c r="AZ45" i="16"/>
  <c r="CK44" i="16" s="1"/>
  <c r="DG46" i="16"/>
  <c r="AZ26" i="16"/>
  <c r="CK25" i="16" s="1"/>
  <c r="DG45" i="16"/>
  <c r="DG47" i="16"/>
  <c r="DG44" i="16"/>
  <c r="AZ5" i="16"/>
  <c r="DG39" i="16"/>
  <c r="DG10" i="16"/>
  <c r="DG11" i="16"/>
  <c r="DG12" i="16"/>
  <c r="DG9" i="16"/>
  <c r="DG79" i="16"/>
  <c r="AZ50" i="16"/>
  <c r="CK49" i="16" s="1"/>
  <c r="AP55" i="16"/>
  <c r="AZ43" i="16"/>
  <c r="CK42" i="16" s="1"/>
  <c r="DG57" i="16"/>
  <c r="DG59" i="16"/>
  <c r="DG58" i="16"/>
  <c r="DG56" i="16"/>
  <c r="AP54" i="16"/>
  <c r="AZ42" i="16"/>
  <c r="CK41" i="16" s="1"/>
  <c r="DG24" i="16"/>
  <c r="DG23" i="16"/>
  <c r="DG22" i="16"/>
  <c r="DG21" i="16"/>
  <c r="DG34" i="16"/>
  <c r="AZ21" i="16"/>
  <c r="CK20" i="16" s="1"/>
  <c r="AZ38" i="16"/>
  <c r="CK37" i="16" s="1"/>
  <c r="DG71" i="16"/>
  <c r="DG41" i="16"/>
  <c r="AZ7" i="16"/>
  <c r="DG19" i="16"/>
  <c r="DG20" i="16"/>
  <c r="DG18" i="16"/>
  <c r="DG17" i="16"/>
  <c r="DG63" i="16"/>
  <c r="AZ32" i="16"/>
  <c r="CK31" i="16" s="1"/>
  <c r="DG30" i="16"/>
  <c r="AZ11" i="16"/>
  <c r="CK10" i="16" s="1"/>
  <c r="AZ6" i="16"/>
  <c r="DG40" i="16"/>
  <c r="DG15" i="16"/>
  <c r="DG14" i="16"/>
  <c r="DG16" i="16"/>
  <c r="DG13" i="16"/>
  <c r="DG75" i="16"/>
  <c r="AZ44" i="16"/>
  <c r="CK43" i="16" s="1"/>
  <c r="AZ27" i="16"/>
  <c r="CK26" i="16" s="1"/>
  <c r="DG50" i="16"/>
  <c r="DG51" i="16"/>
  <c r="DG49" i="16"/>
  <c r="DG48" i="16"/>
  <c r="AZ28" i="16"/>
  <c r="CK27" i="16" s="1"/>
  <c r="DG54" i="16"/>
  <c r="DG53" i="16"/>
  <c r="DG55" i="16"/>
  <c r="DG52" i="16"/>
  <c r="DG38" i="16"/>
  <c r="AZ4" i="16"/>
  <c r="DG6" i="16"/>
  <c r="DG7" i="16"/>
  <c r="DG8" i="16"/>
  <c r="DG5" i="16"/>
  <c r="O44" i="15"/>
  <c r="DG29" i="15"/>
  <c r="AZ10" i="15"/>
  <c r="CK9" i="15" s="1"/>
  <c r="AZ27" i="15"/>
  <c r="CK26" i="15" s="1"/>
  <c r="DG48" i="15"/>
  <c r="DG50" i="15"/>
  <c r="DG51" i="15"/>
  <c r="DG49" i="15"/>
  <c r="AZ38" i="15"/>
  <c r="CK37" i="15" s="1"/>
  <c r="DG71" i="15"/>
  <c r="AZ32" i="15"/>
  <c r="CK31" i="15" s="1"/>
  <c r="DG63" i="15"/>
  <c r="Q44" i="15"/>
  <c r="AZ21" i="15"/>
  <c r="CK20" i="15" s="1"/>
  <c r="T27" i="15"/>
  <c r="O45" i="15"/>
  <c r="AP55" i="15"/>
  <c r="AZ43" i="15"/>
  <c r="CK42" i="15" s="1"/>
  <c r="DG56" i="15"/>
  <c r="DG59" i="15"/>
  <c r="DG57" i="15"/>
  <c r="DG58" i="15"/>
  <c r="AZ19" i="15"/>
  <c r="CK18" i="15" s="1"/>
  <c r="DG32" i="15"/>
  <c r="AZ26" i="15"/>
  <c r="CK25" i="15" s="1"/>
  <c r="DG45" i="15"/>
  <c r="DG44" i="15"/>
  <c r="DG47" i="15"/>
  <c r="DG46" i="15"/>
  <c r="AZ28" i="15"/>
  <c r="CK27" i="15" s="1"/>
  <c r="DG52" i="15"/>
  <c r="DG53" i="15"/>
  <c r="DG54" i="15"/>
  <c r="DG55" i="15"/>
  <c r="DG38" i="15"/>
  <c r="AZ4" i="15"/>
  <c r="DG6" i="15"/>
  <c r="DG5" i="15"/>
  <c r="DG8" i="15"/>
  <c r="DG7" i="15"/>
  <c r="DG39" i="15"/>
  <c r="AZ5" i="15"/>
  <c r="DG11" i="15"/>
  <c r="DG9" i="15"/>
  <c r="DG10" i="15"/>
  <c r="DG12" i="15"/>
  <c r="AZ42" i="15"/>
  <c r="CK41" i="15" s="1"/>
  <c r="DG21" i="15"/>
  <c r="DG24" i="15"/>
  <c r="DG23" i="15"/>
  <c r="DG22" i="15"/>
  <c r="DG37" i="15"/>
  <c r="AZ23" i="15"/>
  <c r="CK22" i="15" s="1"/>
  <c r="DG41" i="15"/>
  <c r="AZ7" i="15"/>
  <c r="DG19" i="15"/>
  <c r="DG17" i="15"/>
  <c r="DG20" i="15"/>
  <c r="DG18" i="15"/>
  <c r="Q45" i="15"/>
  <c r="B72" i="13"/>
  <c r="W18" i="13"/>
  <c r="V31" i="13" s="1"/>
  <c r="W21" i="13"/>
  <c r="P46" i="12"/>
  <c r="AO12" i="12"/>
  <c r="AY12" i="12" s="1"/>
  <c r="CO11" i="12" s="1"/>
  <c r="R19" i="12"/>
  <c r="S19" i="12" s="1"/>
  <c r="T19" i="12"/>
  <c r="N27" i="12"/>
  <c r="R30" i="12"/>
  <c r="S30" i="12" s="1"/>
  <c r="T30" i="12"/>
  <c r="Q30" i="12"/>
  <c r="Q19" i="12"/>
  <c r="H86" i="14" s="1"/>
  <c r="AO19" i="12"/>
  <c r="AY19" i="12" s="1"/>
  <c r="CO18" i="12" s="1"/>
  <c r="B27" i="12"/>
  <c r="N8" i="12"/>
  <c r="T6" i="12"/>
  <c r="AO4" i="12"/>
  <c r="R6" i="12"/>
  <c r="AO23" i="12"/>
  <c r="AY23" i="12" s="1"/>
  <c r="CO22" i="12" s="1"/>
  <c r="AO6" i="12"/>
  <c r="N28" i="12"/>
  <c r="R31" i="12"/>
  <c r="S31" i="12" s="1"/>
  <c r="T31" i="12"/>
  <c r="Q31" i="12"/>
  <c r="Q6" i="12"/>
  <c r="H12" i="14" s="1"/>
  <c r="AO43" i="12"/>
  <c r="AO42" i="12"/>
  <c r="T26" i="12"/>
  <c r="R26" i="12"/>
  <c r="AO48" i="12"/>
  <c r="S14" i="12"/>
  <c r="N46" i="12"/>
  <c r="AO26" i="12"/>
  <c r="R17" i="12"/>
  <c r="S17" i="12" s="1"/>
  <c r="T17" i="12"/>
  <c r="AO31" i="12" s="1"/>
  <c r="AY31" i="12" s="1"/>
  <c r="CO30" i="12" s="1"/>
  <c r="AO37" i="12"/>
  <c r="AY37" i="12" s="1"/>
  <c r="CO36" i="12" s="1"/>
  <c r="AO40" i="12"/>
  <c r="AY40" i="12" s="1"/>
  <c r="CO39" i="12" s="1"/>
  <c r="S14" i="11"/>
  <c r="N46" i="11"/>
  <c r="N28" i="11"/>
  <c r="AO26" i="11" s="1"/>
  <c r="R31" i="11"/>
  <c r="S31" i="11" s="1"/>
  <c r="T31" i="11"/>
  <c r="Q31" i="11"/>
  <c r="AO43" i="11"/>
  <c r="T26" i="11"/>
  <c r="R26" i="11"/>
  <c r="AO48" i="11"/>
  <c r="R19" i="11"/>
  <c r="S19" i="11" s="1"/>
  <c r="T19" i="11"/>
  <c r="Q6" i="11"/>
  <c r="AO12" i="11"/>
  <c r="AY12" i="11" s="1"/>
  <c r="CO11" i="11" s="1"/>
  <c r="P46" i="11"/>
  <c r="R30" i="11"/>
  <c r="S30" i="11" s="1"/>
  <c r="T30" i="11"/>
  <c r="Q30" i="11"/>
  <c r="N8" i="11"/>
  <c r="T6" i="11"/>
  <c r="R6" i="11"/>
  <c r="AO23" i="11"/>
  <c r="AY23" i="11" s="1"/>
  <c r="CO22" i="11" s="1"/>
  <c r="N40" i="11"/>
  <c r="R17" i="11"/>
  <c r="S17" i="11" s="1"/>
  <c r="AO40" i="11"/>
  <c r="AY40" i="11" s="1"/>
  <c r="CO39" i="11" s="1"/>
  <c r="AO37" i="11"/>
  <c r="AY37" i="11" s="1"/>
  <c r="CO36" i="11" s="1"/>
  <c r="T17" i="11"/>
  <c r="AO28" i="11"/>
  <c r="Q19" i="11"/>
  <c r="AE57" i="6"/>
  <c r="AD57" i="6"/>
  <c r="AE56" i="6"/>
  <c r="AD56" i="6"/>
  <c r="AE55" i="6"/>
  <c r="AG53" i="6" s="1"/>
  <c r="AD55" i="6"/>
  <c r="E15" i="3"/>
  <c r="E6" i="3"/>
  <c r="B16" i="3" s="1"/>
  <c r="W18" i="18" l="1"/>
  <c r="V31" i="18" s="1"/>
  <c r="W21" i="18"/>
  <c r="B72" i="17"/>
  <c r="B43" i="17"/>
  <c r="B73" i="17" s="1"/>
  <c r="W7" i="17" s="1"/>
  <c r="DG78" i="15"/>
  <c r="AZ49" i="15"/>
  <c r="CK48" i="15" s="1"/>
  <c r="AE53" i="6"/>
  <c r="AA53" i="6"/>
  <c r="Q30" i="6" s="1"/>
  <c r="AP54" i="15"/>
  <c r="AP16" i="15"/>
  <c r="DG40" i="15" s="1"/>
  <c r="AZ6" i="15"/>
  <c r="DG16" i="15"/>
  <c r="DG13" i="15"/>
  <c r="DG15" i="15"/>
  <c r="DG14" i="15"/>
  <c r="AZ16" i="16"/>
  <c r="CK15" i="16" s="1"/>
  <c r="CK5" i="16"/>
  <c r="AZ14" i="16"/>
  <c r="CK13" i="16" s="1"/>
  <c r="CK3" i="16"/>
  <c r="AZ47" i="16"/>
  <c r="CK46" i="16" s="1"/>
  <c r="AP57" i="16"/>
  <c r="DG68" i="16"/>
  <c r="AZ49" i="16"/>
  <c r="CK48" i="16" s="1"/>
  <c r="DG78" i="16"/>
  <c r="DG65" i="16"/>
  <c r="AZ33" i="16"/>
  <c r="CK32" i="16" s="1"/>
  <c r="DG66" i="16"/>
  <c r="AZ34" i="16"/>
  <c r="CK33" i="16" s="1"/>
  <c r="AZ46" i="16"/>
  <c r="CK45" i="16" s="1"/>
  <c r="AP56" i="16"/>
  <c r="DG42" i="16"/>
  <c r="CK6" i="16"/>
  <c r="AZ17" i="16"/>
  <c r="CK16" i="16" s="1"/>
  <c r="AZ10" i="16"/>
  <c r="CK9" i="16" s="1"/>
  <c r="DG29" i="16"/>
  <c r="DG67" i="16"/>
  <c r="AZ35" i="16"/>
  <c r="CK34" i="16" s="1"/>
  <c r="AZ15" i="16"/>
  <c r="CK14" i="16" s="1"/>
  <c r="CK4" i="16"/>
  <c r="DG30" i="15"/>
  <c r="AZ11" i="15"/>
  <c r="CK10" i="15" s="1"/>
  <c r="AZ46" i="15"/>
  <c r="CK45" i="15" s="1"/>
  <c r="DG42" i="15"/>
  <c r="CK3" i="15"/>
  <c r="AZ14" i="15"/>
  <c r="CK13" i="15" s="1"/>
  <c r="DG65" i="15"/>
  <c r="AZ33" i="15"/>
  <c r="CK32" i="15" s="1"/>
  <c r="AZ34" i="15"/>
  <c r="CK33" i="15" s="1"/>
  <c r="DG66" i="15"/>
  <c r="AZ15" i="15"/>
  <c r="CK14" i="15" s="1"/>
  <c r="CK4" i="15"/>
  <c r="AZ17" i="15"/>
  <c r="CK16" i="15" s="1"/>
  <c r="CK6" i="15"/>
  <c r="AZ47" i="15"/>
  <c r="CK46" i="15" s="1"/>
  <c r="AP57" i="15"/>
  <c r="DG68" i="15"/>
  <c r="DG67" i="15"/>
  <c r="AZ35" i="15"/>
  <c r="CK34" i="15" s="1"/>
  <c r="AO50" i="12"/>
  <c r="AY48" i="12"/>
  <c r="CO47" i="12" s="1"/>
  <c r="S26" i="12"/>
  <c r="R28" i="12"/>
  <c r="S28" i="12" s="1"/>
  <c r="T28" i="12"/>
  <c r="AO32" i="12" s="1"/>
  <c r="AY32" i="12" s="1"/>
  <c r="CO31" i="12" s="1"/>
  <c r="AO27" i="12"/>
  <c r="AO38" i="12"/>
  <c r="AY38" i="12" s="1"/>
  <c r="CO37" i="12" s="1"/>
  <c r="Q28" i="12"/>
  <c r="J109" i="14" s="1"/>
  <c r="B121" i="14" s="1"/>
  <c r="AO14" i="12"/>
  <c r="AY4" i="12"/>
  <c r="AO33" i="12"/>
  <c r="AY33" i="12" s="1"/>
  <c r="CO32" i="12" s="1"/>
  <c r="AY26" i="12"/>
  <c r="CO25" i="12" s="1"/>
  <c r="AO28" i="12"/>
  <c r="AO45" i="12"/>
  <c r="AY45" i="12" s="1"/>
  <c r="CO44" i="12" s="1"/>
  <c r="AO44" i="12"/>
  <c r="AY44" i="12" s="1"/>
  <c r="CO43" i="12" s="1"/>
  <c r="AO16" i="12"/>
  <c r="AY6" i="12"/>
  <c r="R27" i="12"/>
  <c r="S27" i="12" s="1"/>
  <c r="T27" i="12"/>
  <c r="AO11" i="12" s="1"/>
  <c r="AY11" i="12" s="1"/>
  <c r="CO10" i="12" s="1"/>
  <c r="AO5" i="12"/>
  <c r="AO21" i="12"/>
  <c r="AY21" i="12" s="1"/>
  <c r="CO20" i="12" s="1"/>
  <c r="Q27" i="12"/>
  <c r="J34" i="14" s="1"/>
  <c r="AY43" i="12"/>
  <c r="CO42" i="12" s="1"/>
  <c r="AO55" i="12"/>
  <c r="AO47" i="12"/>
  <c r="AY42" i="12"/>
  <c r="CO41" i="12" s="1"/>
  <c r="AO46" i="12"/>
  <c r="R8" i="12"/>
  <c r="S8" i="12" s="1"/>
  <c r="T8" i="12"/>
  <c r="AO10" i="12" s="1"/>
  <c r="AY10" i="12" s="1"/>
  <c r="CO9" i="12" s="1"/>
  <c r="Q8" i="12"/>
  <c r="S6" i="12"/>
  <c r="AO7" i="12"/>
  <c r="AO31" i="11"/>
  <c r="AY31" i="11" s="1"/>
  <c r="CO30" i="11" s="1"/>
  <c r="AO33" i="11"/>
  <c r="AY33" i="11" s="1"/>
  <c r="CO32" i="11" s="1"/>
  <c r="AY26" i="11"/>
  <c r="CO25" i="11" s="1"/>
  <c r="AO35" i="11"/>
  <c r="AY35" i="11" s="1"/>
  <c r="CO34" i="11" s="1"/>
  <c r="AY28" i="11"/>
  <c r="CO27" i="11" s="1"/>
  <c r="AO50" i="11"/>
  <c r="AY48" i="11"/>
  <c r="CO47" i="11" s="1"/>
  <c r="S6" i="11"/>
  <c r="B27" i="11"/>
  <c r="S26" i="11"/>
  <c r="T8" i="11"/>
  <c r="P44" i="11" s="1"/>
  <c r="R8" i="11"/>
  <c r="S8" i="11" s="1"/>
  <c r="AY43" i="11"/>
  <c r="CO42" i="11" s="1"/>
  <c r="AO47" i="11"/>
  <c r="R28" i="11"/>
  <c r="S28" i="11" s="1"/>
  <c r="T28" i="11"/>
  <c r="AO32" i="11" s="1"/>
  <c r="AY32" i="11" s="1"/>
  <c r="CO31" i="11" s="1"/>
  <c r="AO27" i="11"/>
  <c r="AO38" i="11"/>
  <c r="AY38" i="11" s="1"/>
  <c r="CO37" i="11" s="1"/>
  <c r="Q28" i="11"/>
  <c r="Q8" i="11"/>
  <c r="N39" i="11" s="1"/>
  <c r="AO19" i="11"/>
  <c r="AY19" i="11" s="1"/>
  <c r="CO18" i="11" s="1"/>
  <c r="N27" i="11"/>
  <c r="AO45" i="11"/>
  <c r="AY45" i="11" s="1"/>
  <c r="CO44" i="11" s="1"/>
  <c r="AO44" i="11"/>
  <c r="AY44" i="11" s="1"/>
  <c r="CO43" i="11" s="1"/>
  <c r="Q31" i="6"/>
  <c r="DA76" i="6"/>
  <c r="DA75" i="6"/>
  <c r="DA73" i="6"/>
  <c r="DA71" i="6"/>
  <c r="DA72" i="6"/>
  <c r="DA70" i="6"/>
  <c r="DA66" i="6"/>
  <c r="DA67" i="6"/>
  <c r="DA68" i="6"/>
  <c r="DA65" i="6"/>
  <c r="DA62" i="6"/>
  <c r="DA63" i="6"/>
  <c r="DA61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44" i="6"/>
  <c r="DA39" i="6"/>
  <c r="DA40" i="6"/>
  <c r="DA41" i="6"/>
  <c r="DA42" i="6"/>
  <c r="DA38" i="6"/>
  <c r="DA37" i="6"/>
  <c r="DA36" i="6"/>
  <c r="DA33" i="6"/>
  <c r="DA34" i="6"/>
  <c r="DA35" i="6"/>
  <c r="DA32" i="6"/>
  <c r="DA28" i="6"/>
  <c r="DA29" i="6"/>
  <c r="DA30" i="6"/>
  <c r="DA27" i="6"/>
  <c r="DA6" i="6"/>
  <c r="DA7" i="6"/>
  <c r="DA8" i="6"/>
  <c r="DA9" i="6"/>
  <c r="DA10" i="6"/>
  <c r="DA11" i="6"/>
  <c r="DA12" i="6"/>
  <c r="DA13" i="6"/>
  <c r="DA14" i="6"/>
  <c r="DA15" i="6"/>
  <c r="DA17" i="6"/>
  <c r="DA18" i="6"/>
  <c r="DA19" i="6"/>
  <c r="DA20" i="6"/>
  <c r="DA21" i="6"/>
  <c r="DA22" i="6"/>
  <c r="DA23" i="6"/>
  <c r="DA24" i="6"/>
  <c r="DA5" i="6"/>
  <c r="W18" i="17" l="1"/>
  <c r="V31" i="17" s="1"/>
  <c r="W21" i="17"/>
  <c r="AP56" i="15"/>
  <c r="AZ16" i="15"/>
  <c r="CK15" i="15" s="1"/>
  <c r="CK5" i="15"/>
  <c r="B122" i="14"/>
  <c r="B152" i="14" s="1"/>
  <c r="W8" i="14" s="1"/>
  <c r="B151" i="14"/>
  <c r="N39" i="12"/>
  <c r="H14" i="14"/>
  <c r="B42" i="14" s="1"/>
  <c r="N44" i="12"/>
  <c r="AO35" i="12"/>
  <c r="AY35" i="12" s="1"/>
  <c r="CO34" i="12" s="1"/>
  <c r="AY28" i="12"/>
  <c r="CO27" i="12" s="1"/>
  <c r="AO57" i="12"/>
  <c r="AY47" i="12"/>
  <c r="CO46" i="12" s="1"/>
  <c r="P44" i="12"/>
  <c r="P45" i="12"/>
  <c r="AY14" i="12"/>
  <c r="CO13" i="12" s="1"/>
  <c r="CO3" i="12"/>
  <c r="AO34" i="12"/>
  <c r="AY34" i="12" s="1"/>
  <c r="CO33" i="12" s="1"/>
  <c r="AY27" i="12"/>
  <c r="CO26" i="12" s="1"/>
  <c r="N45" i="12"/>
  <c r="AY46" i="12"/>
  <c r="CO45" i="12" s="1"/>
  <c r="AO15" i="12"/>
  <c r="AO56" i="12" s="1"/>
  <c r="AY5" i="12"/>
  <c r="AO17" i="12"/>
  <c r="AY7" i="12"/>
  <c r="AO54" i="12"/>
  <c r="AY16" i="12"/>
  <c r="CO15" i="12" s="1"/>
  <c r="CO5" i="12"/>
  <c r="AO49" i="12"/>
  <c r="AY49" i="12" s="1"/>
  <c r="CO48" i="12" s="1"/>
  <c r="AY50" i="12"/>
  <c r="CO49" i="12" s="1"/>
  <c r="N44" i="11"/>
  <c r="R27" i="11"/>
  <c r="AO5" i="11"/>
  <c r="T27" i="11"/>
  <c r="AO21" i="11"/>
  <c r="AY21" i="11" s="1"/>
  <c r="CO20" i="11" s="1"/>
  <c r="Q27" i="11"/>
  <c r="AO34" i="11"/>
  <c r="AY34" i="11" s="1"/>
  <c r="CO33" i="11" s="1"/>
  <c r="AY27" i="11"/>
  <c r="CO26" i="11" s="1"/>
  <c r="AO55" i="11"/>
  <c r="AO6" i="11"/>
  <c r="AO10" i="11"/>
  <c r="AY10" i="11" s="1"/>
  <c r="CO9" i="11" s="1"/>
  <c r="AO49" i="11"/>
  <c r="AY49" i="11" s="1"/>
  <c r="CO48" i="11" s="1"/>
  <c r="AY50" i="11"/>
  <c r="CO49" i="11" s="1"/>
  <c r="AO42" i="11"/>
  <c r="AO4" i="11"/>
  <c r="AY47" i="11"/>
  <c r="CO46" i="11" s="1"/>
  <c r="AO57" i="11"/>
  <c r="AO7" i="11"/>
  <c r="CC7" i="6"/>
  <c r="CM4" i="6" s="1"/>
  <c r="CC8" i="6"/>
  <c r="CM5" i="6" s="1"/>
  <c r="CC9" i="6"/>
  <c r="CM6" i="6" s="1"/>
  <c r="CC6" i="6"/>
  <c r="CM3" i="6" s="1"/>
  <c r="CM11" i="6"/>
  <c r="B43" i="14" l="1"/>
  <c r="B73" i="14" s="1"/>
  <c r="W7" i="14" s="1"/>
  <c r="B72" i="14"/>
  <c r="AY15" i="12"/>
  <c r="CO14" i="12" s="1"/>
  <c r="CO4" i="12"/>
  <c r="AY17" i="12"/>
  <c r="CO16" i="12" s="1"/>
  <c r="CO6" i="12"/>
  <c r="AO11" i="11"/>
  <c r="AY11" i="11" s="1"/>
  <c r="CO10" i="11" s="1"/>
  <c r="P45" i="11"/>
  <c r="AO14" i="11"/>
  <c r="AY4" i="11"/>
  <c r="AO15" i="11"/>
  <c r="AY5" i="11"/>
  <c r="AO17" i="11"/>
  <c r="AY7" i="11"/>
  <c r="AY42" i="11"/>
  <c r="CO41" i="11" s="1"/>
  <c r="AO46" i="11"/>
  <c r="AO54" i="11"/>
  <c r="AO16" i="11"/>
  <c r="AY6" i="11"/>
  <c r="S27" i="11"/>
  <c r="N45" i="11"/>
  <c r="CE22" i="6"/>
  <c r="CE23" i="6"/>
  <c r="CE24" i="6"/>
  <c r="CE21" i="6"/>
  <c r="W18" i="14" l="1"/>
  <c r="V31" i="14" s="1"/>
  <c r="W21" i="14"/>
  <c r="AY17" i="11"/>
  <c r="CO16" i="11" s="1"/>
  <c r="CO6" i="11"/>
  <c r="AY14" i="11"/>
  <c r="CO13" i="11" s="1"/>
  <c r="CO3" i="11"/>
  <c r="AO56" i="11"/>
  <c r="AY46" i="11"/>
  <c r="CO45" i="11" s="1"/>
  <c r="CO4" i="11"/>
  <c r="AY15" i="11"/>
  <c r="CO14" i="11" s="1"/>
  <c r="AY16" i="11"/>
  <c r="CO15" i="11" s="1"/>
  <c r="CO5" i="11"/>
  <c r="CC52" i="6"/>
  <c r="CM49" i="6" s="1"/>
  <c r="CC51" i="6"/>
  <c r="CM48" i="6" s="1"/>
  <c r="CC50" i="6"/>
  <c r="CM47" i="6" s="1"/>
  <c r="CC48" i="6"/>
  <c r="CM45" i="6" s="1"/>
  <c r="CC49" i="6"/>
  <c r="CM46" i="6" s="1"/>
  <c r="CC47" i="6"/>
  <c r="CM44" i="6" s="1"/>
  <c r="CC46" i="6"/>
  <c r="CM43" i="6" s="1"/>
  <c r="CC45" i="6"/>
  <c r="CM42" i="6" s="1"/>
  <c r="CC44" i="6"/>
  <c r="CM41" i="6" s="1"/>
  <c r="CC42" i="6"/>
  <c r="CM39" i="6" s="1"/>
  <c r="CC40" i="6"/>
  <c r="CM37" i="6" s="1"/>
  <c r="CC41" i="6"/>
  <c r="CM38" i="6" s="1"/>
  <c r="CC39" i="6"/>
  <c r="CM36" i="6" s="1"/>
  <c r="CC36" i="6"/>
  <c r="CM33" i="6" s="1"/>
  <c r="CC37" i="6"/>
  <c r="CM34" i="6" s="1"/>
  <c r="CC35" i="6"/>
  <c r="CM32" i="6" s="1"/>
  <c r="CC33" i="6"/>
  <c r="CM30" i="6" s="1"/>
  <c r="CC34" i="6"/>
  <c r="CM31" i="6" s="1"/>
  <c r="CC32" i="6"/>
  <c r="CM29" i="6" s="1"/>
  <c r="CC29" i="6"/>
  <c r="CM26" i="6" s="1"/>
  <c r="CC30" i="6"/>
  <c r="CM27" i="6" s="1"/>
  <c r="CC28" i="6"/>
  <c r="CM25" i="6" s="1"/>
  <c r="CC26" i="6"/>
  <c r="CM23" i="6" s="1"/>
  <c r="CC25" i="6"/>
  <c r="CC22" i="6"/>
  <c r="CM19" i="6" s="1"/>
  <c r="CC23" i="6"/>
  <c r="CM20" i="6" s="1"/>
  <c r="CC24" i="6"/>
  <c r="CM21" i="6" s="1"/>
  <c r="CC21" i="6"/>
  <c r="CM18" i="6" s="1"/>
  <c r="CC17" i="6"/>
  <c r="CM14" i="6" s="1"/>
  <c r="CC18" i="6"/>
  <c r="CM15" i="6" s="1"/>
  <c r="CC19" i="6"/>
  <c r="CM16" i="6" s="1"/>
  <c r="CC16" i="6"/>
  <c r="CM13" i="6" s="1"/>
  <c r="CC12" i="6"/>
  <c r="CM9" i="6" s="1"/>
  <c r="CC13" i="6"/>
  <c r="CM10" i="6" s="1"/>
  <c r="CC11" i="6"/>
  <c r="CM8" i="6" s="1"/>
  <c r="CE25" i="6" l="1"/>
  <c r="CM22" i="6"/>
  <c r="BN50" i="6"/>
  <c r="CL49" i="6" s="1"/>
  <c r="BN49" i="6"/>
  <c r="CL48" i="6" s="1"/>
  <c r="BN48" i="6"/>
  <c r="CL47" i="6" s="1"/>
  <c r="BN45" i="6"/>
  <c r="CL44" i="6" s="1"/>
  <c r="BN44" i="6"/>
  <c r="CL43" i="6" s="1"/>
  <c r="BN40" i="6"/>
  <c r="CL39" i="6" s="1"/>
  <c r="BN39" i="6"/>
  <c r="CL38" i="6" s="1"/>
  <c r="BN38" i="6"/>
  <c r="CL37" i="6" s="1"/>
  <c r="BN37" i="6"/>
  <c r="CL36" i="6" s="1"/>
  <c r="BN46" i="6"/>
  <c r="CL45" i="6" s="1"/>
  <c r="BN47" i="6"/>
  <c r="CL46" i="6" s="1"/>
  <c r="BN35" i="6"/>
  <c r="CL34" i="6" s="1"/>
  <c r="BN34" i="6"/>
  <c r="CL33" i="6" s="1"/>
  <c r="BN33" i="6"/>
  <c r="CL32" i="6" s="1"/>
  <c r="BN32" i="6"/>
  <c r="CL31" i="6" s="1"/>
  <c r="BN31" i="6"/>
  <c r="CL30" i="6" s="1"/>
  <c r="BN30" i="6"/>
  <c r="CL29" i="6" s="1"/>
  <c r="BN43" i="6"/>
  <c r="CL42" i="6" s="1"/>
  <c r="BN28" i="6"/>
  <c r="CL27" i="6" s="1"/>
  <c r="BN27" i="6"/>
  <c r="CL26" i="6" s="1"/>
  <c r="BN26" i="6"/>
  <c r="CL25" i="6" s="1"/>
  <c r="BN24" i="6"/>
  <c r="CL23" i="6" s="1"/>
  <c r="BN23" i="6"/>
  <c r="CL22" i="6" s="1"/>
  <c r="BN22" i="6"/>
  <c r="CL21" i="6" s="1"/>
  <c r="BN21" i="6"/>
  <c r="CL20" i="6" s="1"/>
  <c r="BN20" i="6"/>
  <c r="CL19" i="6" s="1"/>
  <c r="BN19" i="6"/>
  <c r="CL18" i="6" s="1"/>
  <c r="BN42" i="6"/>
  <c r="CL41" i="6" s="1"/>
  <c r="BN17" i="6"/>
  <c r="CL16" i="6" s="1"/>
  <c r="BN16" i="6"/>
  <c r="CL15" i="6" s="1"/>
  <c r="BN15" i="6"/>
  <c r="CL14" i="6" s="1"/>
  <c r="BN14" i="6"/>
  <c r="CL13" i="6" s="1"/>
  <c r="BN12" i="6"/>
  <c r="CL11" i="6" s="1"/>
  <c r="BN11" i="6"/>
  <c r="CL10" i="6" s="1"/>
  <c r="BN10" i="6"/>
  <c r="CL9" i="6" s="1"/>
  <c r="BN9" i="6"/>
  <c r="CL8" i="6" s="1"/>
  <c r="BN7" i="6"/>
  <c r="CL6" i="6" s="1"/>
  <c r="BN6" i="6"/>
  <c r="CL5" i="6" s="1"/>
  <c r="BN5" i="6"/>
  <c r="CL4" i="6" s="1"/>
  <c r="BN4" i="6"/>
  <c r="CL3" i="6" s="1"/>
  <c r="AR40" i="6" l="1"/>
  <c r="AR23" i="6"/>
  <c r="AD50" i="6" l="1"/>
  <c r="B48" i="7" l="1"/>
  <c r="B22" i="7"/>
  <c r="D22" i="7" s="1"/>
  <c r="B14" i="3"/>
  <c r="D15" i="3" s="1"/>
  <c r="B10" i="3"/>
  <c r="B17" i="3" s="1"/>
  <c r="B18" i="3" s="1"/>
  <c r="B19" i="3" s="1"/>
  <c r="C22" i="7" l="1"/>
  <c r="F22" i="7"/>
  <c r="B127" i="7"/>
  <c r="P12" i="1"/>
  <c r="B776" i="7"/>
  <c r="B778" i="7" s="1"/>
  <c r="B777" i="7" s="1"/>
  <c r="B768" i="7"/>
  <c r="G768" i="7" s="1"/>
  <c r="B764" i="7"/>
  <c r="B761" i="7"/>
  <c r="J750" i="7"/>
  <c r="I750" i="7"/>
  <c r="F750" i="7"/>
  <c r="E750" i="7"/>
  <c r="D750" i="7"/>
  <c r="H750" i="7" s="1"/>
  <c r="C750" i="7"/>
  <c r="G750" i="7" s="1"/>
  <c r="K750" i="7" s="1"/>
  <c r="J749" i="7"/>
  <c r="I749" i="7"/>
  <c r="F749" i="7"/>
  <c r="E749" i="7"/>
  <c r="D749" i="7"/>
  <c r="H749" i="7" s="1"/>
  <c r="C749" i="7"/>
  <c r="G749" i="7" s="1"/>
  <c r="K749" i="7" s="1"/>
  <c r="J748" i="7"/>
  <c r="I748" i="7"/>
  <c r="F748" i="7"/>
  <c r="E748" i="7"/>
  <c r="D748" i="7"/>
  <c r="H748" i="7" s="1"/>
  <c r="C748" i="7"/>
  <c r="G748" i="7" s="1"/>
  <c r="J747" i="7"/>
  <c r="I747" i="7"/>
  <c r="F747" i="7"/>
  <c r="E747" i="7"/>
  <c r="D747" i="7"/>
  <c r="H747" i="7" s="1"/>
  <c r="C747" i="7"/>
  <c r="G747" i="7" s="1"/>
  <c r="J746" i="7"/>
  <c r="I746" i="7"/>
  <c r="F746" i="7"/>
  <c r="E746" i="7"/>
  <c r="D746" i="7"/>
  <c r="H746" i="7" s="1"/>
  <c r="C746" i="7"/>
  <c r="G746" i="7" s="1"/>
  <c r="K745" i="7"/>
  <c r="J745" i="7"/>
  <c r="I745" i="7"/>
  <c r="F745" i="7"/>
  <c r="E745" i="7"/>
  <c r="D745" i="7"/>
  <c r="H745" i="7" s="1"/>
  <c r="C745" i="7"/>
  <c r="G745" i="7" s="1"/>
  <c r="J744" i="7"/>
  <c r="I744" i="7"/>
  <c r="F744" i="7"/>
  <c r="E744" i="7"/>
  <c r="D744" i="7"/>
  <c r="H744" i="7" s="1"/>
  <c r="C744" i="7"/>
  <c r="G744" i="7" s="1"/>
  <c r="J743" i="7"/>
  <c r="I743" i="7"/>
  <c r="F743" i="7"/>
  <c r="E743" i="7"/>
  <c r="D743" i="7"/>
  <c r="H743" i="7" s="1"/>
  <c r="C743" i="7"/>
  <c r="G743" i="7" s="1"/>
  <c r="K743" i="7" s="1"/>
  <c r="J742" i="7"/>
  <c r="I742" i="7"/>
  <c r="F742" i="7"/>
  <c r="E742" i="7"/>
  <c r="D742" i="7"/>
  <c r="H742" i="7" s="1"/>
  <c r="C742" i="7"/>
  <c r="G742" i="7" s="1"/>
  <c r="J741" i="7"/>
  <c r="I741" i="7"/>
  <c r="F741" i="7"/>
  <c r="E741" i="7"/>
  <c r="D741" i="7"/>
  <c r="H741" i="7" s="1"/>
  <c r="C741" i="7"/>
  <c r="G741" i="7" s="1"/>
  <c r="K741" i="7" s="1"/>
  <c r="J740" i="7"/>
  <c r="I740" i="7"/>
  <c r="F740" i="7"/>
  <c r="E740" i="7"/>
  <c r="D740" i="7"/>
  <c r="H740" i="7" s="1"/>
  <c r="C740" i="7"/>
  <c r="G740" i="7" s="1"/>
  <c r="J739" i="7"/>
  <c r="I739" i="7"/>
  <c r="F739" i="7"/>
  <c r="E739" i="7"/>
  <c r="D739" i="7"/>
  <c r="H739" i="7" s="1"/>
  <c r="C739" i="7"/>
  <c r="G739" i="7" s="1"/>
  <c r="M731" i="7"/>
  <c r="N731" i="7" s="1"/>
  <c r="H731" i="7" s="1"/>
  <c r="G731" i="7"/>
  <c r="F731" i="7"/>
  <c r="E731" i="7"/>
  <c r="D731" i="7"/>
  <c r="C731" i="7"/>
  <c r="I731" i="7" s="1"/>
  <c r="L731" i="7" s="1"/>
  <c r="H717" i="7"/>
  <c r="G717" i="7"/>
  <c r="F717" i="7"/>
  <c r="E717" i="7"/>
  <c r="D717" i="7"/>
  <c r="C717" i="7"/>
  <c r="H716" i="7"/>
  <c r="G716" i="7"/>
  <c r="F716" i="7"/>
  <c r="E716" i="7"/>
  <c r="D716" i="7"/>
  <c r="C716" i="7"/>
  <c r="H715" i="7"/>
  <c r="G715" i="7"/>
  <c r="F715" i="7"/>
  <c r="E715" i="7"/>
  <c r="D715" i="7"/>
  <c r="C715" i="7"/>
  <c r="B703" i="7"/>
  <c r="B697" i="7"/>
  <c r="B699" i="7" s="1"/>
  <c r="B698" i="7" s="1"/>
  <c r="G689" i="7"/>
  <c r="B689" i="7"/>
  <c r="B691" i="7" s="1"/>
  <c r="B692" i="7" s="1"/>
  <c r="B685" i="7"/>
  <c r="B682" i="7"/>
  <c r="J661" i="7"/>
  <c r="I661" i="7"/>
  <c r="F661" i="7"/>
  <c r="E661" i="7"/>
  <c r="D661" i="7"/>
  <c r="H661" i="7" s="1"/>
  <c r="C661" i="7"/>
  <c r="G661" i="7" s="1"/>
  <c r="K661" i="7" s="1"/>
  <c r="J660" i="7"/>
  <c r="I660" i="7"/>
  <c r="F660" i="7"/>
  <c r="E660" i="7"/>
  <c r="D660" i="7"/>
  <c r="H660" i="7" s="1"/>
  <c r="C660" i="7"/>
  <c r="G660" i="7" s="1"/>
  <c r="L652" i="7"/>
  <c r="G652" i="7"/>
  <c r="F652" i="7"/>
  <c r="M652" i="7" s="1"/>
  <c r="N652" i="7" s="1"/>
  <c r="H652" i="7" s="1"/>
  <c r="E652" i="7"/>
  <c r="D652" i="7"/>
  <c r="C652" i="7"/>
  <c r="I652" i="7" s="1"/>
  <c r="H637" i="7"/>
  <c r="G637" i="7"/>
  <c r="F637" i="7"/>
  <c r="E637" i="7"/>
  <c r="D637" i="7"/>
  <c r="C637" i="7"/>
  <c r="H636" i="7"/>
  <c r="B673" i="7" s="1"/>
  <c r="G636" i="7"/>
  <c r="F636" i="7"/>
  <c r="E636" i="7"/>
  <c r="D636" i="7"/>
  <c r="C636" i="7"/>
  <c r="B618" i="7"/>
  <c r="B620" i="7" s="1"/>
  <c r="B619" i="7" s="1"/>
  <c r="B610" i="7"/>
  <c r="B606" i="7"/>
  <c r="B607" i="7" s="1"/>
  <c r="B603" i="7"/>
  <c r="J583" i="7"/>
  <c r="I583" i="7"/>
  <c r="F583" i="7"/>
  <c r="E583" i="7"/>
  <c r="D583" i="7"/>
  <c r="H583" i="7" s="1"/>
  <c r="C583" i="7"/>
  <c r="G583" i="7" s="1"/>
  <c r="J582" i="7"/>
  <c r="I582" i="7"/>
  <c r="F582" i="7"/>
  <c r="E582" i="7"/>
  <c r="D582" i="7"/>
  <c r="H582" i="7" s="1"/>
  <c r="C582" i="7"/>
  <c r="G582" i="7" s="1"/>
  <c r="J581" i="7"/>
  <c r="I581" i="7"/>
  <c r="F581" i="7"/>
  <c r="E581" i="7"/>
  <c r="D581" i="7"/>
  <c r="H581" i="7" s="1"/>
  <c r="C581" i="7"/>
  <c r="G581" i="7" s="1"/>
  <c r="K581" i="7" s="1"/>
  <c r="M573" i="7"/>
  <c r="N573" i="7" s="1"/>
  <c r="H573" i="7" s="1"/>
  <c r="I573" i="7"/>
  <c r="L573" i="7" s="1"/>
  <c r="G573" i="7"/>
  <c r="F573" i="7"/>
  <c r="E573" i="7"/>
  <c r="D573" i="7"/>
  <c r="C573" i="7"/>
  <c r="H559" i="7"/>
  <c r="G559" i="7"/>
  <c r="F559" i="7"/>
  <c r="E559" i="7"/>
  <c r="D559" i="7"/>
  <c r="C559" i="7"/>
  <c r="H558" i="7"/>
  <c r="G558" i="7"/>
  <c r="F558" i="7"/>
  <c r="E558" i="7"/>
  <c r="D558" i="7"/>
  <c r="C558" i="7"/>
  <c r="H557" i="7"/>
  <c r="B594" i="7" s="1"/>
  <c r="B624" i="7" s="1"/>
  <c r="G557" i="7"/>
  <c r="F557" i="7"/>
  <c r="E557" i="7"/>
  <c r="D557" i="7"/>
  <c r="C557" i="7"/>
  <c r="B541" i="7"/>
  <c r="B540" i="7"/>
  <c r="B539" i="7"/>
  <c r="B528" i="7"/>
  <c r="B527" i="7"/>
  <c r="B524" i="7"/>
  <c r="B531" i="7" s="1"/>
  <c r="B533" i="7" s="1"/>
  <c r="B534" i="7" s="1"/>
  <c r="J504" i="7"/>
  <c r="I504" i="7"/>
  <c r="F504" i="7"/>
  <c r="E504" i="7"/>
  <c r="D504" i="7"/>
  <c r="H504" i="7" s="1"/>
  <c r="C504" i="7"/>
  <c r="G504" i="7" s="1"/>
  <c r="J503" i="7"/>
  <c r="I503" i="7"/>
  <c r="F503" i="7"/>
  <c r="E503" i="7"/>
  <c r="D503" i="7"/>
  <c r="H503" i="7" s="1"/>
  <c r="C503" i="7"/>
  <c r="G503" i="7" s="1"/>
  <c r="K503" i="7" s="1"/>
  <c r="J502" i="7"/>
  <c r="I502" i="7"/>
  <c r="F502" i="7"/>
  <c r="E502" i="7"/>
  <c r="D502" i="7"/>
  <c r="H502" i="7" s="1"/>
  <c r="C502" i="7"/>
  <c r="G502" i="7" s="1"/>
  <c r="H483" i="7"/>
  <c r="G483" i="7"/>
  <c r="F483" i="7"/>
  <c r="E483" i="7"/>
  <c r="D483" i="7"/>
  <c r="C483" i="7"/>
  <c r="H482" i="7"/>
  <c r="G482" i="7"/>
  <c r="F482" i="7"/>
  <c r="E482" i="7"/>
  <c r="D482" i="7"/>
  <c r="C482" i="7"/>
  <c r="H481" i="7"/>
  <c r="G481" i="7"/>
  <c r="F481" i="7"/>
  <c r="E481" i="7"/>
  <c r="D481" i="7"/>
  <c r="C481" i="7"/>
  <c r="H480" i="7"/>
  <c r="G480" i="7"/>
  <c r="F480" i="7"/>
  <c r="E480" i="7"/>
  <c r="D480" i="7"/>
  <c r="C480" i="7"/>
  <c r="F479" i="7"/>
  <c r="D479" i="7"/>
  <c r="C479" i="7"/>
  <c r="F478" i="7"/>
  <c r="D478" i="7"/>
  <c r="C478" i="7"/>
  <c r="B463" i="7"/>
  <c r="B462" i="7" s="1"/>
  <c r="B461" i="7"/>
  <c r="B455" i="7"/>
  <c r="B456" i="7" s="1"/>
  <c r="B453" i="7"/>
  <c r="G453" i="7" s="1"/>
  <c r="B449" i="7"/>
  <c r="B450" i="7" s="1"/>
  <c r="B446" i="7"/>
  <c r="J428" i="7"/>
  <c r="I428" i="7"/>
  <c r="F428" i="7"/>
  <c r="E428" i="7"/>
  <c r="D428" i="7"/>
  <c r="H428" i="7" s="1"/>
  <c r="C428" i="7"/>
  <c r="G428" i="7" s="1"/>
  <c r="K428" i="7" s="1"/>
  <c r="J427" i="7"/>
  <c r="I427" i="7"/>
  <c r="F427" i="7"/>
  <c r="E427" i="7"/>
  <c r="D427" i="7"/>
  <c r="H427" i="7" s="1"/>
  <c r="C427" i="7"/>
  <c r="G427" i="7" s="1"/>
  <c r="J426" i="7"/>
  <c r="I426" i="7"/>
  <c r="F426" i="7"/>
  <c r="E426" i="7"/>
  <c r="D426" i="7"/>
  <c r="H426" i="7" s="1"/>
  <c r="C426" i="7"/>
  <c r="G426" i="7" s="1"/>
  <c r="K426" i="7" s="1"/>
  <c r="J425" i="7"/>
  <c r="I425" i="7"/>
  <c r="F425" i="7"/>
  <c r="E425" i="7"/>
  <c r="D425" i="7"/>
  <c r="H425" i="7" s="1"/>
  <c r="C425" i="7"/>
  <c r="G425" i="7" s="1"/>
  <c r="J424" i="7"/>
  <c r="I424" i="7"/>
  <c r="F424" i="7"/>
  <c r="E424" i="7"/>
  <c r="D424" i="7"/>
  <c r="H424" i="7" s="1"/>
  <c r="C424" i="7"/>
  <c r="G424" i="7" s="1"/>
  <c r="K424" i="7" s="1"/>
  <c r="F402" i="7"/>
  <c r="D402" i="7"/>
  <c r="C402" i="7"/>
  <c r="F401" i="7"/>
  <c r="D401" i="7"/>
  <c r="C401" i="7"/>
  <c r="F400" i="7"/>
  <c r="D400" i="7"/>
  <c r="C400" i="7"/>
  <c r="B383" i="7"/>
  <c r="B385" i="7" s="1"/>
  <c r="B384" i="7" s="1"/>
  <c r="B372" i="7"/>
  <c r="B371" i="7"/>
  <c r="B368" i="7"/>
  <c r="B375" i="7" s="1"/>
  <c r="J350" i="7"/>
  <c r="I350" i="7"/>
  <c r="H350" i="7"/>
  <c r="F350" i="7"/>
  <c r="E350" i="7"/>
  <c r="D350" i="7"/>
  <c r="C350" i="7"/>
  <c r="G350" i="7" s="1"/>
  <c r="K350" i="7" s="1"/>
  <c r="J349" i="7"/>
  <c r="I349" i="7"/>
  <c r="F349" i="7"/>
  <c r="E349" i="7"/>
  <c r="D349" i="7"/>
  <c r="H349" i="7" s="1"/>
  <c r="C349" i="7"/>
  <c r="G349" i="7" s="1"/>
  <c r="J348" i="7"/>
  <c r="I348" i="7"/>
  <c r="F348" i="7"/>
  <c r="E348" i="7"/>
  <c r="D348" i="7"/>
  <c r="H348" i="7" s="1"/>
  <c r="C348" i="7"/>
  <c r="G348" i="7" s="1"/>
  <c r="K348" i="7" s="1"/>
  <c r="J347" i="7"/>
  <c r="I347" i="7"/>
  <c r="F347" i="7"/>
  <c r="E347" i="7"/>
  <c r="D347" i="7"/>
  <c r="H347" i="7" s="1"/>
  <c r="C347" i="7"/>
  <c r="G347" i="7" s="1"/>
  <c r="K347" i="7" s="1"/>
  <c r="J346" i="7"/>
  <c r="I346" i="7"/>
  <c r="F346" i="7"/>
  <c r="E346" i="7"/>
  <c r="D346" i="7"/>
  <c r="H346" i="7" s="1"/>
  <c r="C346" i="7"/>
  <c r="G346" i="7" s="1"/>
  <c r="F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B306" i="7"/>
  <c r="B305" i="7" s="1"/>
  <c r="B304" i="7"/>
  <c r="B292" i="7"/>
  <c r="B289" i="7"/>
  <c r="B296" i="7" s="1"/>
  <c r="G296" i="7" s="1"/>
  <c r="J270" i="7"/>
  <c r="I270" i="7"/>
  <c r="F270" i="7"/>
  <c r="E270" i="7"/>
  <c r="D270" i="7"/>
  <c r="H270" i="7" s="1"/>
  <c r="C270" i="7"/>
  <c r="G270" i="7" s="1"/>
  <c r="K269" i="7"/>
  <c r="J269" i="7"/>
  <c r="I269" i="7"/>
  <c r="F269" i="7"/>
  <c r="E269" i="7"/>
  <c r="D269" i="7"/>
  <c r="H269" i="7" s="1"/>
  <c r="C269" i="7"/>
  <c r="G269" i="7" s="1"/>
  <c r="J268" i="7"/>
  <c r="I268" i="7"/>
  <c r="F268" i="7"/>
  <c r="E268" i="7"/>
  <c r="D268" i="7"/>
  <c r="H268" i="7" s="1"/>
  <c r="C268" i="7"/>
  <c r="G268" i="7" s="1"/>
  <c r="J267" i="7"/>
  <c r="I267" i="7"/>
  <c r="F267" i="7"/>
  <c r="E267" i="7"/>
  <c r="D267" i="7"/>
  <c r="H267" i="7" s="1"/>
  <c r="C267" i="7"/>
  <c r="G267" i="7" s="1"/>
  <c r="K267" i="7" s="1"/>
  <c r="F246" i="7"/>
  <c r="D246" i="7"/>
  <c r="C246" i="7"/>
  <c r="F245" i="7"/>
  <c r="E245" i="7"/>
  <c r="D245" i="7"/>
  <c r="C245" i="7"/>
  <c r="F244" i="7"/>
  <c r="D244" i="7"/>
  <c r="C244" i="7"/>
  <c r="F243" i="7"/>
  <c r="E243" i="7"/>
  <c r="D243" i="7"/>
  <c r="C243" i="7"/>
  <c r="B225" i="7"/>
  <c r="B227" i="7" s="1"/>
  <c r="B226" i="7" s="1"/>
  <c r="B217" i="7"/>
  <c r="B219" i="7" s="1"/>
  <c r="B220" i="7" s="1"/>
  <c r="B213" i="7"/>
  <c r="B210" i="7"/>
  <c r="J190" i="7"/>
  <c r="I190" i="7"/>
  <c r="F190" i="7"/>
  <c r="E190" i="7"/>
  <c r="D190" i="7"/>
  <c r="H190" i="7" s="1"/>
  <c r="C190" i="7"/>
  <c r="G190" i="7" s="1"/>
  <c r="K190" i="7" s="1"/>
  <c r="J189" i="7"/>
  <c r="I189" i="7"/>
  <c r="F189" i="7"/>
  <c r="E189" i="7"/>
  <c r="D189" i="7"/>
  <c r="H189" i="7" s="1"/>
  <c r="C189" i="7"/>
  <c r="G189" i="7" s="1"/>
  <c r="J188" i="7"/>
  <c r="I188" i="7"/>
  <c r="F188" i="7"/>
  <c r="E188" i="7"/>
  <c r="D188" i="7"/>
  <c r="H188" i="7" s="1"/>
  <c r="C188" i="7"/>
  <c r="G188" i="7" s="1"/>
  <c r="M180" i="7"/>
  <c r="I180" i="7"/>
  <c r="L180" i="7" s="1"/>
  <c r="N180" i="7" s="1"/>
  <c r="H180" i="7" s="1"/>
  <c r="G180" i="7"/>
  <c r="F180" i="7"/>
  <c r="E180" i="7"/>
  <c r="D180" i="7"/>
  <c r="C180" i="7"/>
  <c r="F165" i="7"/>
  <c r="D165" i="7"/>
  <c r="C165" i="7"/>
  <c r="F164" i="7"/>
  <c r="E164" i="7"/>
  <c r="D164" i="7"/>
  <c r="C164" i="7"/>
  <c r="E109" i="7"/>
  <c r="D109" i="7"/>
  <c r="H109" i="7" s="1"/>
  <c r="C109" i="7"/>
  <c r="G109" i="7" s="1"/>
  <c r="E108" i="7"/>
  <c r="D108" i="7"/>
  <c r="H108" i="7" s="1"/>
  <c r="C108" i="7"/>
  <c r="G108" i="7" s="1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E34" i="7"/>
  <c r="D34" i="7"/>
  <c r="H34" i="7" s="1"/>
  <c r="C34" i="7"/>
  <c r="G34" i="7" s="1"/>
  <c r="E33" i="7"/>
  <c r="D33" i="7"/>
  <c r="H33" i="7" s="1"/>
  <c r="C33" i="7"/>
  <c r="G33" i="7" s="1"/>
  <c r="K28" i="7"/>
  <c r="D28" i="7"/>
  <c r="C28" i="7"/>
  <c r="B21" i="7"/>
  <c r="E21" i="7" s="1"/>
  <c r="B19" i="7"/>
  <c r="C19" i="7" s="1"/>
  <c r="B18" i="7"/>
  <c r="F18" i="7" s="1"/>
  <c r="B17" i="7"/>
  <c r="F17" i="7" s="1"/>
  <c r="B16" i="7"/>
  <c r="B15" i="7"/>
  <c r="F15" i="7" s="1"/>
  <c r="B14" i="7"/>
  <c r="B13" i="7"/>
  <c r="F13" i="7" s="1"/>
  <c r="V12" i="7"/>
  <c r="B12" i="7"/>
  <c r="C12" i="7" s="1"/>
  <c r="V11" i="7"/>
  <c r="V10" i="7"/>
  <c r="V9" i="7"/>
  <c r="V8" i="7"/>
  <c r="V7" i="7"/>
  <c r="AG49" i="6"/>
  <c r="AE49" i="6"/>
  <c r="AE46" i="6"/>
  <c r="AD46" i="6"/>
  <c r="AE45" i="6"/>
  <c r="AD45" i="6"/>
  <c r="AE44" i="6"/>
  <c r="AD44" i="6"/>
  <c r="AE43" i="6"/>
  <c r="AD43" i="6"/>
  <c r="AE42" i="6"/>
  <c r="AD42" i="6"/>
  <c r="G36" i="6"/>
  <c r="B36" i="6" s="1"/>
  <c r="AG35" i="6"/>
  <c r="AE35" i="6"/>
  <c r="AE32" i="6"/>
  <c r="AD32" i="6"/>
  <c r="AE31" i="6"/>
  <c r="AD31" i="6"/>
  <c r="AE30" i="6"/>
  <c r="AD30" i="6"/>
  <c r="AE29" i="6"/>
  <c r="AD29" i="6"/>
  <c r="B26" i="6"/>
  <c r="AE25" i="6"/>
  <c r="AD25" i="6"/>
  <c r="O25" i="6"/>
  <c r="AE24" i="6"/>
  <c r="AD24" i="6"/>
  <c r="Q24" i="6"/>
  <c r="G91" i="7" s="1"/>
  <c r="AE23" i="6"/>
  <c r="AD23" i="6"/>
  <c r="Q23" i="6"/>
  <c r="Q22" i="6"/>
  <c r="G89" i="7" s="1"/>
  <c r="Q21" i="6"/>
  <c r="B19" i="6"/>
  <c r="AE19" i="6"/>
  <c r="AD19" i="6"/>
  <c r="AE18" i="6"/>
  <c r="AD18" i="6"/>
  <c r="AE17" i="6"/>
  <c r="AD17" i="6"/>
  <c r="AE16" i="6"/>
  <c r="Q16" i="6"/>
  <c r="G22" i="7" s="1"/>
  <c r="O16" i="6"/>
  <c r="U16" i="6" s="1"/>
  <c r="AE15" i="6"/>
  <c r="AD15" i="6"/>
  <c r="H13" i="6"/>
  <c r="Q13" i="6"/>
  <c r="Q12" i="6"/>
  <c r="Q11" i="6"/>
  <c r="AE10" i="6"/>
  <c r="AG5" i="6" s="1"/>
  <c r="AD10" i="6"/>
  <c r="Q10" i="6"/>
  <c r="AE9" i="6"/>
  <c r="AD9" i="6"/>
  <c r="AE8" i="6"/>
  <c r="AA8" i="6"/>
  <c r="AE7" i="6"/>
  <c r="AD7" i="6"/>
  <c r="H6" i="6"/>
  <c r="B6" i="6"/>
  <c r="B23" i="6" s="1"/>
  <c r="B4" i="6"/>
  <c r="O43" i="6" s="1"/>
  <c r="B778" i="5"/>
  <c r="B777" i="5" s="1"/>
  <c r="B776" i="5"/>
  <c r="B764" i="5"/>
  <c r="B761" i="5"/>
  <c r="B768" i="5" s="1"/>
  <c r="G768" i="5" s="1"/>
  <c r="J750" i="5"/>
  <c r="I750" i="5"/>
  <c r="F750" i="5"/>
  <c r="E750" i="5"/>
  <c r="D750" i="5"/>
  <c r="H750" i="5" s="1"/>
  <c r="C750" i="5"/>
  <c r="G750" i="5" s="1"/>
  <c r="J749" i="5"/>
  <c r="I749" i="5"/>
  <c r="F749" i="5"/>
  <c r="E749" i="5"/>
  <c r="D749" i="5"/>
  <c r="H749" i="5" s="1"/>
  <c r="C749" i="5"/>
  <c r="G749" i="5" s="1"/>
  <c r="K749" i="5" s="1"/>
  <c r="J748" i="5"/>
  <c r="I748" i="5"/>
  <c r="H748" i="5"/>
  <c r="F748" i="5"/>
  <c r="E748" i="5"/>
  <c r="D748" i="5"/>
  <c r="C748" i="5"/>
  <c r="G748" i="5" s="1"/>
  <c r="K748" i="5" s="1"/>
  <c r="J747" i="5"/>
  <c r="I747" i="5"/>
  <c r="F747" i="5"/>
  <c r="E747" i="5"/>
  <c r="D747" i="5"/>
  <c r="H747" i="5" s="1"/>
  <c r="C747" i="5"/>
  <c r="G747" i="5" s="1"/>
  <c r="K747" i="5" s="1"/>
  <c r="J746" i="5"/>
  <c r="I746" i="5"/>
  <c r="F746" i="5"/>
  <c r="E746" i="5"/>
  <c r="D746" i="5"/>
  <c r="H746" i="5" s="1"/>
  <c r="C746" i="5"/>
  <c r="G746" i="5" s="1"/>
  <c r="K746" i="5" s="1"/>
  <c r="J745" i="5"/>
  <c r="I745" i="5"/>
  <c r="F745" i="5"/>
  <c r="E745" i="5"/>
  <c r="D745" i="5"/>
  <c r="H745" i="5" s="1"/>
  <c r="C745" i="5"/>
  <c r="G745" i="5" s="1"/>
  <c r="K745" i="5" s="1"/>
  <c r="J744" i="5"/>
  <c r="I744" i="5"/>
  <c r="F744" i="5"/>
  <c r="E744" i="5"/>
  <c r="D744" i="5"/>
  <c r="H744" i="5" s="1"/>
  <c r="C744" i="5"/>
  <c r="G744" i="5" s="1"/>
  <c r="J743" i="5"/>
  <c r="I743" i="5"/>
  <c r="F743" i="5"/>
  <c r="E743" i="5"/>
  <c r="D743" i="5"/>
  <c r="H743" i="5" s="1"/>
  <c r="C743" i="5"/>
  <c r="G743" i="5" s="1"/>
  <c r="J742" i="5"/>
  <c r="I742" i="5"/>
  <c r="F742" i="5"/>
  <c r="E742" i="5"/>
  <c r="D742" i="5"/>
  <c r="H742" i="5" s="1"/>
  <c r="C742" i="5"/>
  <c r="G742" i="5" s="1"/>
  <c r="J741" i="5"/>
  <c r="I741" i="5"/>
  <c r="F741" i="5"/>
  <c r="E741" i="5"/>
  <c r="D741" i="5"/>
  <c r="H741" i="5" s="1"/>
  <c r="C741" i="5"/>
  <c r="G741" i="5" s="1"/>
  <c r="K741" i="5" s="1"/>
  <c r="J740" i="5"/>
  <c r="I740" i="5"/>
  <c r="H740" i="5"/>
  <c r="F740" i="5"/>
  <c r="E740" i="5"/>
  <c r="D740" i="5"/>
  <c r="C740" i="5"/>
  <c r="G740" i="5" s="1"/>
  <c r="K740" i="5" s="1"/>
  <c r="J739" i="5"/>
  <c r="I739" i="5"/>
  <c r="F739" i="5"/>
  <c r="E739" i="5"/>
  <c r="D739" i="5"/>
  <c r="H739" i="5" s="1"/>
  <c r="C739" i="5"/>
  <c r="G739" i="5" s="1"/>
  <c r="K739" i="5" s="1"/>
  <c r="B752" i="5" s="1"/>
  <c r="M731" i="5"/>
  <c r="G731" i="5"/>
  <c r="F731" i="5"/>
  <c r="E731" i="5"/>
  <c r="D731" i="5"/>
  <c r="C731" i="5"/>
  <c r="I731" i="5" s="1"/>
  <c r="L731" i="5" s="1"/>
  <c r="H717" i="5"/>
  <c r="G717" i="5"/>
  <c r="F717" i="5"/>
  <c r="E717" i="5"/>
  <c r="D717" i="5"/>
  <c r="C717" i="5"/>
  <c r="H716" i="5"/>
  <c r="G716" i="5"/>
  <c r="F716" i="5"/>
  <c r="E716" i="5"/>
  <c r="D716" i="5"/>
  <c r="C716" i="5"/>
  <c r="H715" i="5"/>
  <c r="G715" i="5"/>
  <c r="F715" i="5"/>
  <c r="E715" i="5"/>
  <c r="D715" i="5"/>
  <c r="C715" i="5"/>
  <c r="B697" i="5"/>
  <c r="B699" i="5" s="1"/>
  <c r="B698" i="5" s="1"/>
  <c r="B692" i="5"/>
  <c r="G689" i="5"/>
  <c r="B689" i="5"/>
  <c r="B691" i="5" s="1"/>
  <c r="B685" i="5"/>
  <c r="B682" i="5"/>
  <c r="K661" i="5"/>
  <c r="J661" i="5"/>
  <c r="I661" i="5"/>
  <c r="F661" i="5"/>
  <c r="E661" i="5"/>
  <c r="D661" i="5"/>
  <c r="H661" i="5" s="1"/>
  <c r="C661" i="5"/>
  <c r="G661" i="5" s="1"/>
  <c r="J660" i="5"/>
  <c r="I660" i="5"/>
  <c r="H660" i="5"/>
  <c r="F660" i="5"/>
  <c r="E660" i="5"/>
  <c r="D660" i="5"/>
  <c r="C660" i="5"/>
  <c r="G660" i="5" s="1"/>
  <c r="K660" i="5" s="1"/>
  <c r="G652" i="5"/>
  <c r="F652" i="5"/>
  <c r="M652" i="5" s="1"/>
  <c r="E652" i="5"/>
  <c r="D652" i="5"/>
  <c r="C652" i="5"/>
  <c r="I652" i="5" s="1"/>
  <c r="L652" i="5" s="1"/>
  <c r="H637" i="5"/>
  <c r="G637" i="5"/>
  <c r="F637" i="5"/>
  <c r="E637" i="5"/>
  <c r="D637" i="5"/>
  <c r="C637" i="5"/>
  <c r="H636" i="5"/>
  <c r="B673" i="5" s="1"/>
  <c r="G636" i="5"/>
  <c r="F636" i="5"/>
  <c r="E636" i="5"/>
  <c r="D636" i="5"/>
  <c r="C636" i="5"/>
  <c r="B618" i="5"/>
  <c r="B620" i="5" s="1"/>
  <c r="B619" i="5" s="1"/>
  <c r="B610" i="5"/>
  <c r="B606" i="5"/>
  <c r="B607" i="5" s="1"/>
  <c r="B603" i="5"/>
  <c r="J583" i="5"/>
  <c r="I583" i="5"/>
  <c r="F583" i="5"/>
  <c r="E583" i="5"/>
  <c r="D583" i="5"/>
  <c r="H583" i="5" s="1"/>
  <c r="C583" i="5"/>
  <c r="G583" i="5" s="1"/>
  <c r="K583" i="5" s="1"/>
  <c r="J582" i="5"/>
  <c r="I582" i="5"/>
  <c r="F582" i="5"/>
  <c r="E582" i="5"/>
  <c r="D582" i="5"/>
  <c r="H582" i="5" s="1"/>
  <c r="C582" i="5"/>
  <c r="G582" i="5" s="1"/>
  <c r="K582" i="5" s="1"/>
  <c r="J581" i="5"/>
  <c r="I581" i="5"/>
  <c r="F581" i="5"/>
  <c r="E581" i="5"/>
  <c r="D581" i="5"/>
  <c r="H581" i="5" s="1"/>
  <c r="C581" i="5"/>
  <c r="G581" i="5" s="1"/>
  <c r="K581" i="5" s="1"/>
  <c r="M573" i="5"/>
  <c r="I573" i="5"/>
  <c r="L573" i="5" s="1"/>
  <c r="G573" i="5"/>
  <c r="F573" i="5"/>
  <c r="E573" i="5"/>
  <c r="D573" i="5"/>
  <c r="C573" i="5"/>
  <c r="H559" i="5"/>
  <c r="G559" i="5"/>
  <c r="F559" i="5"/>
  <c r="E559" i="5"/>
  <c r="D559" i="5"/>
  <c r="C559" i="5"/>
  <c r="H558" i="5"/>
  <c r="G558" i="5"/>
  <c r="F558" i="5"/>
  <c r="E558" i="5"/>
  <c r="D558" i="5"/>
  <c r="C558" i="5"/>
  <c r="H557" i="5"/>
  <c r="B594" i="5" s="1"/>
  <c r="B624" i="5" s="1"/>
  <c r="G557" i="5"/>
  <c r="F557" i="5"/>
  <c r="E557" i="5"/>
  <c r="D557" i="5"/>
  <c r="C557" i="5"/>
  <c r="B541" i="5"/>
  <c r="B540" i="5"/>
  <c r="B539" i="5"/>
  <c r="B528" i="5"/>
  <c r="B527" i="5"/>
  <c r="B524" i="5"/>
  <c r="B531" i="5" s="1"/>
  <c r="B533" i="5" s="1"/>
  <c r="B534" i="5" s="1"/>
  <c r="J504" i="5"/>
  <c r="I504" i="5"/>
  <c r="F504" i="5"/>
  <c r="E504" i="5"/>
  <c r="D504" i="5"/>
  <c r="H504" i="5" s="1"/>
  <c r="C504" i="5"/>
  <c r="G504" i="5" s="1"/>
  <c r="K504" i="5" s="1"/>
  <c r="J503" i="5"/>
  <c r="I503" i="5"/>
  <c r="F503" i="5"/>
  <c r="E503" i="5"/>
  <c r="D503" i="5"/>
  <c r="H503" i="5" s="1"/>
  <c r="C503" i="5"/>
  <c r="G503" i="5" s="1"/>
  <c r="K503" i="5" s="1"/>
  <c r="J502" i="5"/>
  <c r="I502" i="5"/>
  <c r="F502" i="5"/>
  <c r="E502" i="5"/>
  <c r="D502" i="5"/>
  <c r="H502" i="5" s="1"/>
  <c r="C502" i="5"/>
  <c r="G502" i="5" s="1"/>
  <c r="H483" i="5"/>
  <c r="G483" i="5"/>
  <c r="F483" i="5"/>
  <c r="E483" i="5"/>
  <c r="D483" i="5"/>
  <c r="C483" i="5"/>
  <c r="H482" i="5"/>
  <c r="G482" i="5"/>
  <c r="F482" i="5"/>
  <c r="E482" i="5"/>
  <c r="D482" i="5"/>
  <c r="C482" i="5"/>
  <c r="H481" i="5"/>
  <c r="G481" i="5"/>
  <c r="F481" i="5"/>
  <c r="E481" i="5"/>
  <c r="D481" i="5"/>
  <c r="C481" i="5"/>
  <c r="H480" i="5"/>
  <c r="G480" i="5"/>
  <c r="F480" i="5"/>
  <c r="E480" i="5"/>
  <c r="D480" i="5"/>
  <c r="C480" i="5"/>
  <c r="F479" i="5"/>
  <c r="D479" i="5"/>
  <c r="C479" i="5"/>
  <c r="F478" i="5"/>
  <c r="D478" i="5"/>
  <c r="C478" i="5"/>
  <c r="B463" i="5"/>
  <c r="B462" i="5" s="1"/>
  <c r="B461" i="5"/>
  <c r="B455" i="5"/>
  <c r="B456" i="5" s="1"/>
  <c r="B453" i="5"/>
  <c r="G453" i="5" s="1"/>
  <c r="B449" i="5"/>
  <c r="B450" i="5" s="1"/>
  <c r="B446" i="5"/>
  <c r="J428" i="5"/>
  <c r="I428" i="5"/>
  <c r="F428" i="5"/>
  <c r="E428" i="5"/>
  <c r="D428" i="5"/>
  <c r="H428" i="5" s="1"/>
  <c r="C428" i="5"/>
  <c r="G428" i="5" s="1"/>
  <c r="K428" i="5" s="1"/>
  <c r="J427" i="5"/>
  <c r="I427" i="5"/>
  <c r="F427" i="5"/>
  <c r="E427" i="5"/>
  <c r="D427" i="5"/>
  <c r="H427" i="5" s="1"/>
  <c r="C427" i="5"/>
  <c r="G427" i="5" s="1"/>
  <c r="J426" i="5"/>
  <c r="I426" i="5"/>
  <c r="F426" i="5"/>
  <c r="E426" i="5"/>
  <c r="D426" i="5"/>
  <c r="H426" i="5" s="1"/>
  <c r="C426" i="5"/>
  <c r="G426" i="5" s="1"/>
  <c r="J425" i="5"/>
  <c r="I425" i="5"/>
  <c r="H425" i="5"/>
  <c r="F425" i="5"/>
  <c r="E425" i="5"/>
  <c r="D425" i="5"/>
  <c r="C425" i="5"/>
  <c r="G425" i="5" s="1"/>
  <c r="K425" i="5" s="1"/>
  <c r="J424" i="5"/>
  <c r="I424" i="5"/>
  <c r="F424" i="5"/>
  <c r="E424" i="5"/>
  <c r="D424" i="5"/>
  <c r="H424" i="5" s="1"/>
  <c r="C424" i="5"/>
  <c r="G424" i="5" s="1"/>
  <c r="K424" i="5" s="1"/>
  <c r="F402" i="5"/>
  <c r="D402" i="5"/>
  <c r="C402" i="5"/>
  <c r="F401" i="5"/>
  <c r="D401" i="5"/>
  <c r="C401" i="5"/>
  <c r="F400" i="5"/>
  <c r="D400" i="5"/>
  <c r="C400" i="5"/>
  <c r="B383" i="5"/>
  <c r="B385" i="5" s="1"/>
  <c r="B384" i="5" s="1"/>
  <c r="B372" i="5"/>
  <c r="B371" i="5"/>
  <c r="B368" i="5"/>
  <c r="B375" i="5" s="1"/>
  <c r="J350" i="5"/>
  <c r="I350" i="5"/>
  <c r="F350" i="5"/>
  <c r="E350" i="5"/>
  <c r="D350" i="5"/>
  <c r="H350" i="5" s="1"/>
  <c r="C350" i="5"/>
  <c r="G350" i="5" s="1"/>
  <c r="J349" i="5"/>
  <c r="I349" i="5"/>
  <c r="F349" i="5"/>
  <c r="E349" i="5"/>
  <c r="D349" i="5"/>
  <c r="H349" i="5" s="1"/>
  <c r="C349" i="5"/>
  <c r="G349" i="5" s="1"/>
  <c r="K349" i="5" s="1"/>
  <c r="J348" i="5"/>
  <c r="I348" i="5"/>
  <c r="F348" i="5"/>
  <c r="E348" i="5"/>
  <c r="D348" i="5"/>
  <c r="H348" i="5" s="1"/>
  <c r="C348" i="5"/>
  <c r="G348" i="5" s="1"/>
  <c r="J347" i="5"/>
  <c r="I347" i="5"/>
  <c r="F347" i="5"/>
  <c r="E347" i="5"/>
  <c r="D347" i="5"/>
  <c r="H347" i="5" s="1"/>
  <c r="C347" i="5"/>
  <c r="G347" i="5" s="1"/>
  <c r="K347" i="5" s="1"/>
  <c r="J346" i="5"/>
  <c r="I346" i="5"/>
  <c r="F346" i="5"/>
  <c r="E346" i="5"/>
  <c r="D346" i="5"/>
  <c r="H346" i="5" s="1"/>
  <c r="C346" i="5"/>
  <c r="G346" i="5" s="1"/>
  <c r="F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B304" i="5"/>
  <c r="B306" i="5" s="1"/>
  <c r="B305" i="5" s="1"/>
  <c r="B296" i="5"/>
  <c r="B292" i="5"/>
  <c r="B289" i="5"/>
  <c r="J270" i="5"/>
  <c r="I270" i="5"/>
  <c r="H270" i="5"/>
  <c r="F270" i="5"/>
  <c r="E270" i="5"/>
  <c r="D270" i="5"/>
  <c r="C270" i="5"/>
  <c r="G270" i="5" s="1"/>
  <c r="K270" i="5" s="1"/>
  <c r="J269" i="5"/>
  <c r="I269" i="5"/>
  <c r="F269" i="5"/>
  <c r="E269" i="5"/>
  <c r="D269" i="5"/>
  <c r="H269" i="5" s="1"/>
  <c r="C269" i="5"/>
  <c r="G269" i="5" s="1"/>
  <c r="J268" i="5"/>
  <c r="I268" i="5"/>
  <c r="F268" i="5"/>
  <c r="E268" i="5"/>
  <c r="D268" i="5"/>
  <c r="H268" i="5" s="1"/>
  <c r="C268" i="5"/>
  <c r="G268" i="5" s="1"/>
  <c r="K268" i="5" s="1"/>
  <c r="J267" i="5"/>
  <c r="I267" i="5"/>
  <c r="F267" i="5"/>
  <c r="E267" i="5"/>
  <c r="D267" i="5"/>
  <c r="H267" i="5" s="1"/>
  <c r="C267" i="5"/>
  <c r="G267" i="5" s="1"/>
  <c r="K267" i="5" s="1"/>
  <c r="F246" i="5"/>
  <c r="D246" i="5"/>
  <c r="C246" i="5"/>
  <c r="F245" i="5"/>
  <c r="E245" i="5"/>
  <c r="D245" i="5"/>
  <c r="C245" i="5"/>
  <c r="F244" i="5"/>
  <c r="D244" i="5"/>
  <c r="C244" i="5"/>
  <c r="F243" i="5"/>
  <c r="E243" i="5"/>
  <c r="D243" i="5"/>
  <c r="C243" i="5"/>
  <c r="B225" i="5"/>
  <c r="B227" i="5" s="1"/>
  <c r="B226" i="5" s="1"/>
  <c r="B217" i="5"/>
  <c r="B219" i="5" s="1"/>
  <c r="B220" i="5" s="1"/>
  <c r="B213" i="5"/>
  <c r="B210" i="5"/>
  <c r="J190" i="5"/>
  <c r="I190" i="5"/>
  <c r="F190" i="5"/>
  <c r="E190" i="5"/>
  <c r="D190" i="5"/>
  <c r="H190" i="5" s="1"/>
  <c r="C190" i="5"/>
  <c r="G190" i="5" s="1"/>
  <c r="K190" i="5" s="1"/>
  <c r="J189" i="5"/>
  <c r="I189" i="5"/>
  <c r="F189" i="5"/>
  <c r="E189" i="5"/>
  <c r="D189" i="5"/>
  <c r="H189" i="5" s="1"/>
  <c r="C189" i="5"/>
  <c r="G189" i="5" s="1"/>
  <c r="J188" i="5"/>
  <c r="I188" i="5"/>
  <c r="F188" i="5"/>
  <c r="E188" i="5"/>
  <c r="D188" i="5"/>
  <c r="H188" i="5" s="1"/>
  <c r="C188" i="5"/>
  <c r="G188" i="5" s="1"/>
  <c r="K188" i="5" s="1"/>
  <c r="M180" i="5"/>
  <c r="I180" i="5"/>
  <c r="L180" i="5" s="1"/>
  <c r="G180" i="5"/>
  <c r="F180" i="5"/>
  <c r="E180" i="5"/>
  <c r="D180" i="5"/>
  <c r="C180" i="5"/>
  <c r="F165" i="5"/>
  <c r="D165" i="5"/>
  <c r="C165" i="5"/>
  <c r="F164" i="5"/>
  <c r="E164" i="5"/>
  <c r="D164" i="5"/>
  <c r="C164" i="5"/>
  <c r="B147" i="5"/>
  <c r="B146" i="5"/>
  <c r="B145" i="5"/>
  <c r="B133" i="5"/>
  <c r="B130" i="5"/>
  <c r="B137" i="5" s="1"/>
  <c r="J112" i="5"/>
  <c r="I112" i="5"/>
  <c r="F112" i="5"/>
  <c r="E112" i="5"/>
  <c r="D112" i="5"/>
  <c r="H112" i="5" s="1"/>
  <c r="C112" i="5"/>
  <c r="G112" i="5" s="1"/>
  <c r="K112" i="5" s="1"/>
  <c r="J111" i="5"/>
  <c r="I111" i="5"/>
  <c r="F111" i="5"/>
  <c r="E111" i="5"/>
  <c r="D111" i="5"/>
  <c r="H111" i="5" s="1"/>
  <c r="C111" i="5"/>
  <c r="G111" i="5" s="1"/>
  <c r="J110" i="5"/>
  <c r="I110" i="5"/>
  <c r="F110" i="5"/>
  <c r="E110" i="5"/>
  <c r="D110" i="5"/>
  <c r="H110" i="5" s="1"/>
  <c r="C110" i="5"/>
  <c r="G110" i="5" s="1"/>
  <c r="K110" i="5" s="1"/>
  <c r="J109" i="5"/>
  <c r="I109" i="5"/>
  <c r="F109" i="5"/>
  <c r="E109" i="5"/>
  <c r="D109" i="5"/>
  <c r="H109" i="5" s="1"/>
  <c r="C109" i="5"/>
  <c r="G109" i="5" s="1"/>
  <c r="J108" i="5"/>
  <c r="I108" i="5"/>
  <c r="F108" i="5"/>
  <c r="E108" i="5"/>
  <c r="D108" i="5"/>
  <c r="H108" i="5" s="1"/>
  <c r="C108" i="5"/>
  <c r="G108" i="5" s="1"/>
  <c r="K108" i="5" s="1"/>
  <c r="M100" i="5"/>
  <c r="I100" i="5"/>
  <c r="L100" i="5" s="1"/>
  <c r="G100" i="5"/>
  <c r="F100" i="5"/>
  <c r="E100" i="5"/>
  <c r="D100" i="5"/>
  <c r="C100" i="5"/>
  <c r="F86" i="5"/>
  <c r="D86" i="5"/>
  <c r="C86" i="5"/>
  <c r="F85" i="5"/>
  <c r="E85" i="5"/>
  <c r="D85" i="5"/>
  <c r="C85" i="5"/>
  <c r="F84" i="5"/>
  <c r="E84" i="5"/>
  <c r="D84" i="5"/>
  <c r="C84" i="5"/>
  <c r="B66" i="5"/>
  <c r="B68" i="5" s="1"/>
  <c r="B67" i="5" s="1"/>
  <c r="B55" i="5"/>
  <c r="B51" i="5"/>
  <c r="B58" i="5" s="1"/>
  <c r="B60" i="5" s="1"/>
  <c r="D28" i="5"/>
  <c r="C28" i="5"/>
  <c r="C21" i="5"/>
  <c r="B21" i="5"/>
  <c r="F21" i="5" s="1"/>
  <c r="B19" i="5"/>
  <c r="F19" i="5" s="1"/>
  <c r="B18" i="5"/>
  <c r="E17" i="5"/>
  <c r="D17" i="5"/>
  <c r="C17" i="5"/>
  <c r="B17" i="5"/>
  <c r="F17" i="5" s="1"/>
  <c r="D16" i="5"/>
  <c r="C16" i="5"/>
  <c r="B16" i="5"/>
  <c r="F16" i="5" s="1"/>
  <c r="D15" i="5"/>
  <c r="C15" i="5"/>
  <c r="B15" i="5"/>
  <c r="F15" i="5" s="1"/>
  <c r="D14" i="5"/>
  <c r="C14" i="5"/>
  <c r="B14" i="5"/>
  <c r="F14" i="5" s="1"/>
  <c r="D13" i="5"/>
  <c r="C13" i="5"/>
  <c r="B13" i="5"/>
  <c r="F13" i="5" s="1"/>
  <c r="V12" i="5"/>
  <c r="B12" i="5"/>
  <c r="V11" i="5"/>
  <c r="V10" i="5"/>
  <c r="V9" i="5"/>
  <c r="V8" i="5"/>
  <c r="V7" i="5"/>
  <c r="B778" i="4"/>
  <c r="B777" i="4"/>
  <c r="B776" i="4"/>
  <c r="B764" i="4"/>
  <c r="B761" i="4"/>
  <c r="B768" i="4" s="1"/>
  <c r="J750" i="4"/>
  <c r="I750" i="4"/>
  <c r="F750" i="4"/>
  <c r="E750" i="4"/>
  <c r="D750" i="4"/>
  <c r="H750" i="4" s="1"/>
  <c r="C750" i="4"/>
  <c r="G750" i="4" s="1"/>
  <c r="K750" i="4" s="1"/>
  <c r="J749" i="4"/>
  <c r="I749" i="4"/>
  <c r="F749" i="4"/>
  <c r="E749" i="4"/>
  <c r="D749" i="4"/>
  <c r="H749" i="4" s="1"/>
  <c r="C749" i="4"/>
  <c r="G749" i="4" s="1"/>
  <c r="J748" i="4"/>
  <c r="I748" i="4"/>
  <c r="F748" i="4"/>
  <c r="E748" i="4"/>
  <c r="D748" i="4"/>
  <c r="H748" i="4" s="1"/>
  <c r="C748" i="4"/>
  <c r="G748" i="4" s="1"/>
  <c r="K748" i="4" s="1"/>
  <c r="J747" i="4"/>
  <c r="I747" i="4"/>
  <c r="F747" i="4"/>
  <c r="E747" i="4"/>
  <c r="D747" i="4"/>
  <c r="H747" i="4" s="1"/>
  <c r="C747" i="4"/>
  <c r="G747" i="4" s="1"/>
  <c r="J746" i="4"/>
  <c r="I746" i="4"/>
  <c r="F746" i="4"/>
  <c r="E746" i="4"/>
  <c r="D746" i="4"/>
  <c r="H746" i="4" s="1"/>
  <c r="C746" i="4"/>
  <c r="G746" i="4" s="1"/>
  <c r="K746" i="4" s="1"/>
  <c r="J745" i="4"/>
  <c r="I745" i="4"/>
  <c r="H745" i="4"/>
  <c r="F745" i="4"/>
  <c r="E745" i="4"/>
  <c r="D745" i="4"/>
  <c r="C745" i="4"/>
  <c r="G745" i="4" s="1"/>
  <c r="K745" i="4" s="1"/>
  <c r="J744" i="4"/>
  <c r="I744" i="4"/>
  <c r="F744" i="4"/>
  <c r="E744" i="4"/>
  <c r="D744" i="4"/>
  <c r="H744" i="4" s="1"/>
  <c r="C744" i="4"/>
  <c r="G744" i="4" s="1"/>
  <c r="K744" i="4" s="1"/>
  <c r="J743" i="4"/>
  <c r="I743" i="4"/>
  <c r="F743" i="4"/>
  <c r="E743" i="4"/>
  <c r="D743" i="4"/>
  <c r="H743" i="4" s="1"/>
  <c r="C743" i="4"/>
  <c r="G743" i="4" s="1"/>
  <c r="K743" i="4" s="1"/>
  <c r="J742" i="4"/>
  <c r="I742" i="4"/>
  <c r="F742" i="4"/>
  <c r="E742" i="4"/>
  <c r="D742" i="4"/>
  <c r="H742" i="4" s="1"/>
  <c r="C742" i="4"/>
  <c r="G742" i="4" s="1"/>
  <c r="K742" i="4" s="1"/>
  <c r="J741" i="4"/>
  <c r="I741" i="4"/>
  <c r="H741" i="4"/>
  <c r="F741" i="4"/>
  <c r="E741" i="4"/>
  <c r="D741" i="4"/>
  <c r="C741" i="4"/>
  <c r="G741" i="4" s="1"/>
  <c r="K741" i="4" s="1"/>
  <c r="J740" i="4"/>
  <c r="I740" i="4"/>
  <c r="F740" i="4"/>
  <c r="E740" i="4"/>
  <c r="D740" i="4"/>
  <c r="H740" i="4" s="1"/>
  <c r="C740" i="4"/>
  <c r="G740" i="4" s="1"/>
  <c r="J739" i="4"/>
  <c r="B752" i="4" s="1"/>
  <c r="B753" i="4" s="1"/>
  <c r="B783" i="4" s="1"/>
  <c r="I739" i="4"/>
  <c r="F739" i="4"/>
  <c r="E739" i="4"/>
  <c r="D739" i="4"/>
  <c r="H739" i="4" s="1"/>
  <c r="C739" i="4"/>
  <c r="G739" i="4" s="1"/>
  <c r="N731" i="4"/>
  <c r="H731" i="4" s="1"/>
  <c r="G731" i="4"/>
  <c r="F731" i="4"/>
  <c r="M731" i="4" s="1"/>
  <c r="E731" i="4"/>
  <c r="D731" i="4"/>
  <c r="C731" i="4"/>
  <c r="I731" i="4" s="1"/>
  <c r="L731" i="4" s="1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B697" i="4"/>
  <c r="B699" i="4" s="1"/>
  <c r="B698" i="4" s="1"/>
  <c r="B689" i="4"/>
  <c r="B685" i="4"/>
  <c r="B682" i="4"/>
  <c r="J661" i="4"/>
  <c r="I661" i="4"/>
  <c r="F661" i="4"/>
  <c r="E661" i="4"/>
  <c r="D661" i="4"/>
  <c r="H661" i="4" s="1"/>
  <c r="C661" i="4"/>
  <c r="G661" i="4" s="1"/>
  <c r="J660" i="4"/>
  <c r="I660" i="4"/>
  <c r="F660" i="4"/>
  <c r="E660" i="4"/>
  <c r="D660" i="4"/>
  <c r="H660" i="4" s="1"/>
  <c r="C660" i="4"/>
  <c r="G660" i="4" s="1"/>
  <c r="M652" i="4"/>
  <c r="G652" i="4"/>
  <c r="B673" i="4" s="1"/>
  <c r="F652" i="4"/>
  <c r="E652" i="4"/>
  <c r="D652" i="4"/>
  <c r="C652" i="4"/>
  <c r="I652" i="4" s="1"/>
  <c r="L652" i="4" s="1"/>
  <c r="H637" i="4"/>
  <c r="G637" i="4"/>
  <c r="F637" i="4"/>
  <c r="E637" i="4"/>
  <c r="D637" i="4"/>
  <c r="C637" i="4"/>
  <c r="H636" i="4"/>
  <c r="G636" i="4"/>
  <c r="F636" i="4"/>
  <c r="E636" i="4"/>
  <c r="D636" i="4"/>
  <c r="C636" i="4"/>
  <c r="B619" i="4"/>
  <c r="B618" i="4"/>
  <c r="B620" i="4" s="1"/>
  <c r="G610" i="4"/>
  <c r="B607" i="4"/>
  <c r="B606" i="4"/>
  <c r="B603" i="4"/>
  <c r="B610" i="4" s="1"/>
  <c r="B612" i="4" s="1"/>
  <c r="B613" i="4" s="1"/>
  <c r="J583" i="4"/>
  <c r="I583" i="4"/>
  <c r="F583" i="4"/>
  <c r="E583" i="4"/>
  <c r="D583" i="4"/>
  <c r="H583" i="4" s="1"/>
  <c r="C583" i="4"/>
  <c r="G583" i="4" s="1"/>
  <c r="K583" i="4" s="1"/>
  <c r="J582" i="4"/>
  <c r="I582" i="4"/>
  <c r="F582" i="4"/>
  <c r="E582" i="4"/>
  <c r="D582" i="4"/>
  <c r="H582" i="4" s="1"/>
  <c r="C582" i="4"/>
  <c r="G582" i="4" s="1"/>
  <c r="K582" i="4" s="1"/>
  <c r="J581" i="4"/>
  <c r="I581" i="4"/>
  <c r="H581" i="4"/>
  <c r="F581" i="4"/>
  <c r="E581" i="4"/>
  <c r="D581" i="4"/>
  <c r="C581" i="4"/>
  <c r="G581" i="4" s="1"/>
  <c r="K581" i="4" s="1"/>
  <c r="L573" i="4"/>
  <c r="I573" i="4"/>
  <c r="G573" i="4"/>
  <c r="F573" i="4"/>
  <c r="M573" i="4" s="1"/>
  <c r="E573" i="4"/>
  <c r="D573" i="4"/>
  <c r="C573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B594" i="4" s="1"/>
  <c r="G557" i="4"/>
  <c r="F557" i="4"/>
  <c r="E557" i="4"/>
  <c r="D557" i="4"/>
  <c r="C557" i="4"/>
  <c r="B541" i="4"/>
  <c r="B540" i="4" s="1"/>
  <c r="B539" i="4"/>
  <c r="B533" i="4"/>
  <c r="B534" i="4" s="1"/>
  <c r="B531" i="4"/>
  <c r="G531" i="4" s="1"/>
  <c r="B527" i="4"/>
  <c r="B528" i="4" s="1"/>
  <c r="B524" i="4"/>
  <c r="J504" i="4"/>
  <c r="I504" i="4"/>
  <c r="F504" i="4"/>
  <c r="E504" i="4"/>
  <c r="D504" i="4"/>
  <c r="H504" i="4" s="1"/>
  <c r="C504" i="4"/>
  <c r="G504" i="4" s="1"/>
  <c r="K504" i="4" s="1"/>
  <c r="J503" i="4"/>
  <c r="I503" i="4"/>
  <c r="F503" i="4"/>
  <c r="E503" i="4"/>
  <c r="D503" i="4"/>
  <c r="H503" i="4" s="1"/>
  <c r="C503" i="4"/>
  <c r="G503" i="4" s="1"/>
  <c r="J502" i="4"/>
  <c r="I502" i="4"/>
  <c r="F502" i="4"/>
  <c r="E502" i="4"/>
  <c r="D502" i="4"/>
  <c r="H502" i="4" s="1"/>
  <c r="C502" i="4"/>
  <c r="G502" i="4" s="1"/>
  <c r="K502" i="4" s="1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F479" i="4"/>
  <c r="D479" i="4"/>
  <c r="C479" i="4"/>
  <c r="F478" i="4"/>
  <c r="D478" i="4"/>
  <c r="C478" i="4"/>
  <c r="B463" i="4"/>
  <c r="B462" i="4"/>
  <c r="B461" i="4"/>
  <c r="B450" i="4"/>
  <c r="B449" i="4"/>
  <c r="B446" i="4"/>
  <c r="B453" i="4" s="1"/>
  <c r="J428" i="4"/>
  <c r="I428" i="4"/>
  <c r="H428" i="4"/>
  <c r="F428" i="4"/>
  <c r="E428" i="4"/>
  <c r="D428" i="4"/>
  <c r="C428" i="4"/>
  <c r="G428" i="4" s="1"/>
  <c r="K428" i="4" s="1"/>
  <c r="J427" i="4"/>
  <c r="I427" i="4"/>
  <c r="F427" i="4"/>
  <c r="E427" i="4"/>
  <c r="D427" i="4"/>
  <c r="H427" i="4" s="1"/>
  <c r="C427" i="4"/>
  <c r="G427" i="4" s="1"/>
  <c r="K427" i="4" s="1"/>
  <c r="J426" i="4"/>
  <c r="I426" i="4"/>
  <c r="F426" i="4"/>
  <c r="E426" i="4"/>
  <c r="D426" i="4"/>
  <c r="H426" i="4" s="1"/>
  <c r="C426" i="4"/>
  <c r="G426" i="4" s="1"/>
  <c r="K426" i="4" s="1"/>
  <c r="J425" i="4"/>
  <c r="I425" i="4"/>
  <c r="F425" i="4"/>
  <c r="E425" i="4"/>
  <c r="D425" i="4"/>
  <c r="H425" i="4" s="1"/>
  <c r="C425" i="4"/>
  <c r="G425" i="4" s="1"/>
  <c r="K425" i="4" s="1"/>
  <c r="J424" i="4"/>
  <c r="I424" i="4"/>
  <c r="F424" i="4"/>
  <c r="E424" i="4"/>
  <c r="D424" i="4"/>
  <c r="H424" i="4" s="1"/>
  <c r="C424" i="4"/>
  <c r="G424" i="4" s="1"/>
  <c r="F402" i="4"/>
  <c r="D402" i="4"/>
  <c r="C402" i="4"/>
  <c r="F401" i="4"/>
  <c r="D401" i="4"/>
  <c r="C401" i="4"/>
  <c r="F400" i="4"/>
  <c r="D400" i="4"/>
  <c r="C400" i="4"/>
  <c r="B383" i="4"/>
  <c r="B385" i="4" s="1"/>
  <c r="B384" i="4" s="1"/>
  <c r="B375" i="4"/>
  <c r="B371" i="4"/>
  <c r="B372" i="4" s="1"/>
  <c r="B368" i="4"/>
  <c r="J350" i="4"/>
  <c r="I350" i="4"/>
  <c r="F350" i="4"/>
  <c r="E350" i="4"/>
  <c r="D350" i="4"/>
  <c r="H350" i="4" s="1"/>
  <c r="C350" i="4"/>
  <c r="G350" i="4" s="1"/>
  <c r="J349" i="4"/>
  <c r="I349" i="4"/>
  <c r="F349" i="4"/>
  <c r="E349" i="4"/>
  <c r="D349" i="4"/>
  <c r="H349" i="4" s="1"/>
  <c r="C349" i="4"/>
  <c r="G349" i="4" s="1"/>
  <c r="J348" i="4"/>
  <c r="I348" i="4"/>
  <c r="F348" i="4"/>
  <c r="E348" i="4"/>
  <c r="D348" i="4"/>
  <c r="H348" i="4" s="1"/>
  <c r="C348" i="4"/>
  <c r="G348" i="4" s="1"/>
  <c r="K348" i="4" s="1"/>
  <c r="J347" i="4"/>
  <c r="I347" i="4"/>
  <c r="F347" i="4"/>
  <c r="E347" i="4"/>
  <c r="D347" i="4"/>
  <c r="H347" i="4" s="1"/>
  <c r="C347" i="4"/>
  <c r="G347" i="4" s="1"/>
  <c r="J346" i="4"/>
  <c r="I346" i="4"/>
  <c r="F346" i="4"/>
  <c r="E346" i="4"/>
  <c r="D346" i="4"/>
  <c r="H346" i="4" s="1"/>
  <c r="C346" i="4"/>
  <c r="G346" i="4" s="1"/>
  <c r="K346" i="4" s="1"/>
  <c r="F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B304" i="4"/>
  <c r="B306" i="4" s="1"/>
  <c r="B305" i="4" s="1"/>
  <c r="B292" i="4"/>
  <c r="B289" i="4"/>
  <c r="B296" i="4" s="1"/>
  <c r="J270" i="4"/>
  <c r="I270" i="4"/>
  <c r="F270" i="4"/>
  <c r="E270" i="4"/>
  <c r="D270" i="4"/>
  <c r="H270" i="4" s="1"/>
  <c r="C270" i="4"/>
  <c r="G270" i="4" s="1"/>
  <c r="K270" i="4" s="1"/>
  <c r="J269" i="4"/>
  <c r="I269" i="4"/>
  <c r="F269" i="4"/>
  <c r="E269" i="4"/>
  <c r="D269" i="4"/>
  <c r="H269" i="4" s="1"/>
  <c r="C269" i="4"/>
  <c r="G269" i="4" s="1"/>
  <c r="J268" i="4"/>
  <c r="I268" i="4"/>
  <c r="F268" i="4"/>
  <c r="E268" i="4"/>
  <c r="D268" i="4"/>
  <c r="H268" i="4" s="1"/>
  <c r="C268" i="4"/>
  <c r="G268" i="4" s="1"/>
  <c r="J267" i="4"/>
  <c r="I267" i="4"/>
  <c r="F267" i="4"/>
  <c r="E267" i="4"/>
  <c r="D267" i="4"/>
  <c r="H267" i="4" s="1"/>
  <c r="C267" i="4"/>
  <c r="G267" i="4" s="1"/>
  <c r="F246" i="4"/>
  <c r="D246" i="4"/>
  <c r="C246" i="4"/>
  <c r="F245" i="4"/>
  <c r="E245" i="4"/>
  <c r="D245" i="4"/>
  <c r="C245" i="4"/>
  <c r="F244" i="4"/>
  <c r="D244" i="4"/>
  <c r="C244" i="4"/>
  <c r="F243" i="4"/>
  <c r="E243" i="4"/>
  <c r="D243" i="4"/>
  <c r="C243" i="4"/>
  <c r="B225" i="4"/>
  <c r="B227" i="4" s="1"/>
  <c r="B226" i="4" s="1"/>
  <c r="B217" i="4"/>
  <c r="B213" i="4"/>
  <c r="B210" i="4"/>
  <c r="J190" i="4"/>
  <c r="I190" i="4"/>
  <c r="H190" i="4"/>
  <c r="F190" i="4"/>
  <c r="E190" i="4"/>
  <c r="D190" i="4"/>
  <c r="C190" i="4"/>
  <c r="G190" i="4" s="1"/>
  <c r="K190" i="4" s="1"/>
  <c r="J189" i="4"/>
  <c r="I189" i="4"/>
  <c r="F189" i="4"/>
  <c r="E189" i="4"/>
  <c r="D189" i="4"/>
  <c r="H189" i="4" s="1"/>
  <c r="C189" i="4"/>
  <c r="G189" i="4" s="1"/>
  <c r="K189" i="4" s="1"/>
  <c r="J188" i="4"/>
  <c r="I188" i="4"/>
  <c r="F188" i="4"/>
  <c r="E188" i="4"/>
  <c r="D188" i="4"/>
  <c r="H188" i="4" s="1"/>
  <c r="C188" i="4"/>
  <c r="G188" i="4" s="1"/>
  <c r="K188" i="4" s="1"/>
  <c r="G180" i="4"/>
  <c r="F180" i="4"/>
  <c r="M180" i="4" s="1"/>
  <c r="N180" i="4" s="1"/>
  <c r="H180" i="4" s="1"/>
  <c r="E180" i="4"/>
  <c r="D180" i="4"/>
  <c r="C180" i="4"/>
  <c r="I180" i="4" s="1"/>
  <c r="L180" i="4" s="1"/>
  <c r="F165" i="4"/>
  <c r="D165" i="4"/>
  <c r="C165" i="4"/>
  <c r="F164" i="4"/>
  <c r="E164" i="4"/>
  <c r="D164" i="4"/>
  <c r="C164" i="4"/>
  <c r="B145" i="4"/>
  <c r="B147" i="4" s="1"/>
  <c r="B146" i="4" s="1"/>
  <c r="B133" i="4"/>
  <c r="B130" i="4"/>
  <c r="B137" i="4" s="1"/>
  <c r="J112" i="4"/>
  <c r="I112" i="4"/>
  <c r="H112" i="4"/>
  <c r="F112" i="4"/>
  <c r="E112" i="4"/>
  <c r="D112" i="4"/>
  <c r="C112" i="4"/>
  <c r="G112" i="4" s="1"/>
  <c r="K112" i="4" s="1"/>
  <c r="J111" i="4"/>
  <c r="I111" i="4"/>
  <c r="F111" i="4"/>
  <c r="E111" i="4"/>
  <c r="D111" i="4"/>
  <c r="H111" i="4" s="1"/>
  <c r="C111" i="4"/>
  <c r="G111" i="4" s="1"/>
  <c r="K111" i="4" s="1"/>
  <c r="J110" i="4"/>
  <c r="I110" i="4"/>
  <c r="F110" i="4"/>
  <c r="E110" i="4"/>
  <c r="D110" i="4"/>
  <c r="H110" i="4" s="1"/>
  <c r="C110" i="4"/>
  <c r="G110" i="4" s="1"/>
  <c r="J109" i="4"/>
  <c r="I109" i="4"/>
  <c r="F109" i="4"/>
  <c r="E109" i="4"/>
  <c r="D109" i="4"/>
  <c r="H109" i="4" s="1"/>
  <c r="C109" i="4"/>
  <c r="G109" i="4" s="1"/>
  <c r="K109" i="4" s="1"/>
  <c r="J108" i="4"/>
  <c r="I108" i="4"/>
  <c r="H108" i="4"/>
  <c r="F108" i="4"/>
  <c r="E108" i="4"/>
  <c r="D108" i="4"/>
  <c r="C108" i="4"/>
  <c r="G108" i="4" s="1"/>
  <c r="K108" i="4" s="1"/>
  <c r="L100" i="4"/>
  <c r="G100" i="4"/>
  <c r="F100" i="4"/>
  <c r="M100" i="4" s="1"/>
  <c r="N100" i="4" s="1"/>
  <c r="H100" i="4" s="1"/>
  <c r="E100" i="4"/>
  <c r="D100" i="4"/>
  <c r="C100" i="4"/>
  <c r="I100" i="4" s="1"/>
  <c r="F86" i="4"/>
  <c r="D86" i="4"/>
  <c r="C86" i="4"/>
  <c r="F85" i="4"/>
  <c r="E85" i="4"/>
  <c r="D85" i="4"/>
  <c r="C85" i="4"/>
  <c r="F84" i="4"/>
  <c r="E84" i="4"/>
  <c r="D84" i="4"/>
  <c r="C84" i="4"/>
  <c r="B68" i="4"/>
  <c r="B67" i="4" s="1"/>
  <c r="F55" i="4"/>
  <c r="B51" i="4"/>
  <c r="L28" i="4"/>
  <c r="D28" i="4"/>
  <c r="C28" i="4"/>
  <c r="D21" i="4"/>
  <c r="B21" i="4"/>
  <c r="E21" i="4" s="1"/>
  <c r="F19" i="4"/>
  <c r="E19" i="4"/>
  <c r="C19" i="4"/>
  <c r="B19" i="4"/>
  <c r="F18" i="4"/>
  <c r="C18" i="4"/>
  <c r="B18" i="4"/>
  <c r="E18" i="4" s="1"/>
  <c r="B17" i="4"/>
  <c r="D17" i="4" s="1"/>
  <c r="W16" i="4"/>
  <c r="D16" i="4"/>
  <c r="B16" i="4"/>
  <c r="D15" i="4"/>
  <c r="B15" i="4"/>
  <c r="D14" i="4"/>
  <c r="B14" i="4"/>
  <c r="D13" i="4"/>
  <c r="B13" i="4"/>
  <c r="V12" i="4"/>
  <c r="E12" i="4"/>
  <c r="C12" i="4"/>
  <c r="B12" i="4"/>
  <c r="F12" i="4" s="1"/>
  <c r="V11" i="4"/>
  <c r="V10" i="4"/>
  <c r="V9" i="4"/>
  <c r="V8" i="4"/>
  <c r="V7" i="4"/>
  <c r="B31" i="3"/>
  <c r="B30" i="3"/>
  <c r="B29" i="3"/>
  <c r="B28" i="3"/>
  <c r="B27" i="3"/>
  <c r="B26" i="3"/>
  <c r="B25" i="3"/>
  <c r="D20" i="3"/>
  <c r="D5" i="3"/>
  <c r="AF49" i="2"/>
  <c r="AD49" i="2"/>
  <c r="AD46" i="2"/>
  <c r="AC46" i="2"/>
  <c r="AD45" i="2"/>
  <c r="AC45" i="2"/>
  <c r="AD44" i="2"/>
  <c r="AC44" i="2"/>
  <c r="AD43" i="2"/>
  <c r="AC43" i="2"/>
  <c r="AD42" i="2"/>
  <c r="AD40" i="2" s="1"/>
  <c r="AC42" i="2"/>
  <c r="AF40" i="2"/>
  <c r="Z40" i="2"/>
  <c r="B37" i="2"/>
  <c r="AF35" i="2"/>
  <c r="AD35" i="2"/>
  <c r="AD32" i="2"/>
  <c r="AC32" i="2"/>
  <c r="AD31" i="2"/>
  <c r="AC31" i="2"/>
  <c r="AD30" i="2"/>
  <c r="AC30" i="2"/>
  <c r="Z27" i="2" s="1"/>
  <c r="P26" i="2" s="1"/>
  <c r="AD29" i="2"/>
  <c r="AD27" i="2" s="1"/>
  <c r="AC29" i="2"/>
  <c r="N28" i="2"/>
  <c r="AF27" i="2"/>
  <c r="N27" i="2"/>
  <c r="S26" i="2"/>
  <c r="R26" i="2"/>
  <c r="N26" i="2"/>
  <c r="AD25" i="2"/>
  <c r="AC25" i="2"/>
  <c r="N25" i="2"/>
  <c r="AD24" i="2"/>
  <c r="AC24" i="2"/>
  <c r="T24" i="2"/>
  <c r="Q24" i="2"/>
  <c r="P24" i="2"/>
  <c r="N24" i="2"/>
  <c r="AD23" i="2"/>
  <c r="AF21" i="2" s="1"/>
  <c r="AC23" i="2"/>
  <c r="Z21" i="2" s="1"/>
  <c r="T23" i="2"/>
  <c r="R23" i="2"/>
  <c r="S23" i="2" s="1"/>
  <c r="Q23" i="2"/>
  <c r="P23" i="2"/>
  <c r="T22" i="2"/>
  <c r="Q22" i="2"/>
  <c r="P22" i="2"/>
  <c r="T21" i="2"/>
  <c r="R21" i="2"/>
  <c r="S21" i="2" s="1"/>
  <c r="Q21" i="2"/>
  <c r="P21" i="2"/>
  <c r="N20" i="2"/>
  <c r="B20" i="2"/>
  <c r="AD19" i="2"/>
  <c r="AC19" i="2"/>
  <c r="B19" i="2"/>
  <c r="AD18" i="2"/>
  <c r="AF14" i="2" s="1"/>
  <c r="AC18" i="2"/>
  <c r="Z14" i="2" s="1"/>
  <c r="P20" i="2" s="1"/>
  <c r="Q18" i="2"/>
  <c r="P18" i="2"/>
  <c r="N18" i="2"/>
  <c r="B18" i="2"/>
  <c r="G37" i="2" s="1"/>
  <c r="AD17" i="2"/>
  <c r="AD14" i="2" s="1"/>
  <c r="AC17" i="2"/>
  <c r="T16" i="2"/>
  <c r="R16" i="2"/>
  <c r="S16" i="2" s="1"/>
  <c r="P16" i="2"/>
  <c r="Q16" i="2" s="1"/>
  <c r="N16" i="2"/>
  <c r="T15" i="2"/>
  <c r="P14" i="2"/>
  <c r="N14" i="2"/>
  <c r="H14" i="2"/>
  <c r="T13" i="2"/>
  <c r="R13" i="2"/>
  <c r="S13" i="2" s="1"/>
  <c r="P13" i="2"/>
  <c r="H13" i="2"/>
  <c r="F13" i="2" s="1"/>
  <c r="T12" i="2"/>
  <c r="Q12" i="2"/>
  <c r="P12" i="2"/>
  <c r="G84" i="4" s="1"/>
  <c r="H12" i="2"/>
  <c r="F12" i="2" s="1"/>
  <c r="AD11" i="2"/>
  <c r="AC11" i="2"/>
  <c r="T11" i="2"/>
  <c r="P11" i="2"/>
  <c r="Q11" i="2" s="1"/>
  <c r="H11" i="2"/>
  <c r="AD10" i="2"/>
  <c r="AC10" i="2"/>
  <c r="T10" i="2"/>
  <c r="P10" i="2"/>
  <c r="Q10" i="2" s="1"/>
  <c r="H10" i="2"/>
  <c r="F10" i="2" s="1"/>
  <c r="AD9" i="2"/>
  <c r="AC9" i="2"/>
  <c r="Z5" i="2" s="1"/>
  <c r="Q9" i="2"/>
  <c r="P9" i="2"/>
  <c r="N9" i="2"/>
  <c r="R9" i="2" s="1"/>
  <c r="S9" i="2" s="1"/>
  <c r="H9" i="2"/>
  <c r="B9" i="2"/>
  <c r="AD8" i="2"/>
  <c r="P8" i="2"/>
  <c r="N8" i="2"/>
  <c r="Q8" i="2" s="1"/>
  <c r="H8" i="2"/>
  <c r="AD7" i="2"/>
  <c r="AC7" i="2"/>
  <c r="Q7" i="2"/>
  <c r="P7" i="2"/>
  <c r="N7" i="2"/>
  <c r="H7" i="2"/>
  <c r="G5" i="2" s="1"/>
  <c r="AO6" i="2"/>
  <c r="AN6" i="2"/>
  <c r="Q6" i="2"/>
  <c r="P6" i="2"/>
  <c r="G12" i="4" s="1"/>
  <c r="N6" i="2"/>
  <c r="R6" i="2" s="1"/>
  <c r="S6" i="2" s="1"/>
  <c r="AF5" i="2"/>
  <c r="AD5" i="2"/>
  <c r="R25" i="2" s="1"/>
  <c r="S25" i="2" s="1"/>
  <c r="B5" i="2"/>
  <c r="B55" i="4" s="1"/>
  <c r="AF49" i="1"/>
  <c r="AD49" i="1"/>
  <c r="AD46" i="1"/>
  <c r="AC46" i="1"/>
  <c r="AD45" i="1"/>
  <c r="AC45" i="1"/>
  <c r="AD44" i="1"/>
  <c r="AC44" i="1"/>
  <c r="AD43" i="1"/>
  <c r="AD40" i="1" s="1"/>
  <c r="AC43" i="1"/>
  <c r="Z40" i="1" s="1"/>
  <c r="P14" i="1" s="1"/>
  <c r="AD42" i="1"/>
  <c r="AC42" i="1"/>
  <c r="AF40" i="1"/>
  <c r="N39" i="1"/>
  <c r="N37" i="1"/>
  <c r="G37" i="1"/>
  <c r="B37" i="1"/>
  <c r="AF35" i="1"/>
  <c r="T23" i="1" s="1"/>
  <c r="AD35" i="1"/>
  <c r="R22" i="1" s="1"/>
  <c r="S22" i="1" s="1"/>
  <c r="AD32" i="1"/>
  <c r="AC32" i="1"/>
  <c r="AD31" i="1"/>
  <c r="AC31" i="1"/>
  <c r="Z27" i="1" s="1"/>
  <c r="P26" i="1" s="1"/>
  <c r="AD30" i="1"/>
  <c r="AC30" i="1"/>
  <c r="AD29" i="1"/>
  <c r="AF27" i="1" s="1"/>
  <c r="AC29" i="1"/>
  <c r="AD27" i="1"/>
  <c r="N26" i="1"/>
  <c r="R26" i="1" s="1"/>
  <c r="AD25" i="1"/>
  <c r="AC25" i="1"/>
  <c r="B25" i="1"/>
  <c r="AD24" i="1"/>
  <c r="AC24" i="1"/>
  <c r="Q24" i="1"/>
  <c r="P24" i="1"/>
  <c r="N24" i="1"/>
  <c r="R24" i="1" s="1"/>
  <c r="S24" i="1" s="1"/>
  <c r="B24" i="1"/>
  <c r="AD23" i="1"/>
  <c r="AF21" i="1" s="1"/>
  <c r="T28" i="1" s="1"/>
  <c r="AC23" i="1"/>
  <c r="R23" i="1"/>
  <c r="S23" i="1" s="1"/>
  <c r="Q23" i="1"/>
  <c r="P23" i="1"/>
  <c r="T22" i="1"/>
  <c r="P22" i="1"/>
  <c r="Q22" i="1" s="1"/>
  <c r="Z21" i="1"/>
  <c r="P28" i="1" s="1"/>
  <c r="Q28" i="1" s="1"/>
  <c r="Q21" i="1"/>
  <c r="P21" i="1"/>
  <c r="B20" i="1"/>
  <c r="AD19" i="1"/>
  <c r="AC19" i="1"/>
  <c r="F19" i="1"/>
  <c r="AD18" i="1"/>
  <c r="AC18" i="1"/>
  <c r="F18" i="1"/>
  <c r="AD17" i="1"/>
  <c r="AD14" i="1" s="1"/>
  <c r="AC17" i="1"/>
  <c r="Z14" i="1" s="1"/>
  <c r="F17" i="1"/>
  <c r="P16" i="1"/>
  <c r="N16" i="1"/>
  <c r="R16" i="1" s="1"/>
  <c r="S16" i="1" s="1"/>
  <c r="N15" i="1"/>
  <c r="E21" i="5" s="1"/>
  <c r="AF14" i="1"/>
  <c r="T20" i="1" s="1"/>
  <c r="N14" i="1"/>
  <c r="T14" i="1" s="1"/>
  <c r="P42" i="1" s="1"/>
  <c r="H14" i="1"/>
  <c r="F14" i="1" s="1"/>
  <c r="T13" i="1"/>
  <c r="P13" i="1"/>
  <c r="Q13" i="1" s="1"/>
  <c r="N13" i="1"/>
  <c r="R13" i="1" s="1"/>
  <c r="S13" i="1" s="1"/>
  <c r="H13" i="1"/>
  <c r="F13" i="1" s="1"/>
  <c r="T12" i="1"/>
  <c r="Q12" i="1"/>
  <c r="N12" i="1"/>
  <c r="R12" i="1" s="1"/>
  <c r="S12" i="1" s="1"/>
  <c r="AD11" i="1"/>
  <c r="AC11" i="1"/>
  <c r="Z5" i="1" s="1"/>
  <c r="R11" i="1"/>
  <c r="S11" i="1" s="1"/>
  <c r="Q11" i="1"/>
  <c r="H17" i="5" s="1"/>
  <c r="P11" i="1"/>
  <c r="G17" i="5" s="1"/>
  <c r="H11" i="1"/>
  <c r="AD10" i="1"/>
  <c r="AC10" i="1"/>
  <c r="R10" i="1"/>
  <c r="S10" i="1" s="1"/>
  <c r="Q10" i="1"/>
  <c r="H16" i="5" s="1"/>
  <c r="P10" i="1"/>
  <c r="G16" i="5" s="1"/>
  <c r="N10" i="1"/>
  <c r="E16" i="5" s="1"/>
  <c r="F10" i="1"/>
  <c r="AD9" i="1"/>
  <c r="AF5" i="1" s="1"/>
  <c r="T25" i="1" s="1"/>
  <c r="AC9" i="1"/>
  <c r="F9" i="1"/>
  <c r="B9" i="1"/>
  <c r="G36" i="1" s="1"/>
  <c r="B36" i="1" s="1"/>
  <c r="AD8" i="1"/>
  <c r="B8" i="1"/>
  <c r="G35" i="1" s="1"/>
  <c r="AD7" i="1"/>
  <c r="AC7" i="1"/>
  <c r="N7" i="1"/>
  <c r="E13" i="5" s="1"/>
  <c r="F7" i="1"/>
  <c r="N6" i="1"/>
  <c r="N8" i="1" s="1"/>
  <c r="E14" i="5" s="1"/>
  <c r="AD5" i="1"/>
  <c r="R25" i="1" s="1"/>
  <c r="S25" i="1" s="1"/>
  <c r="G5" i="1"/>
  <c r="F21" i="1" s="1"/>
  <c r="AA21" i="6" l="1"/>
  <c r="AA27" i="6"/>
  <c r="AA13" i="6"/>
  <c r="Q17" i="6" s="1"/>
  <c r="AE27" i="6"/>
  <c r="AG13" i="6"/>
  <c r="AG21" i="6"/>
  <c r="F17" i="6"/>
  <c r="Q16" i="1"/>
  <c r="Q26" i="1"/>
  <c r="T26" i="1"/>
  <c r="AE21" i="6"/>
  <c r="R16" i="6"/>
  <c r="H22" i="7" s="1"/>
  <c r="AE13" i="6"/>
  <c r="F12" i="7"/>
  <c r="C18" i="7"/>
  <c r="F19" i="7"/>
  <c r="E22" i="7"/>
  <c r="AE5" i="6"/>
  <c r="S15" i="6" s="1"/>
  <c r="T15" i="6" s="1"/>
  <c r="AA5" i="6"/>
  <c r="Q15" i="6" s="1"/>
  <c r="U15" i="6"/>
  <c r="AG27" i="6"/>
  <c r="O18" i="6"/>
  <c r="O7" i="6"/>
  <c r="O20" i="6"/>
  <c r="E87" i="7" s="1"/>
  <c r="O9" i="6"/>
  <c r="E15" i="7" s="1"/>
  <c r="D21" i="7"/>
  <c r="AA40" i="6"/>
  <c r="Q14" i="6" s="1"/>
  <c r="F28" i="7" s="1"/>
  <c r="M28" i="7" s="1"/>
  <c r="T16" i="1"/>
  <c r="T8" i="1"/>
  <c r="N9" i="1"/>
  <c r="E15" i="5" s="1"/>
  <c r="T6" i="1"/>
  <c r="K108" i="7"/>
  <c r="K34" i="7"/>
  <c r="K33" i="7"/>
  <c r="K109" i="7"/>
  <c r="G246" i="7"/>
  <c r="G246" i="4"/>
  <c r="G246" i="5"/>
  <c r="Q20" i="2"/>
  <c r="P7" i="1"/>
  <c r="P20" i="1"/>
  <c r="Q20" i="1" s="1"/>
  <c r="P19" i="1"/>
  <c r="Q19" i="1" s="1"/>
  <c r="P18" i="1"/>
  <c r="Q18" i="1" s="1"/>
  <c r="P17" i="1"/>
  <c r="Q17" i="1" s="1"/>
  <c r="P9" i="1"/>
  <c r="P6" i="1"/>
  <c r="Q6" i="1" s="1"/>
  <c r="P8" i="1"/>
  <c r="S26" i="1"/>
  <c r="P28" i="2"/>
  <c r="P27" i="2"/>
  <c r="B54" i="5"/>
  <c r="B35" i="1"/>
  <c r="P15" i="1"/>
  <c r="P25" i="1"/>
  <c r="Q25" i="1" s="1"/>
  <c r="P25" i="2"/>
  <c r="P15" i="2"/>
  <c r="R6" i="1"/>
  <c r="R7" i="1"/>
  <c r="S7" i="1" s="1"/>
  <c r="R20" i="1"/>
  <c r="S20" i="1" s="1"/>
  <c r="R19" i="1"/>
  <c r="S19" i="1" s="1"/>
  <c r="R18" i="1"/>
  <c r="S18" i="1" s="1"/>
  <c r="R17" i="1"/>
  <c r="S17" i="1" s="1"/>
  <c r="F23" i="2"/>
  <c r="B45" i="3"/>
  <c r="F9" i="2"/>
  <c r="D25" i="3"/>
  <c r="H165" i="7"/>
  <c r="H165" i="4"/>
  <c r="H165" i="5"/>
  <c r="R19" i="2"/>
  <c r="S19" i="2" s="1"/>
  <c r="R17" i="2"/>
  <c r="S17" i="2" s="1"/>
  <c r="R18" i="2"/>
  <c r="S18" i="2" s="1"/>
  <c r="R7" i="2"/>
  <c r="S7" i="2" s="1"/>
  <c r="R20" i="2"/>
  <c r="S20" i="2" s="1"/>
  <c r="F28" i="5"/>
  <c r="M28" i="5" s="1"/>
  <c r="Q14" i="1"/>
  <c r="G28" i="5" s="1"/>
  <c r="F8" i="2"/>
  <c r="F25" i="2"/>
  <c r="F11" i="2"/>
  <c r="T7" i="2"/>
  <c r="T19" i="2"/>
  <c r="T18" i="2"/>
  <c r="T9" i="2"/>
  <c r="T6" i="2"/>
  <c r="T17" i="2"/>
  <c r="G401" i="7"/>
  <c r="G401" i="4"/>
  <c r="G401" i="5"/>
  <c r="Q26" i="2"/>
  <c r="E86" i="4"/>
  <c r="E86" i="5"/>
  <c r="E28" i="4"/>
  <c r="T14" i="2"/>
  <c r="H325" i="7"/>
  <c r="H325" i="4"/>
  <c r="H325" i="5"/>
  <c r="R22" i="2"/>
  <c r="S22" i="2" s="1"/>
  <c r="R10" i="2"/>
  <c r="S10" i="2" s="1"/>
  <c r="D14" i="3"/>
  <c r="T11" i="1"/>
  <c r="I28" i="5"/>
  <c r="L28" i="5" s="1"/>
  <c r="E28" i="5"/>
  <c r="R15" i="1"/>
  <c r="S15" i="1" s="1"/>
  <c r="T21" i="1"/>
  <c r="F22" i="1"/>
  <c r="T24" i="1"/>
  <c r="F25" i="1"/>
  <c r="N36" i="1"/>
  <c r="F7" i="2"/>
  <c r="R8" i="2"/>
  <c r="S8" i="2" s="1"/>
  <c r="G85" i="4"/>
  <c r="G85" i="5"/>
  <c r="Q13" i="2"/>
  <c r="F14" i="2"/>
  <c r="H244" i="7"/>
  <c r="H244" i="5"/>
  <c r="H244" i="4"/>
  <c r="H322" i="4"/>
  <c r="H322" i="7"/>
  <c r="H322" i="5"/>
  <c r="AD21" i="2"/>
  <c r="R28" i="2" s="1"/>
  <c r="S28" i="2" s="1"/>
  <c r="H324" i="7"/>
  <c r="H324" i="4"/>
  <c r="H324" i="5"/>
  <c r="G325" i="7"/>
  <c r="G325" i="5"/>
  <c r="G325" i="4"/>
  <c r="G36" i="2"/>
  <c r="B36" i="2" s="1"/>
  <c r="G137" i="5" s="1"/>
  <c r="B7" i="6"/>
  <c r="B8" i="6" s="1"/>
  <c r="O29" i="6" s="1"/>
  <c r="E13" i="4"/>
  <c r="G13" i="4"/>
  <c r="C13" i="4"/>
  <c r="E14" i="4"/>
  <c r="G14" i="4"/>
  <c r="C14" i="4"/>
  <c r="E15" i="4"/>
  <c r="G15" i="4"/>
  <c r="C15" i="4"/>
  <c r="E16" i="4"/>
  <c r="G16" i="4"/>
  <c r="C16" i="4"/>
  <c r="H17" i="4"/>
  <c r="R15" i="2"/>
  <c r="S15" i="2" s="1"/>
  <c r="G217" i="7"/>
  <c r="G217" i="5"/>
  <c r="F11" i="1"/>
  <c r="T15" i="1"/>
  <c r="T17" i="1"/>
  <c r="T18" i="1"/>
  <c r="T19" i="1"/>
  <c r="R21" i="1"/>
  <c r="S21" i="1" s="1"/>
  <c r="AD21" i="1"/>
  <c r="R28" i="1" s="1"/>
  <c r="S28" i="1" s="1"/>
  <c r="F23" i="1"/>
  <c r="T8" i="2"/>
  <c r="R11" i="2"/>
  <c r="S11" i="2" s="1"/>
  <c r="H84" i="5"/>
  <c r="H84" i="4"/>
  <c r="G86" i="4"/>
  <c r="F28" i="4"/>
  <c r="M28" i="4" s="1"/>
  <c r="N28" i="4" s="1"/>
  <c r="H28" i="4" s="1"/>
  <c r="G86" i="5"/>
  <c r="Q14" i="2"/>
  <c r="P17" i="2"/>
  <c r="E246" i="7"/>
  <c r="E246" i="4"/>
  <c r="E246" i="5"/>
  <c r="T20" i="2"/>
  <c r="G323" i="7"/>
  <c r="G323" i="5"/>
  <c r="G323" i="4"/>
  <c r="R24" i="2"/>
  <c r="S24" i="2" s="1"/>
  <c r="E401" i="7"/>
  <c r="E401" i="5"/>
  <c r="E401" i="4"/>
  <c r="T26" i="2"/>
  <c r="E479" i="7"/>
  <c r="E478" i="7"/>
  <c r="E479" i="5"/>
  <c r="E478" i="5"/>
  <c r="E479" i="4"/>
  <c r="E478" i="4"/>
  <c r="T28" i="2"/>
  <c r="B39" i="3"/>
  <c r="F13" i="4"/>
  <c r="F14" i="4"/>
  <c r="F15" i="4"/>
  <c r="F16" i="4"/>
  <c r="G165" i="7"/>
  <c r="G165" i="4"/>
  <c r="G165" i="5"/>
  <c r="E17" i="4"/>
  <c r="G17" i="4"/>
  <c r="C17" i="4"/>
  <c r="B703" i="4"/>
  <c r="B674" i="4"/>
  <c r="B704" i="4" s="1"/>
  <c r="W15" i="4" s="1"/>
  <c r="T7" i="1"/>
  <c r="F8" i="1"/>
  <c r="R8" i="1"/>
  <c r="S8" i="1" s="1"/>
  <c r="T10" i="1"/>
  <c r="F12" i="1"/>
  <c r="R14" i="1"/>
  <c r="P27" i="1"/>
  <c r="B42" i="3"/>
  <c r="D10" i="3"/>
  <c r="B27" i="2"/>
  <c r="B7" i="2"/>
  <c r="B24" i="2" s="1"/>
  <c r="R12" i="2"/>
  <c r="S12" i="2" s="1"/>
  <c r="R14" i="2"/>
  <c r="S14" i="2" s="1"/>
  <c r="G244" i="7"/>
  <c r="G244" i="4"/>
  <c r="G244" i="5"/>
  <c r="P19" i="2"/>
  <c r="G322" i="7"/>
  <c r="G322" i="4"/>
  <c r="G322" i="5"/>
  <c r="H323" i="7"/>
  <c r="H323" i="4"/>
  <c r="H323" i="5"/>
  <c r="E400" i="7"/>
  <c r="E400" i="4"/>
  <c r="E400" i="5"/>
  <c r="T25" i="2"/>
  <c r="E402" i="7"/>
  <c r="E402" i="4"/>
  <c r="E402" i="5"/>
  <c r="R27" i="2"/>
  <c r="S27" i="2" s="1"/>
  <c r="T27" i="2"/>
  <c r="D7" i="3"/>
  <c r="B41" i="3"/>
  <c r="H13" i="4"/>
  <c r="H14" i="4"/>
  <c r="H15" i="4"/>
  <c r="H16" i="4"/>
  <c r="F17" i="4"/>
  <c r="B139" i="4"/>
  <c r="B140" i="4" s="1"/>
  <c r="E165" i="7"/>
  <c r="E165" i="4"/>
  <c r="E165" i="5"/>
  <c r="E244" i="7"/>
  <c r="E244" i="4"/>
  <c r="G324" i="7"/>
  <c r="G324" i="4"/>
  <c r="G324" i="5"/>
  <c r="E325" i="7"/>
  <c r="E325" i="4"/>
  <c r="E325" i="5"/>
  <c r="B44" i="3"/>
  <c r="D12" i="4"/>
  <c r="H12" i="4"/>
  <c r="H19" i="4"/>
  <c r="D19" i="4"/>
  <c r="G19" i="4"/>
  <c r="F21" i="4"/>
  <c r="K110" i="4"/>
  <c r="K268" i="4"/>
  <c r="K349" i="4"/>
  <c r="K424" i="4"/>
  <c r="K660" i="4"/>
  <c r="B691" i="4"/>
  <c r="B692" i="4" s="1"/>
  <c r="G689" i="4"/>
  <c r="K739" i="4"/>
  <c r="O41" i="6"/>
  <c r="B61" i="5"/>
  <c r="N100" i="5"/>
  <c r="H100" i="5" s="1"/>
  <c r="B139" i="5"/>
  <c r="B140" i="5" s="1"/>
  <c r="E244" i="5"/>
  <c r="G21" i="4"/>
  <c r="B58" i="4"/>
  <c r="B298" i="4"/>
  <c r="B299" i="4" s="1"/>
  <c r="G296" i="4"/>
  <c r="K347" i="4"/>
  <c r="K503" i="4"/>
  <c r="B770" i="4"/>
  <c r="B771" i="4" s="1"/>
  <c r="G768" i="4"/>
  <c r="E12" i="5"/>
  <c r="D12" i="5"/>
  <c r="G12" i="5"/>
  <c r="C12" i="5"/>
  <c r="E18" i="5"/>
  <c r="H18" i="5"/>
  <c r="D18" i="5"/>
  <c r="G18" i="5"/>
  <c r="C18" i="5"/>
  <c r="G84" i="5"/>
  <c r="K109" i="5"/>
  <c r="K111" i="5"/>
  <c r="N180" i="5"/>
  <c r="H180" i="5" s="1"/>
  <c r="K269" i="5"/>
  <c r="B298" i="5"/>
  <c r="B299" i="5" s="1"/>
  <c r="G296" i="5"/>
  <c r="K346" i="5"/>
  <c r="K348" i="5"/>
  <c r="H18" i="4"/>
  <c r="D18" i="4"/>
  <c r="G18" i="4"/>
  <c r="C21" i="4"/>
  <c r="K267" i="4"/>
  <c r="K269" i="4"/>
  <c r="K350" i="4"/>
  <c r="K661" i="4"/>
  <c r="K740" i="4"/>
  <c r="K747" i="4"/>
  <c r="K749" i="4"/>
  <c r="F12" i="5"/>
  <c r="F18" i="5"/>
  <c r="K189" i="5"/>
  <c r="B219" i="4"/>
  <c r="B220" i="4" s="1"/>
  <c r="G217" i="4"/>
  <c r="B377" i="4"/>
  <c r="B378" i="4" s="1"/>
  <c r="G375" i="4"/>
  <c r="B455" i="4"/>
  <c r="B456" i="4" s="1"/>
  <c r="G453" i="4"/>
  <c r="B595" i="4"/>
  <c r="B625" i="4" s="1"/>
  <c r="W14" i="4" s="1"/>
  <c r="B624" i="4"/>
  <c r="N573" i="4"/>
  <c r="H573" i="4" s="1"/>
  <c r="N652" i="4"/>
  <c r="H652" i="4" s="1"/>
  <c r="B782" i="4"/>
  <c r="E19" i="5"/>
  <c r="H19" i="5"/>
  <c r="D19" i="5"/>
  <c r="G19" i="5"/>
  <c r="C19" i="5"/>
  <c r="B377" i="5"/>
  <c r="B378" i="5" s="1"/>
  <c r="G375" i="5"/>
  <c r="B753" i="5"/>
  <c r="B783" i="5" s="1"/>
  <c r="W16" i="5" s="1"/>
  <c r="B782" i="5"/>
  <c r="Q20" i="6"/>
  <c r="Q9" i="6"/>
  <c r="D21" i="5"/>
  <c r="K350" i="5"/>
  <c r="K427" i="5"/>
  <c r="K502" i="5"/>
  <c r="G531" i="5"/>
  <c r="N573" i="5"/>
  <c r="H573" i="5" s="1"/>
  <c r="B612" i="5"/>
  <c r="B613" i="5" s="1"/>
  <c r="G610" i="5"/>
  <c r="B674" i="5"/>
  <c r="B704" i="5" s="1"/>
  <c r="W15" i="5" s="1"/>
  <c r="K742" i="5"/>
  <c r="K744" i="5"/>
  <c r="G88" i="7"/>
  <c r="C14" i="7"/>
  <c r="F14" i="7"/>
  <c r="D14" i="7"/>
  <c r="G16" i="7"/>
  <c r="C16" i="7"/>
  <c r="F16" i="7"/>
  <c r="D16" i="7"/>
  <c r="B377" i="7"/>
  <c r="B378" i="7" s="1"/>
  <c r="G375" i="7"/>
  <c r="B595" i="5"/>
  <c r="B625" i="5" s="1"/>
  <c r="W14" i="5" s="1"/>
  <c r="O24" i="6"/>
  <c r="Q28" i="6"/>
  <c r="Q27" i="6"/>
  <c r="K426" i="5"/>
  <c r="N652" i="5"/>
  <c r="H652" i="5" s="1"/>
  <c r="B703" i="5"/>
  <c r="N731" i="5"/>
  <c r="H731" i="5" s="1"/>
  <c r="K743" i="5"/>
  <c r="K750" i="5"/>
  <c r="B770" i="5"/>
  <c r="B771" i="5" s="1"/>
  <c r="O10" i="6"/>
  <c r="B24" i="6"/>
  <c r="AE40" i="6"/>
  <c r="AG40" i="6"/>
  <c r="H8" i="6"/>
  <c r="H7" i="6"/>
  <c r="H9" i="6"/>
  <c r="H12" i="6"/>
  <c r="H11" i="6"/>
  <c r="H10" i="6"/>
  <c r="S16" i="6"/>
  <c r="T16" i="6" s="1"/>
  <c r="F16" i="6"/>
  <c r="E92" i="7"/>
  <c r="U25" i="6"/>
  <c r="F18" i="6"/>
  <c r="D19" i="7"/>
  <c r="G19" i="7"/>
  <c r="F21" i="7"/>
  <c r="G90" i="7"/>
  <c r="C13" i="7"/>
  <c r="C15" i="7"/>
  <c r="G17" i="7"/>
  <c r="C17" i="7"/>
  <c r="D12" i="7"/>
  <c r="D13" i="7"/>
  <c r="D15" i="7"/>
  <c r="D17" i="7"/>
  <c r="D18" i="7"/>
  <c r="G18" i="7"/>
  <c r="C21" i="7"/>
  <c r="K188" i="7"/>
  <c r="K270" i="7"/>
  <c r="B298" i="7"/>
  <c r="B299" i="7" s="1"/>
  <c r="K346" i="7"/>
  <c r="K504" i="7"/>
  <c r="K583" i="7"/>
  <c r="K739" i="7"/>
  <c r="B752" i="7" s="1"/>
  <c r="K746" i="7"/>
  <c r="K748" i="7"/>
  <c r="K268" i="7"/>
  <c r="K349" i="7"/>
  <c r="K425" i="7"/>
  <c r="K427" i="7"/>
  <c r="K502" i="7"/>
  <c r="G531" i="7"/>
  <c r="B612" i="7"/>
  <c r="B613" i="7" s="1"/>
  <c r="G610" i="7"/>
  <c r="B674" i="7"/>
  <c r="B704" i="7" s="1"/>
  <c r="K742" i="7"/>
  <c r="K744" i="7"/>
  <c r="K189" i="7"/>
  <c r="K582" i="7"/>
  <c r="B595" i="7"/>
  <c r="B625" i="7" s="1"/>
  <c r="K660" i="7"/>
  <c r="K740" i="7"/>
  <c r="K747" i="7"/>
  <c r="B770" i="7"/>
  <c r="B771" i="7" s="1"/>
  <c r="Q26" i="6" l="1"/>
  <c r="I108" i="7" s="1"/>
  <c r="Q8" i="6"/>
  <c r="Q19" i="6"/>
  <c r="G86" i="7" s="1"/>
  <c r="Q18" i="6"/>
  <c r="Q7" i="6"/>
  <c r="G13" i="7" s="1"/>
  <c r="Q29" i="6"/>
  <c r="R29" i="6" s="1"/>
  <c r="Q6" i="6"/>
  <c r="G12" i="7" s="1"/>
  <c r="S29" i="6"/>
  <c r="T29" i="6" s="1"/>
  <c r="U29" i="6"/>
  <c r="I33" i="7"/>
  <c r="C43" i="6"/>
  <c r="B34" i="6"/>
  <c r="U20" i="6"/>
  <c r="N28" i="5"/>
  <c r="H28" i="5" s="1"/>
  <c r="U9" i="6"/>
  <c r="S20" i="6"/>
  <c r="T20" i="6" s="1"/>
  <c r="S9" i="6"/>
  <c r="T9" i="6" s="1"/>
  <c r="R9" i="6"/>
  <c r="H15" i="7" s="1"/>
  <c r="S25" i="6"/>
  <c r="B33" i="8" s="1"/>
  <c r="R15" i="6"/>
  <c r="H21" i="7" s="1"/>
  <c r="G21" i="7"/>
  <c r="D33" i="8"/>
  <c r="Q25" i="6"/>
  <c r="R25" i="6" s="1"/>
  <c r="G15" i="7"/>
  <c r="R10" i="6"/>
  <c r="T9" i="1"/>
  <c r="P40" i="1" s="1"/>
  <c r="R9" i="1"/>
  <c r="S9" i="1" s="1"/>
  <c r="N27" i="1"/>
  <c r="T27" i="1" s="1"/>
  <c r="P41" i="1" s="1"/>
  <c r="D4" i="3"/>
  <c r="B25" i="2"/>
  <c r="B38" i="3"/>
  <c r="F21" i="2"/>
  <c r="H16" i="7"/>
  <c r="O21" i="6"/>
  <c r="G245" i="7"/>
  <c r="G245" i="4"/>
  <c r="G245" i="5"/>
  <c r="Q19" i="2"/>
  <c r="H86" i="5"/>
  <c r="G28" i="4"/>
  <c r="H86" i="4"/>
  <c r="B359" i="5"/>
  <c r="G400" i="7"/>
  <c r="G400" i="4"/>
  <c r="G400" i="5"/>
  <c r="Q25" i="2"/>
  <c r="G478" i="7"/>
  <c r="G479" i="7"/>
  <c r="G478" i="5"/>
  <c r="G479" i="5"/>
  <c r="G478" i="4"/>
  <c r="G479" i="4"/>
  <c r="Q28" i="2"/>
  <c r="I34" i="7"/>
  <c r="G87" i="7"/>
  <c r="R20" i="6"/>
  <c r="H87" i="7" s="1"/>
  <c r="G137" i="4"/>
  <c r="B359" i="7"/>
  <c r="B49" i="3"/>
  <c r="D29" i="3"/>
  <c r="O13" i="6"/>
  <c r="G84" i="7"/>
  <c r="B40" i="3"/>
  <c r="F17" i="2"/>
  <c r="D6" i="3"/>
  <c r="F19" i="2"/>
  <c r="F18" i="2"/>
  <c r="N42" i="1"/>
  <c r="S14" i="1"/>
  <c r="G243" i="7"/>
  <c r="G243" i="4"/>
  <c r="G243" i="5"/>
  <c r="Q17" i="2"/>
  <c r="B66" i="7"/>
  <c r="B68" i="7" s="1"/>
  <c r="B67" i="7" s="1"/>
  <c r="G34" i="6"/>
  <c r="B54" i="7" s="1"/>
  <c r="O14" i="6"/>
  <c r="H85" i="5"/>
  <c r="H85" i="4"/>
  <c r="G164" i="7"/>
  <c r="G164" i="4"/>
  <c r="G164" i="5"/>
  <c r="Q15" i="2"/>
  <c r="G402" i="7"/>
  <c r="G402" i="5"/>
  <c r="G402" i="4"/>
  <c r="Q27" i="2"/>
  <c r="G14" i="5"/>
  <c r="Q8" i="1"/>
  <c r="H14" i="5" s="1"/>
  <c r="H246" i="7"/>
  <c r="H246" i="5"/>
  <c r="H246" i="4"/>
  <c r="O11" i="6"/>
  <c r="G4" i="6"/>
  <c r="E91" i="7"/>
  <c r="U24" i="6"/>
  <c r="R24" i="6"/>
  <c r="H91" i="7" s="1"/>
  <c r="S24" i="6"/>
  <c r="T24" i="6" s="1"/>
  <c r="F24" i="6"/>
  <c r="G35" i="6"/>
  <c r="B133" i="7" s="1"/>
  <c r="B145" i="7" s="1"/>
  <c r="B147" i="7" s="1"/>
  <c r="B146" i="7" s="1"/>
  <c r="B121" i="4"/>
  <c r="G21" i="5"/>
  <c r="Q15" i="1"/>
  <c r="H21" i="5" s="1"/>
  <c r="O22" i="6"/>
  <c r="O12" i="6"/>
  <c r="S10" i="6"/>
  <c r="T10" i="6" s="1"/>
  <c r="U10" i="6"/>
  <c r="E16" i="7"/>
  <c r="G14" i="7"/>
  <c r="B121" i="5"/>
  <c r="S6" i="1"/>
  <c r="G15" i="5"/>
  <c r="Q9" i="1"/>
  <c r="H15" i="5" s="1"/>
  <c r="B753" i="7"/>
  <c r="B783" i="7" s="1"/>
  <c r="B782" i="7"/>
  <c r="O23" i="6"/>
  <c r="I109" i="7"/>
  <c r="G85" i="7"/>
  <c r="R18" i="6"/>
  <c r="H85" i="7" s="1"/>
  <c r="H12" i="5"/>
  <c r="B60" i="4"/>
  <c r="B61" i="4" s="1"/>
  <c r="B8" i="2"/>
  <c r="G35" i="2" s="1"/>
  <c r="B43" i="3"/>
  <c r="B359" i="4"/>
  <c r="H401" i="7"/>
  <c r="H401" i="5"/>
  <c r="H401" i="4"/>
  <c r="F22" i="2"/>
  <c r="G13" i="5"/>
  <c r="Q7" i="1"/>
  <c r="H13" i="5" s="1"/>
  <c r="AP24" i="6" l="1"/>
  <c r="AP20" i="6"/>
  <c r="DG33" i="6" s="1"/>
  <c r="AP9" i="6"/>
  <c r="DG28" i="6" s="1"/>
  <c r="DG36" i="6"/>
  <c r="F11" i="6"/>
  <c r="R35" i="6"/>
  <c r="O26" i="6"/>
  <c r="O31" i="6"/>
  <c r="O30" i="6"/>
  <c r="G92" i="7"/>
  <c r="O17" i="6"/>
  <c r="O19" i="6"/>
  <c r="O6" i="6"/>
  <c r="T25" i="6"/>
  <c r="F8" i="6"/>
  <c r="F10" i="6"/>
  <c r="AZ24" i="6"/>
  <c r="CK23" i="6" s="1"/>
  <c r="B51" i="7"/>
  <c r="S6" i="6"/>
  <c r="T6" i="6" s="1"/>
  <c r="N40" i="1"/>
  <c r="E85" i="7"/>
  <c r="S18" i="6"/>
  <c r="T18" i="6" s="1"/>
  <c r="U18" i="6"/>
  <c r="E13" i="7"/>
  <c r="U7" i="6"/>
  <c r="S7" i="6"/>
  <c r="T7" i="6" s="1"/>
  <c r="R7" i="6"/>
  <c r="H13" i="7" s="1"/>
  <c r="R27" i="1"/>
  <c r="S27" i="1" s="1"/>
  <c r="Q27" i="1"/>
  <c r="Q31" i="1" s="1"/>
  <c r="B42" i="5"/>
  <c r="B43" i="5" s="1"/>
  <c r="B73" i="5" s="1"/>
  <c r="W7" i="5" s="1"/>
  <c r="E89" i="7"/>
  <c r="U22" i="6"/>
  <c r="S22" i="6"/>
  <c r="T22" i="6" s="1"/>
  <c r="R22" i="6"/>
  <c r="H89" i="7" s="1"/>
  <c r="H243" i="7"/>
  <c r="B280" i="7" s="1"/>
  <c r="H243" i="4"/>
  <c r="H243" i="5"/>
  <c r="B42" i="4"/>
  <c r="B54" i="4"/>
  <c r="B35" i="2"/>
  <c r="H402" i="7"/>
  <c r="H402" i="5"/>
  <c r="H402" i="4"/>
  <c r="H164" i="5"/>
  <c r="B201" i="5" s="1"/>
  <c r="H164" i="7"/>
  <c r="B201" i="7" s="1"/>
  <c r="H164" i="4"/>
  <c r="B201" i="4" s="1"/>
  <c r="H21" i="4"/>
  <c r="B360" i="7"/>
  <c r="B390" i="7" s="1"/>
  <c r="B389" i="7"/>
  <c r="B51" i="3"/>
  <c r="D31" i="3"/>
  <c r="B389" i="4"/>
  <c r="B360" i="4"/>
  <c r="B390" i="4" s="1"/>
  <c r="W11" i="4" s="1"/>
  <c r="S23" i="6"/>
  <c r="T23" i="6" s="1"/>
  <c r="U23" i="6"/>
  <c r="E90" i="7"/>
  <c r="R23" i="6"/>
  <c r="H90" i="7" s="1"/>
  <c r="Q31" i="2"/>
  <c r="U11" i="6"/>
  <c r="S11" i="6"/>
  <c r="T11" i="6" s="1"/>
  <c r="R11" i="6"/>
  <c r="E17" i="7"/>
  <c r="D28" i="3"/>
  <c r="B48" i="3"/>
  <c r="U13" i="6"/>
  <c r="S13" i="6"/>
  <c r="T13" i="6" s="1"/>
  <c r="R13" i="6"/>
  <c r="H19" i="7" s="1"/>
  <c r="E19" i="7"/>
  <c r="H479" i="7"/>
  <c r="H478" i="7"/>
  <c r="B515" i="7" s="1"/>
  <c r="H479" i="5"/>
  <c r="H478" i="4"/>
  <c r="H478" i="5"/>
  <c r="H479" i="4"/>
  <c r="D30" i="3"/>
  <c r="B50" i="3"/>
  <c r="H92" i="7"/>
  <c r="B26" i="8"/>
  <c r="B122" i="5"/>
  <c r="B152" i="5" s="1"/>
  <c r="W8" i="5" s="1"/>
  <c r="B151" i="5"/>
  <c r="E28" i="7"/>
  <c r="U14" i="6"/>
  <c r="I28" i="7"/>
  <c r="S14" i="6"/>
  <c r="R14" i="6"/>
  <c r="B122" i="4"/>
  <c r="B152" i="4" s="1"/>
  <c r="W8" i="4" s="1"/>
  <c r="B151" i="4"/>
  <c r="F20" i="6"/>
  <c r="F21" i="6"/>
  <c r="F22" i="6"/>
  <c r="F13" i="6"/>
  <c r="F6" i="6"/>
  <c r="B12" i="8"/>
  <c r="D12" i="8" s="1"/>
  <c r="B35" i="6"/>
  <c r="D26" i="3"/>
  <c r="B46" i="3"/>
  <c r="E88" i="7"/>
  <c r="S21" i="6"/>
  <c r="T21" i="6" s="1"/>
  <c r="U21" i="6"/>
  <c r="R21" i="6"/>
  <c r="F12" i="6"/>
  <c r="U12" i="6"/>
  <c r="E18" i="7"/>
  <c r="S12" i="6"/>
  <c r="T12" i="6" s="1"/>
  <c r="R12" i="6"/>
  <c r="H18" i="7" s="1"/>
  <c r="N35" i="1"/>
  <c r="F7" i="6"/>
  <c r="B47" i="3"/>
  <c r="D27" i="3"/>
  <c r="F9" i="6"/>
  <c r="H400" i="7"/>
  <c r="H400" i="5"/>
  <c r="H400" i="4"/>
  <c r="B437" i="4" s="1"/>
  <c r="B389" i="5"/>
  <c r="B360" i="5"/>
  <c r="B390" i="5" s="1"/>
  <c r="W11" i="5" s="1"/>
  <c r="H245" i="7"/>
  <c r="H245" i="4"/>
  <c r="H245" i="5"/>
  <c r="AP30" i="6" l="1"/>
  <c r="DG61" i="6" s="1"/>
  <c r="AP12" i="6"/>
  <c r="AZ12" i="6" s="1"/>
  <c r="CK11" i="6" s="1"/>
  <c r="AZ9" i="6"/>
  <c r="CK8" i="6" s="1"/>
  <c r="AP37" i="6"/>
  <c r="AZ37" i="6" s="1"/>
  <c r="CK36" i="6" s="1"/>
  <c r="AP40" i="6"/>
  <c r="R26" i="6"/>
  <c r="J108" i="7" s="1"/>
  <c r="AP48" i="6"/>
  <c r="AP50" i="6" s="1"/>
  <c r="AP49" i="6" s="1"/>
  <c r="J33" i="7"/>
  <c r="AZ20" i="6"/>
  <c r="CK19" i="6" s="1"/>
  <c r="DG73" i="6"/>
  <c r="U26" i="6"/>
  <c r="F33" i="7"/>
  <c r="O28" i="6"/>
  <c r="AZ40" i="6"/>
  <c r="CK39" i="6" s="1"/>
  <c r="R17" i="6"/>
  <c r="H84" i="7" s="1"/>
  <c r="S17" i="6"/>
  <c r="T17" i="6" s="1"/>
  <c r="S26" i="6"/>
  <c r="F108" i="7"/>
  <c r="E84" i="7"/>
  <c r="U17" i="6"/>
  <c r="O8" i="6"/>
  <c r="AP23" i="6" s="1"/>
  <c r="DG37" i="6" s="1"/>
  <c r="R30" i="6"/>
  <c r="U30" i="6"/>
  <c r="S30" i="6"/>
  <c r="T30" i="6" s="1"/>
  <c r="B32" i="8"/>
  <c r="D32" i="8" s="1"/>
  <c r="U31" i="6"/>
  <c r="S31" i="6"/>
  <c r="T31" i="6" s="1"/>
  <c r="R31" i="6"/>
  <c r="R6" i="6"/>
  <c r="B6" i="8"/>
  <c r="E86" i="7"/>
  <c r="S19" i="6"/>
  <c r="T19" i="6" s="1"/>
  <c r="U19" i="6"/>
  <c r="R19" i="6"/>
  <c r="H86" i="7" s="1"/>
  <c r="U6" i="6"/>
  <c r="E12" i="7"/>
  <c r="B25" i="8"/>
  <c r="AZ30" i="6"/>
  <c r="CK29" i="6" s="1"/>
  <c r="N41" i="1"/>
  <c r="B58" i="7"/>
  <c r="G58" i="7" s="1"/>
  <c r="B72" i="5"/>
  <c r="B281" i="7"/>
  <c r="B311" i="7" s="1"/>
  <c r="B310" i="7"/>
  <c r="B437" i="5"/>
  <c r="B7" i="8"/>
  <c r="G28" i="7"/>
  <c r="H17" i="7"/>
  <c r="I5" i="8"/>
  <c r="O40" i="6"/>
  <c r="B437" i="7"/>
  <c r="B31" i="8"/>
  <c r="B130" i="7"/>
  <c r="H88" i="7"/>
  <c r="I24" i="8"/>
  <c r="J28" i="7"/>
  <c r="L28" i="7" s="1"/>
  <c r="N28" i="7" s="1"/>
  <c r="H28" i="7" s="1"/>
  <c r="B515" i="4"/>
  <c r="G58" i="5"/>
  <c r="G58" i="4"/>
  <c r="B280" i="4"/>
  <c r="B438" i="4"/>
  <c r="B468" i="4" s="1"/>
  <c r="W12" i="4" s="1"/>
  <c r="B467" i="4"/>
  <c r="D14" i="8"/>
  <c r="Q46" i="6"/>
  <c r="B231" i="4"/>
  <c r="B202" i="4"/>
  <c r="B232" i="4" s="1"/>
  <c r="W9" i="4" s="1"/>
  <c r="W18" i="5"/>
  <c r="V31" i="5" s="1"/>
  <c r="W21" i="5"/>
  <c r="B516" i="7"/>
  <c r="B546" i="7" s="1"/>
  <c r="B545" i="7"/>
  <c r="B202" i="7"/>
  <c r="B232" i="7" s="1"/>
  <c r="B231" i="7"/>
  <c r="B72" i="4"/>
  <c r="B43" i="4"/>
  <c r="B73" i="4" s="1"/>
  <c r="W7" i="4" s="1"/>
  <c r="W18" i="4" s="1"/>
  <c r="V31" i="4" s="1"/>
  <c r="B14" i="8"/>
  <c r="O46" i="6"/>
  <c r="T14" i="6"/>
  <c r="B515" i="5"/>
  <c r="B231" i="5"/>
  <c r="B202" i="5"/>
  <c r="B232" i="5" s="1"/>
  <c r="W9" i="5" s="1"/>
  <c r="B280" i="5"/>
  <c r="AP19" i="6" l="1"/>
  <c r="DG32" i="6" s="1"/>
  <c r="DG70" i="6"/>
  <c r="B19" i="8"/>
  <c r="DG27" i="6"/>
  <c r="AP7" i="6"/>
  <c r="AP17" i="6" s="1"/>
  <c r="AP43" i="6"/>
  <c r="AP47" i="6" s="1"/>
  <c r="AP27" i="6"/>
  <c r="AP34" i="6" s="1"/>
  <c r="AP26" i="6"/>
  <c r="AP33" i="6" s="1"/>
  <c r="DG65" i="6" s="1"/>
  <c r="AP28" i="6"/>
  <c r="AP35" i="6" s="1"/>
  <c r="AP38" i="6"/>
  <c r="F109" i="7"/>
  <c r="DG62" i="6"/>
  <c r="AP31" i="6"/>
  <c r="AP45" i="6"/>
  <c r="AP44" i="6"/>
  <c r="AP4" i="6"/>
  <c r="AP14" i="6" s="1"/>
  <c r="DG68" i="6"/>
  <c r="DG57" i="6"/>
  <c r="DG56" i="6"/>
  <c r="DG59" i="6"/>
  <c r="DG58" i="6"/>
  <c r="D20" i="8"/>
  <c r="DG71" i="6"/>
  <c r="DG77" i="6"/>
  <c r="DG45" i="6"/>
  <c r="DG46" i="6"/>
  <c r="R8" i="6"/>
  <c r="H14" i="7" s="1"/>
  <c r="U28" i="6"/>
  <c r="B20" i="8"/>
  <c r="T26" i="6"/>
  <c r="R28" i="6"/>
  <c r="J109" i="7" s="1"/>
  <c r="B121" i="7" s="1"/>
  <c r="B122" i="7" s="1"/>
  <c r="AZ50" i="6"/>
  <c r="CK49" i="6" s="1"/>
  <c r="H12" i="7"/>
  <c r="S28" i="6"/>
  <c r="T28" i="6" s="1"/>
  <c r="B13" i="8"/>
  <c r="D13" i="8" s="1"/>
  <c r="AZ48" i="6"/>
  <c r="CK47" i="6" s="1"/>
  <c r="AZ23" i="6"/>
  <c r="CK22" i="6" s="1"/>
  <c r="B27" i="6"/>
  <c r="S8" i="6"/>
  <c r="T8" i="6" s="1"/>
  <c r="D30" i="8"/>
  <c r="D35" i="8" s="1"/>
  <c r="U8" i="6"/>
  <c r="D11" i="8" s="1"/>
  <c r="E14" i="7"/>
  <c r="O27" i="6"/>
  <c r="AP6" i="6" s="1"/>
  <c r="AP16" i="6" s="1"/>
  <c r="AZ31" i="6"/>
  <c r="CK30" i="6" s="1"/>
  <c r="B60" i="7"/>
  <c r="B30" i="8"/>
  <c r="B35" i="8" s="1"/>
  <c r="B23" i="8"/>
  <c r="AZ43" i="6"/>
  <c r="CK42" i="6" s="1"/>
  <c r="AZ47" i="6"/>
  <c r="CK46" i="6" s="1"/>
  <c r="B137" i="7"/>
  <c r="AZ27" i="6"/>
  <c r="CK26" i="6" s="1"/>
  <c r="O44" i="6"/>
  <c r="Q44" i="6"/>
  <c r="B516" i="5"/>
  <c r="B546" i="5" s="1"/>
  <c r="W13" i="5" s="1"/>
  <c r="B545" i="5"/>
  <c r="F5" i="8"/>
  <c r="B5" i="8" s="1"/>
  <c r="B61" i="7"/>
  <c r="B516" i="4"/>
  <c r="B546" i="4" s="1"/>
  <c r="W13" i="4" s="1"/>
  <c r="B545" i="4"/>
  <c r="B438" i="7"/>
  <c r="B468" i="7" s="1"/>
  <c r="B467" i="7"/>
  <c r="B438" i="5"/>
  <c r="B468" i="5" s="1"/>
  <c r="W12" i="5" s="1"/>
  <c r="B467" i="5"/>
  <c r="D31" i="8"/>
  <c r="B281" i="4"/>
  <c r="B311" i="4" s="1"/>
  <c r="W10" i="4" s="1"/>
  <c r="B310" i="4"/>
  <c r="B310" i="5"/>
  <c r="B281" i="5"/>
  <c r="B311" i="5" s="1"/>
  <c r="W10" i="5" s="1"/>
  <c r="R34" i="6" l="1"/>
  <c r="AZ19" i="6"/>
  <c r="CK18" i="6" s="1"/>
  <c r="AP10" i="6"/>
  <c r="DG29" i="6" s="1"/>
  <c r="B4" i="8"/>
  <c r="B8" i="8" s="1"/>
  <c r="AZ26" i="6"/>
  <c r="CK25" i="6" s="1"/>
  <c r="AP55" i="6"/>
  <c r="DG47" i="6"/>
  <c r="DG35" i="6"/>
  <c r="AP22" i="6"/>
  <c r="O39" i="6"/>
  <c r="AP39" i="6"/>
  <c r="AZ39" i="6" s="1"/>
  <c r="CK38" i="6" s="1"/>
  <c r="AP5" i="6"/>
  <c r="AP15" i="6" s="1"/>
  <c r="AP21" i="6"/>
  <c r="AP32" i="6"/>
  <c r="DG63" i="6" s="1"/>
  <c r="DG44" i="6"/>
  <c r="AP42" i="6"/>
  <c r="AP46" i="6" s="1"/>
  <c r="DG42" i="6"/>
  <c r="DG22" i="6"/>
  <c r="DG21" i="6"/>
  <c r="DG23" i="6"/>
  <c r="DG24" i="6"/>
  <c r="DG67" i="6"/>
  <c r="DG53" i="6"/>
  <c r="DG52" i="6"/>
  <c r="DG55" i="6"/>
  <c r="DG54" i="6"/>
  <c r="B11" i="8"/>
  <c r="B16" i="8" s="1"/>
  <c r="AZ33" i="6"/>
  <c r="CK32" i="6" s="1"/>
  <c r="D16" i="8"/>
  <c r="AZ38" i="6"/>
  <c r="CK37" i="6" s="1"/>
  <c r="DG79" i="6"/>
  <c r="DG40" i="6"/>
  <c r="DG14" i="6"/>
  <c r="DG16" i="6"/>
  <c r="DG13" i="6"/>
  <c r="DG15" i="6"/>
  <c r="DG34" i="6"/>
  <c r="DG76" i="6"/>
  <c r="AZ45" i="6"/>
  <c r="CK44" i="6" s="1"/>
  <c r="R27" i="6"/>
  <c r="J34" i="7" s="1"/>
  <c r="DG49" i="6"/>
  <c r="DG50" i="6"/>
  <c r="DG48" i="6"/>
  <c r="DG51" i="6"/>
  <c r="DG75" i="6"/>
  <c r="AZ44" i="6"/>
  <c r="CK43" i="6" s="1"/>
  <c r="AO39" i="12"/>
  <c r="AY39" i="12" s="1"/>
  <c r="CO38" i="12" s="1"/>
  <c r="AY39" i="11"/>
  <c r="CO38" i="11" s="1"/>
  <c r="U27" i="6"/>
  <c r="AZ28" i="6"/>
  <c r="CK27" i="6" s="1"/>
  <c r="AZ21" i="6"/>
  <c r="CK20" i="6" s="1"/>
  <c r="D36" i="8"/>
  <c r="AZ22" i="6"/>
  <c r="CK21" i="6" s="1"/>
  <c r="AO22" i="11"/>
  <c r="AY22" i="11" s="1"/>
  <c r="CO21" i="11" s="1"/>
  <c r="AO22" i="12"/>
  <c r="AY22" i="12" s="1"/>
  <c r="CO21" i="12" s="1"/>
  <c r="AZ32" i="6"/>
  <c r="CK31" i="6" s="1"/>
  <c r="F34" i="7"/>
  <c r="S27" i="6"/>
  <c r="O45" i="6" s="1"/>
  <c r="B36" i="8"/>
  <c r="Q45" i="6"/>
  <c r="AZ6" i="6"/>
  <c r="AZ7" i="6"/>
  <c r="AZ4" i="6"/>
  <c r="B17" i="8"/>
  <c r="G137" i="7"/>
  <c r="D17" i="8"/>
  <c r="F24" i="8"/>
  <c r="B24" i="8" s="1"/>
  <c r="B27" i="8" s="1"/>
  <c r="B140" i="7"/>
  <c r="B152" i="7" s="1"/>
  <c r="W8" i="7" s="1"/>
  <c r="B151" i="7"/>
  <c r="DG72" i="6" l="1"/>
  <c r="AZ10" i="6"/>
  <c r="CK9" i="6" s="1"/>
  <c r="T27" i="6"/>
  <c r="DG30" i="6"/>
  <c r="AP11" i="6"/>
  <c r="AZ11" i="6" s="1"/>
  <c r="CK10" i="6" s="1"/>
  <c r="DG66" i="6"/>
  <c r="AZ34" i="6"/>
  <c r="CK33" i="6" s="1"/>
  <c r="AZ35" i="6"/>
  <c r="CK34" i="6" s="1"/>
  <c r="DG38" i="6"/>
  <c r="DG6" i="6"/>
  <c r="DG5" i="6"/>
  <c r="DG7" i="6"/>
  <c r="DG8" i="6"/>
  <c r="DG41" i="6"/>
  <c r="DG18" i="6"/>
  <c r="DG20" i="6"/>
  <c r="DG17" i="6"/>
  <c r="DG19" i="6"/>
  <c r="DG39" i="6"/>
  <c r="DG10" i="6"/>
  <c r="DG11" i="6"/>
  <c r="DG12" i="6"/>
  <c r="DG9" i="6"/>
  <c r="AZ5" i="6"/>
  <c r="AZ15" i="6" s="1"/>
  <c r="CK14" i="6" s="1"/>
  <c r="AP54" i="6"/>
  <c r="DG78" i="6"/>
  <c r="AZ49" i="6"/>
  <c r="CK48" i="6" s="1"/>
  <c r="AP57" i="6"/>
  <c r="AZ42" i="6"/>
  <c r="CK41" i="6" s="1"/>
  <c r="AZ14" i="6"/>
  <c r="CK13" i="6" s="1"/>
  <c r="CK3" i="6"/>
  <c r="AZ16" i="6"/>
  <c r="CK15" i="6" s="1"/>
  <c r="CK5" i="6"/>
  <c r="AZ17" i="6"/>
  <c r="CK16" i="6" s="1"/>
  <c r="CK6" i="6"/>
  <c r="AZ46" i="6"/>
  <c r="CK45" i="6" s="1"/>
  <c r="AP56" i="6"/>
  <c r="B42" i="7"/>
  <c r="B43" i="7" s="1"/>
  <c r="B73" i="7" s="1"/>
  <c r="W7" i="7" s="1"/>
  <c r="CK4" i="6" l="1"/>
  <c r="W18" i="7"/>
  <c r="V31" i="7" s="1"/>
  <c r="W21" i="7"/>
  <c r="B72" i="7"/>
</calcChain>
</file>

<file path=xl/comments1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3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4.xml><?xml version="1.0" encoding="utf-8"?>
<comments xmlns="http://schemas.openxmlformats.org/spreadsheetml/2006/main">
  <authors>
    <author/>
    <author>Glenn Reynders</author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W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5.xml><?xml version="1.0" encoding="utf-8"?>
<comments xmlns="http://schemas.openxmlformats.org/spreadsheetml/2006/main">
  <authors>
    <author/>
    <author>Glenn Reynders</author>
  </authors>
  <commentList>
    <comment ref="W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W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Z3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Z51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W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6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7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sharedStrings.xml><?xml version="1.0" encoding="utf-8"?>
<sst xmlns="http://schemas.openxmlformats.org/spreadsheetml/2006/main" count="21021" uniqueCount="521">
  <si>
    <t>Thermal properties: Detached Single Family House before1945</t>
  </si>
  <si>
    <t>Global geometrical data</t>
  </si>
  <si>
    <t>Surface properties</t>
  </si>
  <si>
    <t>Component properties</t>
  </si>
  <si>
    <t>Tabula</t>
  </si>
  <si>
    <t>W/m²K</t>
  </si>
  <si>
    <t>Protected volume</t>
  </si>
  <si>
    <t>m³</t>
  </si>
  <si>
    <t>Window area</t>
  </si>
  <si>
    <t>m²</t>
  </si>
  <si>
    <t>ID</t>
  </si>
  <si>
    <t>From Zone</t>
  </si>
  <si>
    <t>To Zone</t>
  </si>
  <si>
    <t>Construction type</t>
  </si>
  <si>
    <t>Area [m²]</t>
  </si>
  <si>
    <t>Orientation</t>
  </si>
  <si>
    <t>U-waarde</t>
  </si>
  <si>
    <t>U*A</t>
  </si>
  <si>
    <t>Cth</t>
  </si>
  <si>
    <t>Cth2</t>
  </si>
  <si>
    <t>Roof</t>
  </si>
  <si>
    <t>U=</t>
  </si>
  <si>
    <t>C=</t>
  </si>
  <si>
    <t>C2=</t>
  </si>
  <si>
    <t>W1</t>
  </si>
  <si>
    <t>Wall External</t>
  </si>
  <si>
    <t>front</t>
  </si>
  <si>
    <t>layers</t>
  </si>
  <si>
    <t>thickness [m]</t>
  </si>
  <si>
    <t>lambda [W/mK]</t>
  </si>
  <si>
    <t>rho [kg/m³]</t>
  </si>
  <si>
    <t>c [J/kgK]</t>
  </si>
  <si>
    <t>R [m²K/W]</t>
  </si>
  <si>
    <t>C [J/m²K]</t>
  </si>
  <si>
    <t>Usable floor area</t>
  </si>
  <si>
    <t>Front</t>
  </si>
  <si>
    <t>Gf</t>
  </si>
  <si>
    <t>(%)</t>
  </si>
  <si>
    <t>W2</t>
  </si>
  <si>
    <t>right</t>
  </si>
  <si>
    <t>tiled roof</t>
  </si>
  <si>
    <t>*voegen niet ingerekend</t>
  </si>
  <si>
    <t>Day zone</t>
  </si>
  <si>
    <t>Right</t>
  </si>
  <si>
    <t>W3</t>
  </si>
  <si>
    <t>back</t>
  </si>
  <si>
    <t>air gap</t>
  </si>
  <si>
    <t>Night zone</t>
  </si>
  <si>
    <t>Back</t>
  </si>
  <si>
    <t>W4</t>
  </si>
  <si>
    <t>left</t>
  </si>
  <si>
    <t>insulation</t>
  </si>
  <si>
    <t>Left</t>
  </si>
  <si>
    <t>W5</t>
  </si>
  <si>
    <t>Window</t>
  </si>
  <si>
    <t>woodboard</t>
  </si>
  <si>
    <t>Ff</t>
  </si>
  <si>
    <t>W6</t>
  </si>
  <si>
    <t>gipspleister</t>
  </si>
  <si>
    <t>W7</t>
  </si>
  <si>
    <t>W8</t>
  </si>
  <si>
    <t>W9</t>
  </si>
  <si>
    <t>ground</t>
  </si>
  <si>
    <t>Floor</t>
  </si>
  <si>
    <t>Wall external</t>
  </si>
  <si>
    <t>Summarizing ratios</t>
  </si>
  <si>
    <t>W10</t>
  </si>
  <si>
    <t>W11</t>
  </si>
  <si>
    <t>Door</t>
  </si>
  <si>
    <t>compactness</t>
  </si>
  <si>
    <t>m</t>
  </si>
  <si>
    <t>W12</t>
  </si>
  <si>
    <t>Cement plaster</t>
  </si>
  <si>
    <t>Unusable floor area</t>
  </si>
  <si>
    <t>envelope surface/ total floor</t>
  </si>
  <si>
    <t>W13</t>
  </si>
  <si>
    <t>BrickHe</t>
  </si>
  <si>
    <t>Attic (h&gt;1.8m)</t>
  </si>
  <si>
    <t>envelope surface/ usable floor area</t>
  </si>
  <si>
    <t>W14</t>
  </si>
  <si>
    <t>gypsum</t>
  </si>
  <si>
    <t>Attic (h&lt;1.8m)</t>
  </si>
  <si>
    <t>W15</t>
  </si>
  <si>
    <t>Window area/ total floor area</t>
  </si>
  <si>
    <t>W16</t>
  </si>
  <si>
    <t>Wall internal</t>
  </si>
  <si>
    <t>Window area/ usable floor area</t>
  </si>
  <si>
    <t>W17</t>
  </si>
  <si>
    <t>Window area/envelope area</t>
  </si>
  <si>
    <t>W18</t>
  </si>
  <si>
    <t>pleister</t>
  </si>
  <si>
    <t>Total floor surface</t>
  </si>
  <si>
    <t>W19</t>
  </si>
  <si>
    <t>metselwerk</t>
  </si>
  <si>
    <t>= usable area x</t>
  </si>
  <si>
    <t>Nightzone/usable floor area</t>
  </si>
  <si>
    <t>W20</t>
  </si>
  <si>
    <t>front/back</t>
  </si>
  <si>
    <t>W21</t>
  </si>
  <si>
    <t>Floor internal</t>
  </si>
  <si>
    <t>envelope surface area</t>
  </si>
  <si>
    <t>W22</t>
  </si>
  <si>
    <t>W23</t>
  </si>
  <si>
    <t>wooden floor</t>
  </si>
  <si>
    <t>*klopt niet -&gt; hout is lichter dan water slimme!</t>
  </si>
  <si>
    <t>cavity</t>
  </si>
  <si>
    <t>Total UA</t>
  </si>
  <si>
    <t>W/K</t>
  </si>
  <si>
    <t>wooden ceiling</t>
  </si>
  <si>
    <t>Zone number</t>
  </si>
  <si>
    <t>Volume [m³]</t>
  </si>
  <si>
    <t>type</t>
  </si>
  <si>
    <t>Set temperature</t>
  </si>
  <si>
    <t>A_g</t>
  </si>
  <si>
    <t>UA_walls+roof</t>
  </si>
  <si>
    <t>window</t>
  </si>
  <si>
    <t>Night Zone</t>
  </si>
  <si>
    <t>UA_windows</t>
  </si>
  <si>
    <t>Attic</t>
  </si>
  <si>
    <t>unheated</t>
  </si>
  <si>
    <t>inf</t>
  </si>
  <si>
    <t>g-waarde</t>
  </si>
  <si>
    <t>Cair</t>
  </si>
  <si>
    <t>MJ</t>
  </si>
  <si>
    <t>C_walls+roof</t>
  </si>
  <si>
    <t>MJ/K</t>
  </si>
  <si>
    <t>C_int</t>
  </si>
  <si>
    <t>C_floor</t>
  </si>
  <si>
    <t>tiles</t>
  </si>
  <si>
    <t>screed</t>
  </si>
  <si>
    <t>PUR</t>
  </si>
  <si>
    <t>Concrete</t>
  </si>
  <si>
    <t>Isolatie</t>
  </si>
  <si>
    <t>infiltration rate (n_{50})</t>
  </si>
  <si>
    <t>Tabula data</t>
  </si>
  <si>
    <t>Type</t>
  </si>
  <si>
    <t>Allacker</t>
  </si>
  <si>
    <t>Total floor surface area</t>
  </si>
  <si>
    <t>Total envelope area</t>
  </si>
  <si>
    <t>Exterior wall</t>
  </si>
  <si>
    <t>Exterior wall to unheated spaces</t>
  </si>
  <si>
    <t>Total exterior wall</t>
  </si>
  <si>
    <t>Floor on soil</t>
  </si>
  <si>
    <t>Floor bordering unheated spaces</t>
  </si>
  <si>
    <t>Floor bordering outdoor spaces</t>
  </si>
  <si>
    <t>Total Floor on ground</t>
  </si>
  <si>
    <t>Doors</t>
  </si>
  <si>
    <t>Windows N</t>
  </si>
  <si>
    <t>Windows E</t>
  </si>
  <si>
    <t>Windows S</t>
  </si>
  <si>
    <t>Windows W</t>
  </si>
  <si>
    <t>Total windows</t>
  </si>
  <si>
    <t>Compactness</t>
  </si>
  <si>
    <t>Total envelope area/Total floor</t>
  </si>
  <si>
    <t>Total envelope area/Usable floor</t>
  </si>
  <si>
    <t>Window/total envelope</t>
  </si>
  <si>
    <t>Window/total floor</t>
  </si>
  <si>
    <t>Window/usable floor</t>
  </si>
  <si>
    <t>n50</t>
  </si>
  <si>
    <t>1/h</t>
  </si>
  <si>
    <t>N53</t>
  </si>
  <si>
    <t>Ratio: Tabula/Allacker</t>
  </si>
  <si>
    <t>Total ground Floor</t>
  </si>
  <si>
    <t>Windows</t>
  </si>
  <si>
    <t>Berekening verwarming voor multizone EL²EP detached house</t>
  </si>
  <si>
    <t>Berekening volgens EN12381-2003</t>
  </si>
  <si>
    <t>T_e,d</t>
  </si>
  <si>
    <t>°C</t>
  </si>
  <si>
    <t>Samenvatting</t>
  </si>
  <si>
    <t>Zone</t>
  </si>
  <si>
    <t>Q</t>
  </si>
  <si>
    <t>Transmissieverliezen</t>
  </si>
  <si>
    <t>W</t>
  </si>
  <si>
    <t>Buitenwanden + Ramen</t>
  </si>
  <si>
    <t>Naar zone</t>
  </si>
  <si>
    <t>wandtype</t>
  </si>
  <si>
    <t>Oppervlakte [m²]</t>
  </si>
  <si>
    <t>Orientatie</t>
  </si>
  <si>
    <t>f_k</t>
  </si>
  <si>
    <t>Totaal</t>
  </si>
  <si>
    <t>Vloeren boven grond/nietverwarmde ruimte</t>
  </si>
  <si>
    <t>Naar Zone</t>
  </si>
  <si>
    <t>Oppervlakte</t>
  </si>
  <si>
    <t>Ag</t>
  </si>
  <si>
    <t>P</t>
  </si>
  <si>
    <t>dw</t>
  </si>
  <si>
    <t>B</t>
  </si>
  <si>
    <t>dt</t>
  </si>
  <si>
    <t>U'</t>
  </si>
  <si>
    <t>Binnenwanden/Binnenvloeren</t>
  </si>
  <si>
    <t>Van</t>
  </si>
  <si>
    <t>Naar</t>
  </si>
  <si>
    <t>Opp</t>
  </si>
  <si>
    <t>Ti1</t>
  </si>
  <si>
    <t>Ti2</t>
  </si>
  <si>
    <t>Totaal transmissie:</t>
  </si>
  <si>
    <t>HT</t>
  </si>
  <si>
    <t>Ventilatieverliezen</t>
  </si>
  <si>
    <t>infiltratie</t>
  </si>
  <si>
    <t>n50=</t>
  </si>
  <si>
    <t>tab D.7</t>
  </si>
  <si>
    <t>e_i=</t>
  </si>
  <si>
    <t>tab D.8</t>
  </si>
  <si>
    <t>eps=</t>
  </si>
  <si>
    <t>tab D.9</t>
  </si>
  <si>
    <t>V_inf</t>
  </si>
  <si>
    <t>m³/h</t>
  </si>
  <si>
    <t>Hygienische vent</t>
  </si>
  <si>
    <t>V_min</t>
  </si>
  <si>
    <t>eff</t>
  </si>
  <si>
    <t>V_i=</t>
  </si>
  <si>
    <t>n=</t>
  </si>
  <si>
    <t>H_V</t>
  </si>
  <si>
    <t>Intermitterend verwarmen</t>
  </si>
  <si>
    <t>f_R,H</t>
  </si>
  <si>
    <t>Tab D10b: 3K,1h</t>
  </si>
  <si>
    <t>H_RH</t>
  </si>
  <si>
    <t>TOTAAL</t>
  </si>
  <si>
    <t>H</t>
  </si>
  <si>
    <t>W45</t>
  </si>
  <si>
    <t>W50</t>
  </si>
  <si>
    <t>W51</t>
  </si>
  <si>
    <t>W54</t>
  </si>
  <si>
    <t>W55</t>
  </si>
  <si>
    <t>W69</t>
  </si>
  <si>
    <t>geen ontworpen ventilatiesysteem!</t>
  </si>
  <si>
    <t>W46</t>
  </si>
  <si>
    <t>W56</t>
  </si>
  <si>
    <t>W57</t>
  </si>
  <si>
    <t>W70</t>
  </si>
  <si>
    <t>constante temp</t>
  </si>
  <si>
    <t>W58</t>
  </si>
  <si>
    <t>W59</t>
  </si>
  <si>
    <t>W71</t>
  </si>
  <si>
    <t>W76</t>
  </si>
  <si>
    <t>Tab D10b: 3K,2h</t>
  </si>
  <si>
    <t>W60</t>
  </si>
  <si>
    <t>W61</t>
  </si>
  <si>
    <t>W67</t>
  </si>
  <si>
    <t>W74</t>
  </si>
  <si>
    <t>W62</t>
  </si>
  <si>
    <t>W63</t>
  </si>
  <si>
    <t>W68</t>
  </si>
  <si>
    <t>W75</t>
  </si>
  <si>
    <t>W25</t>
  </si>
  <si>
    <t>W26</t>
  </si>
  <si>
    <t>W27</t>
  </si>
  <si>
    <t>W28</t>
  </si>
  <si>
    <t>W78</t>
  </si>
  <si>
    <t>W29</t>
  </si>
  <si>
    <t>W30</t>
  </si>
  <si>
    <t>W31</t>
  </si>
  <si>
    <t>W47</t>
  </si>
  <si>
    <t>W52</t>
  </si>
  <si>
    <t>W32</t>
  </si>
  <si>
    <t>W33</t>
  </si>
  <si>
    <t>W48</t>
  </si>
  <si>
    <t>W72</t>
  </si>
  <si>
    <t>aanname dat berging dient als wasplaats! Anders V_min=0</t>
  </si>
  <si>
    <t>W34</t>
  </si>
  <si>
    <t>W35</t>
  </si>
  <si>
    <t>W36</t>
  </si>
  <si>
    <t>W49</t>
  </si>
  <si>
    <t>W53</t>
  </si>
  <si>
    <t>W64</t>
  </si>
  <si>
    <t>W65</t>
  </si>
  <si>
    <t>W66</t>
  </si>
  <si>
    <t>W73</t>
  </si>
  <si>
    <t>W77</t>
  </si>
  <si>
    <t>Qnom</t>
  </si>
  <si>
    <t>Everything outside insulation layer is ignored (ventilated cavity)</t>
  </si>
  <si>
    <t>Brick</t>
  </si>
  <si>
    <t>Air gap</t>
  </si>
  <si>
    <t>Insulation</t>
  </si>
  <si>
    <t>1 cm isolatie om Uwaarde te halen. In specificatie : geen isolatie?</t>
  </si>
  <si>
    <t>Brick I</t>
  </si>
  <si>
    <t>EPS: wij hebben dat thuis en ons huis is van die periode</t>
  </si>
  <si>
    <t>Plaster</t>
  </si>
  <si>
    <t>concrete</t>
  </si>
  <si>
    <t>double glazing</t>
  </si>
  <si>
    <t>Assuptions</t>
  </si>
  <si>
    <t>A_wall</t>
  </si>
  <si>
    <t>(Front and back / Total)</t>
  </si>
  <si>
    <t>GF_frontBack/ Total_frontBack</t>
  </si>
  <si>
    <t>(pitched roof front back oriented)</t>
  </si>
  <si>
    <t>EPS</t>
  </si>
  <si>
    <t>3 cm isolatie to reach tabula value!</t>
  </si>
  <si>
    <t>GF_leftRight/Total_leftRight</t>
  </si>
  <si>
    <t>Gf_windows/Total_Windows</t>
  </si>
  <si>
    <t>Physical parameters</t>
  </si>
  <si>
    <t>DayZone</t>
  </si>
  <si>
    <t>UA</t>
  </si>
  <si>
    <t>vent</t>
  </si>
  <si>
    <t>vent+inf</t>
  </si>
  <si>
    <t>Uawin</t>
  </si>
  <si>
    <t>hwi</t>
  </si>
  <si>
    <t>Uafl</t>
  </si>
  <si>
    <t>(niet gereduceerde!)</t>
  </si>
  <si>
    <t>Losstot</t>
  </si>
  <si>
    <t>Total</t>
  </si>
  <si>
    <t>Inside insul.</t>
  </si>
  <si>
    <t>Cw</t>
  </si>
  <si>
    <t>J/K</t>
  </si>
  <si>
    <t>Cwi</t>
  </si>
  <si>
    <t>Cfl</t>
  </si>
  <si>
    <t>Cwalls</t>
  </si>
  <si>
    <t>Ctotal</t>
  </si>
  <si>
    <t>Uafi</t>
  </si>
  <si>
    <t>Cfi</t>
  </si>
  <si>
    <t>NightZone</t>
  </si>
  <si>
    <t>Uar</t>
  </si>
  <si>
    <t>Cr</t>
  </si>
  <si>
    <t>Thermal properties: Detached Single Family House 71-90</t>
  </si>
  <si>
    <t>d=</t>
  </si>
  <si>
    <t>Parameters greybox: 4state day zone, 4 state night zone, 1 state interior floor</t>
  </si>
  <si>
    <t>(Models DayZone_5state_B, NightZone_4state_A)</t>
  </si>
  <si>
    <t>Parameter</t>
  </si>
  <si>
    <t>Theoretical</t>
  </si>
  <si>
    <t>TO paste in dymola</t>
  </si>
  <si>
    <t>parameter</t>
  </si>
  <si>
    <t>Real</t>
  </si>
  <si>
    <t>abs1D</t>
  </si>
  <si>
    <t>;</t>
  </si>
  <si>
    <t>=</t>
  </si>
  <si>
    <t>abs2D</t>
  </si>
  <si>
    <t>abs3D</t>
  </si>
  <si>
    <t>abs4D</t>
  </si>
  <si>
    <t>CiD</t>
  </si>
  <si>
    <t>CwD</t>
  </si>
  <si>
    <t>CwiD</t>
  </si>
  <si>
    <t>CflD</t>
  </si>
  <si>
    <t>f1D</t>
  </si>
  <si>
    <t>f2D</t>
  </si>
  <si>
    <t>f3D</t>
  </si>
  <si>
    <t>f4D</t>
  </si>
  <si>
    <t>hwD</t>
  </si>
  <si>
    <t>hflD</t>
  </si>
  <si>
    <t>hwiD</t>
  </si>
  <si>
    <t>infD</t>
  </si>
  <si>
    <t>UwD</t>
  </si>
  <si>
    <t>UflD</t>
  </si>
  <si>
    <t>abs1N</t>
  </si>
  <si>
    <t>abs2N</t>
  </si>
  <si>
    <t>abs3N</t>
  </si>
  <si>
    <t>CiN</t>
  </si>
  <si>
    <t>CwN</t>
  </si>
  <si>
    <t>CwiN</t>
  </si>
  <si>
    <t>f1N</t>
  </si>
  <si>
    <t>f2N</t>
  </si>
  <si>
    <t> 5.339205e-02</t>
  </si>
  <si>
    <t>f3N</t>
  </si>
  <si>
    <t> 6.711553e-01</t>
  </si>
  <si>
    <t>hwN</t>
  </si>
  <si>
    <t> 4.631922e+02</t>
  </si>
  <si>
    <t>hwiN</t>
  </si>
  <si>
    <t>infN</t>
  </si>
  <si>
    <t> 3.735657e+01</t>
  </si>
  <si>
    <t>UwN</t>
  </si>
  <si>
    <t>abs5D</t>
  </si>
  <si>
    <t> 1.693800e-01</t>
  </si>
  <si>
    <t>abs5N</t>
  </si>
  <si>
    <t> 3.395373e-01</t>
  </si>
  <si>
    <t>CfiD </t>
  </si>
  <si>
    <t> 1.385834e+07</t>
  </si>
  <si>
    <t>CfiN</t>
  </si>
  <si>
    <t> 4.368417e+07</t>
  </si>
  <si>
    <t>f5D </t>
  </si>
  <si>
    <t> 6.941760e-02</t>
  </si>
  <si>
    <t>f5N </t>
  </si>
  <si>
    <t> 1.291481e-01</t>
  </si>
  <si>
    <t>UfDN</t>
  </si>
  <si>
    <t> 2.955246e+02</t>
  </si>
  <si>
    <t>Ufi</t>
  </si>
  <si>
    <t> 4.609140e+02</t>
  </si>
  <si>
    <t>UfND</t>
  </si>
  <si>
    <t> 3.468365e+02</t>
  </si>
  <si>
    <t>Check absD</t>
  </si>
  <si>
    <t>Check fi</t>
  </si>
  <si>
    <t>Estimated PRBS</t>
  </si>
  <si>
    <t>DayZone_5state_B</t>
  </si>
  <si>
    <t>Coefficients:</t>
  </si>
  <si>
    <t>Estimate</t>
  </si>
  <si>
    <t>Std.</t>
  </si>
  <si>
    <t>Error</t>
  </si>
  <si>
    <t>t</t>
  </si>
  <si>
    <t>value</t>
  </si>
  <si>
    <t>Pr(&gt;|t|)</t>
  </si>
  <si>
    <t>Ti0</t>
  </si>
  <si>
    <t>&lt;2e-16</t>
  </si>
  <si>
    <t>***</t>
  </si>
  <si>
    <t>Tw0</t>
  </si>
  <si>
    <t>Twi0</t>
  </si>
  <si>
    <t>Tfi0</t>
  </si>
  <si>
    <t>Tfl0</t>
  </si>
  <si>
    <t>abs1</t>
  </si>
  <si>
    <t>abs2</t>
  </si>
  <si>
    <t>abs3</t>
  </si>
  <si>
    <t>abs4</t>
  </si>
  <si>
    <t>abs5</t>
  </si>
  <si>
    <t>Ci</t>
  </si>
  <si>
    <t>e11</t>
  </si>
  <si>
    <t>e22</t>
  </si>
  <si>
    <t>e33</t>
  </si>
  <si>
    <t>e44</t>
  </si>
  <si>
    <t>e55</t>
  </si>
  <si>
    <t>f1</t>
  </si>
  <si>
    <t>f2</t>
  </si>
  <si>
    <t>f3</t>
  </si>
  <si>
    <t>f4</t>
  </si>
  <si>
    <t>f5</t>
  </si>
  <si>
    <t>hcAw</t>
  </si>
  <si>
    <t>hfl</t>
  </si>
  <si>
    <t>p11</t>
  </si>
  <si>
    <t>p22</t>
  </si>
  <si>
    <t>p33</t>
  </si>
  <si>
    <t>p44</t>
  </si>
  <si>
    <t>p55</t>
  </si>
  <si>
    <t>Re</t>
  </si>
  <si>
    <t>UfiA</t>
  </si>
  <si>
    <t>UfiB</t>
  </si>
  <si>
    <t>Ufl</t>
  </si>
  <si>
    <t>NightZone_4state_B</t>
  </si>
  <si>
    <t>&lt;</t>
  </si>
  <si>
    <t>TfiN0</t>
  </si>
  <si>
    <t>CfiD</t>
  </si>
  <si>
    <t>**</t>
  </si>
  <si>
    <t>e66</t>
  </si>
  <si>
    <t>.</t>
  </si>
  <si>
    <t>f5D</t>
  </si>
  <si>
    <t>f5N</t>
  </si>
  <si>
    <t>p99</t>
  </si>
  <si>
    <t>Wall</t>
  </si>
  <si>
    <t>Estimated In Use</t>
  </si>
  <si>
    <t>[1]</t>
  </si>
  <si>
    <t>*</t>
  </si>
  <si>
    <t>MultiZoneWall_2state_A</t>
  </si>
  <si>
    <t>TfiD0</t>
  </si>
  <si>
    <t xml:space="preserve">Tabula </t>
  </si>
  <si>
    <t>RC</t>
  </si>
  <si>
    <t>GBPRBS</t>
  </si>
  <si>
    <t>GBINUSE</t>
  </si>
  <si>
    <t>SOLNEWS IN USE</t>
  </si>
  <si>
    <t>##</t>
  </si>
  <si>
    <t>DayZone_5state_E</t>
  </si>
  <si>
    <t>abs1E</t>
  </si>
  <si>
    <t>abs1S</t>
  </si>
  <si>
    <t>abs1W</t>
  </si>
  <si>
    <t>abs2E</t>
  </si>
  <si>
    <t>abs2S</t>
  </si>
  <si>
    <t>abs2W</t>
  </si>
  <si>
    <t>abs3E</t>
  </si>
  <si>
    <t>abs3S</t>
  </si>
  <si>
    <t>abs3W</t>
  </si>
  <si>
    <t>abs4E</t>
  </si>
  <si>
    <t>abs4N</t>
  </si>
  <si>
    <t>abs4S</t>
  </si>
  <si>
    <t>abs4W</t>
  </si>
  <si>
    <t>abs5E</t>
  </si>
  <si>
    <t>abs5S</t>
  </si>
  <si>
    <t>abs5W</t>
  </si>
  <si>
    <t>NightZone_4state_E</t>
  </si>
  <si>
    <t>---</t>
  </si>
  <si>
    <t>Signif.</t>
  </si>
  <si>
    <t>codes:</t>
  </si>
  <si>
    <t>'***'</t>
  </si>
  <si>
    <t>'**'</t>
  </si>
  <si>
    <t>SolNESW INUSE</t>
  </si>
  <si>
    <t>parameter Real</t>
  </si>
  <si>
    <t>abs1ED</t>
  </si>
  <si>
    <t>abs1ND</t>
  </si>
  <si>
    <t>abs1SD</t>
  </si>
  <si>
    <t>abs1WD</t>
  </si>
  <si>
    <t>abs2ED</t>
  </si>
  <si>
    <t>abs2ND</t>
  </si>
  <si>
    <t>abs2SD</t>
  </si>
  <si>
    <t>abs2WD</t>
  </si>
  <si>
    <t>abs3ED</t>
  </si>
  <si>
    <t>abs3ND</t>
  </si>
  <si>
    <t>abs3SD</t>
  </si>
  <si>
    <t>abs3WD</t>
  </si>
  <si>
    <t>abs4ED</t>
  </si>
  <si>
    <t>abs4ND</t>
  </si>
  <si>
    <t>abs4SD</t>
  </si>
  <si>
    <t>abs4WD</t>
  </si>
  <si>
    <t>abs5ED</t>
  </si>
  <si>
    <t>abs5ND</t>
  </si>
  <si>
    <t>abs5SD</t>
  </si>
  <si>
    <t>abs5WD</t>
  </si>
  <si>
    <t>hcAwD</t>
  </si>
  <si>
    <t>abs1EN</t>
  </si>
  <si>
    <t>abs1NN</t>
  </si>
  <si>
    <t>abs1SN</t>
  </si>
  <si>
    <t>abs1WN</t>
  </si>
  <si>
    <t>abs2EN</t>
  </si>
  <si>
    <t>abs2NN</t>
  </si>
  <si>
    <t>abs2SN</t>
  </si>
  <si>
    <t>abs2WN</t>
  </si>
  <si>
    <t>abs3EN</t>
  </si>
  <si>
    <t>abs3NN</t>
  </si>
  <si>
    <t>abs3SN</t>
  </si>
  <si>
    <t>abs3WN</t>
  </si>
  <si>
    <t>abs5EN</t>
  </si>
  <si>
    <t>abs5NN</t>
  </si>
  <si>
    <t>abs5SN</t>
  </si>
  <si>
    <t>abs5WN</t>
  </si>
  <si>
    <t>hcAwN</t>
  </si>
  <si>
    <t>number of floors</t>
  </si>
  <si>
    <t>height floor</t>
  </si>
  <si>
    <t>width facade</t>
  </si>
  <si>
    <t>depth building</t>
  </si>
  <si>
    <t>Area Common wall</t>
  </si>
  <si>
    <t>C</t>
  </si>
  <si>
    <t>Common Wall</t>
  </si>
  <si>
    <t>v50</t>
  </si>
  <si>
    <t>gA</t>
  </si>
  <si>
    <t>Uf</t>
  </si>
  <si>
    <t>fframe</t>
  </si>
  <si>
    <t>plaster</t>
  </si>
  <si>
    <t>SolNESW THEO</t>
  </si>
  <si>
    <t>GBIDENT2/GBIDENT1</t>
  </si>
  <si>
    <t>GBIDENT2/GBTHEO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</si>
</sst>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 * #,##0.00_ ;_ * \-#,##0.00_ ;_ * \-??_ ;_ @_ "/>
    <numFmt numFmtId="165" formatCode="0.000"/>
    <numFmt numFmtId="166" formatCode="0.0"/>
    <numFmt numFmtId="167" formatCode="0.0000E+00"/>
    <numFmt numFmtId="168" formatCode="0.00E+000"/>
  </numFmts>
  <fonts count="3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5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DCE6F2"/>
        <bgColor rgb="FFF2F2F2"/>
      </patternFill>
    </fill>
    <fill>
      <patternFill patternType="solid">
        <fgColor rgb="FF95B3D7"/>
        <bgColor rgb="FFA7C0DE"/>
      </patternFill>
    </fill>
    <fill>
      <patternFill patternType="solid">
        <fgColor rgb="FFB9CDE5"/>
        <bgColor rgb="FFA7C0DE"/>
      </patternFill>
    </fill>
    <fill>
      <patternFill patternType="solid">
        <fgColor rgb="FFC0504D"/>
        <bgColor rgb="FF993366"/>
      </patternFill>
    </fill>
    <fill>
      <patternFill patternType="solid">
        <fgColor rgb="FFF2DCDB"/>
        <bgColor rgb="FFDCE6F2"/>
      </patternFill>
    </fill>
    <fill>
      <patternFill patternType="solid">
        <fgColor rgb="FF8064A2"/>
        <bgColor rgb="FF7F7F7F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B7B7B7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2DCDB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B7B7B7"/>
      </patternFill>
    </fill>
    <fill>
      <patternFill patternType="solid">
        <fgColor rgb="FFC3D69B"/>
        <bgColor rgb="FFBFBFBF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 style="thick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rgb="FF95B3D7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9" fontId="22" fillId="0" borderId="0"/>
    <xf numFmtId="0" fontId="6" fillId="0" borderId="0"/>
    <xf numFmtId="0" fontId="23" fillId="0" borderId="21" applyNumberFormat="0" applyFill="0" applyAlignment="0" applyProtection="0"/>
    <xf numFmtId="0" fontId="24" fillId="17" borderId="22" applyNumberFormat="0" applyAlignment="0" applyProtection="0"/>
    <xf numFmtId="0" fontId="25" fillId="18" borderId="23" applyNumberFormat="0" applyAlignment="0" applyProtection="0"/>
    <xf numFmtId="0" fontId="3" fillId="19" borderId="0" applyNumberFormat="0" applyBorder="0" applyAlignment="0" applyProtection="0"/>
    <xf numFmtId="0" fontId="3" fillId="0" borderId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7" fillId="23" borderId="0" applyNumberFormat="0" applyBorder="0" applyAlignment="0" applyProtection="0"/>
    <xf numFmtId="0" fontId="28" fillId="28" borderId="0" applyNumberFormat="0" applyBorder="0" applyAlignment="0" applyProtection="0"/>
    <xf numFmtId="43" fontId="2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329"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10" borderId="0" xfId="2" applyFont="1" applyFill="1" applyBorder="1" applyAlignment="1" applyProtection="1">
      <alignment horizontal="center"/>
    </xf>
    <xf numFmtId="0" fontId="6" fillId="0" borderId="4" xfId="2" applyFont="1" applyFill="1" applyBorder="1" applyAlignment="1" applyProtection="1"/>
    <xf numFmtId="0" fontId="0" fillId="3" borderId="5" xfId="2" applyFont="1" applyFill="1" applyBorder="1" applyAlignment="1" applyProtection="1"/>
    <xf numFmtId="0" fontId="22" fillId="3" borderId="6" xfId="2" applyFont="1" applyFill="1" applyBorder="1" applyAlignment="1" applyProtection="1"/>
    <xf numFmtId="2" fontId="22" fillId="3" borderId="6" xfId="2" applyNumberFormat="1" applyFont="1" applyFill="1" applyBorder="1" applyAlignment="1" applyProtection="1"/>
    <xf numFmtId="0" fontId="0" fillId="3" borderId="3" xfId="2" applyFont="1" applyFill="1" applyBorder="1" applyAlignment="1" applyProtection="1"/>
    <xf numFmtId="0" fontId="0" fillId="3" borderId="7" xfId="2" applyFont="1" applyFill="1" applyBorder="1" applyAlignment="1" applyProtection="1">
      <alignment horizontal="center"/>
    </xf>
    <xf numFmtId="0" fontId="0" fillId="3" borderId="4" xfId="2" applyFont="1" applyFill="1" applyBorder="1" applyAlignment="1" applyProtection="1">
      <alignment horizontal="center"/>
    </xf>
    <xf numFmtId="0" fontId="0" fillId="3" borderId="8" xfId="2" applyFont="1" applyFill="1" applyBorder="1" applyAlignment="1" applyProtection="1">
      <alignment horizontal="center"/>
    </xf>
    <xf numFmtId="2" fontId="6" fillId="0" borderId="0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 applyProtection="1"/>
    <xf numFmtId="0" fontId="6" fillId="10" borderId="0" xfId="2" applyFont="1" applyFill="1" applyBorder="1" applyAlignment="1" applyProtection="1"/>
    <xf numFmtId="0" fontId="0" fillId="3" borderId="7" xfId="2" applyFont="1" applyFill="1" applyBorder="1" applyAlignment="1" applyProtection="1"/>
    <xf numFmtId="0" fontId="22" fillId="3" borderId="4" xfId="2" applyFont="1" applyFill="1" applyBorder="1" applyAlignment="1" applyProtection="1"/>
    <xf numFmtId="0" fontId="0" fillId="3" borderId="4" xfId="2" applyFont="1" applyFill="1" applyBorder="1" applyAlignment="1" applyProtection="1">
      <alignment horizontal="right"/>
    </xf>
    <xf numFmtId="165" fontId="22" fillId="3" borderId="4" xfId="2" applyNumberFormat="1" applyFont="1" applyFill="1" applyBorder="1" applyAlignment="1" applyProtection="1">
      <alignment horizontal="center"/>
    </xf>
    <xf numFmtId="0" fontId="22" fillId="3" borderId="8" xfId="2" applyFont="1" applyFill="1" applyBorder="1" applyAlignment="1" applyProtection="1"/>
    <xf numFmtId="0" fontId="7" fillId="0" borderId="9" xfId="0" applyFont="1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2" fontId="6" fillId="0" borderId="0" xfId="2" applyNumberFormat="1" applyFont="1" applyFill="1" applyBorder="1" applyAlignment="1" applyProtection="1"/>
    <xf numFmtId="2" fontId="6" fillId="10" borderId="0" xfId="2" applyNumberFormat="1" applyFont="1" applyFill="1" applyBorder="1" applyAlignment="1" applyProtection="1"/>
    <xf numFmtId="0" fontId="0" fillId="0" borderId="7" xfId="0" applyBorder="1"/>
    <xf numFmtId="0" fontId="8" fillId="0" borderId="4" xfId="0" applyFont="1" applyBorder="1"/>
    <xf numFmtId="0" fontId="8" fillId="0" borderId="8" xfId="0" applyFont="1" applyBorder="1"/>
    <xf numFmtId="1" fontId="22" fillId="3" borderId="0" xfId="2" applyNumberFormat="1" applyFont="1" applyFill="1" applyBorder="1" applyAlignment="1" applyProtection="1"/>
    <xf numFmtId="0" fontId="0" fillId="3" borderId="0" xfId="2" applyFont="1" applyFill="1" applyBorder="1" applyAlignment="1" applyProtection="1"/>
    <xf numFmtId="0" fontId="0" fillId="0" borderId="2" xfId="0" applyFont="1" applyBorder="1"/>
    <xf numFmtId="10" fontId="0" fillId="0" borderId="0" xfId="0" applyNumberFormat="1" applyBorder="1"/>
    <xf numFmtId="2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165" fontId="0" fillId="0" borderId="0" xfId="0" applyNumberFormat="1" applyBorder="1"/>
    <xf numFmtId="0" fontId="0" fillId="0" borderId="5" xfId="0" applyFont="1" applyBorder="1"/>
    <xf numFmtId="166" fontId="0" fillId="0" borderId="6" xfId="0" applyNumberFormat="1" applyBorder="1"/>
    <xf numFmtId="0" fontId="0" fillId="0" borderId="6" xfId="0" applyFont="1" applyBorder="1"/>
    <xf numFmtId="0" fontId="0" fillId="0" borderId="2" xfId="0" applyFont="1" applyBorder="1"/>
    <xf numFmtId="166" fontId="0" fillId="0" borderId="0" xfId="0" applyNumberFormat="1" applyBorder="1"/>
    <xf numFmtId="0" fontId="0" fillId="0" borderId="0" xfId="0" applyFont="1" applyBorder="1"/>
    <xf numFmtId="10" fontId="0" fillId="0" borderId="0" xfId="0" applyNumberFormat="1" applyBorder="1"/>
    <xf numFmtId="2" fontId="0" fillId="0" borderId="11" xfId="0" applyNumberFormat="1" applyFont="1" applyBorder="1"/>
    <xf numFmtId="0" fontId="0" fillId="0" borderId="9" xfId="0" applyBorder="1"/>
    <xf numFmtId="165" fontId="0" fillId="0" borderId="10" xfId="0" applyNumberFormat="1" applyBorder="1"/>
    <xf numFmtId="0" fontId="0" fillId="0" borderId="12" xfId="0" applyBorder="1"/>
    <xf numFmtId="0" fontId="0" fillId="3" borderId="5" xfId="2" applyFont="1" applyFill="1" applyBorder="1" applyAlignment="1" applyProtection="1">
      <alignment horizontal="right"/>
    </xf>
    <xf numFmtId="0" fontId="0" fillId="0" borderId="2" xfId="0" applyFont="1" applyBorder="1" applyAlignment="1">
      <alignment horizontal="right"/>
    </xf>
    <xf numFmtId="2" fontId="0" fillId="0" borderId="0" xfId="0" applyNumberFormat="1" applyFont="1" applyBorder="1"/>
    <xf numFmtId="0" fontId="0" fillId="0" borderId="0" xfId="0" applyFont="1" applyBorder="1"/>
    <xf numFmtId="1" fontId="22" fillId="3" borderId="6" xfId="2" applyNumberFormat="1" applyFont="1" applyFill="1" applyBorder="1" applyAlignment="1" applyProtection="1"/>
    <xf numFmtId="0" fontId="0" fillId="0" borderId="11" xfId="0" applyFont="1" applyBorder="1"/>
    <xf numFmtId="9" fontId="0" fillId="0" borderId="0" xfId="1" applyFont="1" applyBorder="1" applyAlignment="1" applyProtection="1"/>
    <xf numFmtId="2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2" xfId="0" applyNumberFormat="1" applyFont="1" applyBorder="1"/>
    <xf numFmtId="165" fontId="0" fillId="0" borderId="6" xfId="0" applyNumberFormat="1" applyBorder="1"/>
    <xf numFmtId="0" fontId="0" fillId="0" borderId="3" xfId="0" applyBorder="1"/>
    <xf numFmtId="0" fontId="5" fillId="4" borderId="0" xfId="2" applyFont="1" applyFill="1" applyBorder="1" applyAlignment="1" applyProtection="1"/>
    <xf numFmtId="2" fontId="5" fillId="4" borderId="0" xfId="2" applyNumberFormat="1" applyFont="1" applyFill="1" applyBorder="1" applyAlignment="1" applyProtection="1"/>
    <xf numFmtId="0" fontId="0" fillId="0" borderId="10" xfId="0" applyBorder="1"/>
    <xf numFmtId="0" fontId="5" fillId="2" borderId="0" xfId="2" applyFont="1" applyFill="1" applyBorder="1" applyAlignment="1" applyProtection="1">
      <alignment horizontal="center"/>
    </xf>
    <xf numFmtId="0" fontId="22" fillId="5" borderId="0" xfId="2" applyFont="1" applyFill="1" applyBorder="1" applyAlignment="1" applyProtection="1">
      <alignment horizontal="center"/>
    </xf>
    <xf numFmtId="1" fontId="22" fillId="5" borderId="0" xfId="2" applyNumberFormat="1" applyFont="1" applyFill="1" applyBorder="1" applyAlignment="1" applyProtection="1">
      <alignment horizontal="center"/>
    </xf>
    <xf numFmtId="2" fontId="0" fillId="11" borderId="6" xfId="0" applyNumberFormat="1" applyFill="1" applyBorder="1"/>
    <xf numFmtId="166" fontId="22" fillId="5" borderId="0" xfId="2" applyNumberFormat="1" applyFont="1" applyFill="1" applyBorder="1" applyAlignment="1" applyProtection="1">
      <alignment horizontal="center"/>
    </xf>
    <xf numFmtId="0" fontId="22" fillId="5" borderId="0" xfId="2" applyFont="1" applyFill="1" applyBorder="1" applyAlignment="1" applyProtection="1"/>
    <xf numFmtId="0" fontId="0" fillId="0" borderId="3" xfId="0" applyFont="1" applyBorder="1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/>
    <xf numFmtId="0" fontId="13" fillId="0" borderId="1" xfId="2" applyFont="1" applyFill="1" applyBorder="1" applyAlignment="1" applyProtection="1"/>
    <xf numFmtId="0" fontId="5" fillId="6" borderId="0" xfId="2" applyFont="1" applyFill="1" applyBorder="1" applyAlignment="1" applyProtection="1"/>
    <xf numFmtId="0" fontId="0" fillId="7" borderId="0" xfId="2" applyFont="1" applyFill="1" applyBorder="1" applyAlignment="1" applyProtection="1"/>
    <xf numFmtId="1" fontId="0" fillId="0" borderId="0" xfId="0" applyNumberFormat="1"/>
    <xf numFmtId="2" fontId="22" fillId="7" borderId="0" xfId="2" applyNumberFormat="1" applyFont="1" applyFill="1" applyBorder="1" applyAlignment="1" applyProtection="1"/>
    <xf numFmtId="166" fontId="22" fillId="7" borderId="0" xfId="2" applyNumberFormat="1" applyFont="1" applyFill="1" applyBorder="1" applyAlignment="1" applyProtection="1"/>
    <xf numFmtId="9" fontId="22" fillId="7" borderId="0" xfId="2" applyNumberFormat="1" applyFont="1" applyFill="1" applyBorder="1" applyAlignment="1" applyProtection="1"/>
    <xf numFmtId="10" fontId="22" fillId="7" borderId="0" xfId="2" applyNumberFormat="1" applyFont="1" applyFill="1" applyBorder="1" applyAlignment="1" applyProtection="1"/>
    <xf numFmtId="0" fontId="5" fillId="8" borderId="0" xfId="2" applyFont="1" applyFill="1" applyBorder="1" applyAlignment="1" applyProtection="1"/>
    <xf numFmtId="0" fontId="0" fillId="9" borderId="0" xfId="2" applyFont="1" applyFill="1" applyBorder="1" applyAlignment="1" applyProtection="1"/>
    <xf numFmtId="2" fontId="0" fillId="11" borderId="0" xfId="0" applyNumberFormat="1" applyFill="1"/>
    <xf numFmtId="2" fontId="14" fillId="13" borderId="13" xfId="2" applyNumberFormat="1" applyFont="1" applyFill="1" applyBorder="1" applyAlignment="1" applyProtection="1"/>
    <xf numFmtId="2" fontId="0" fillId="11" borderId="5" xfId="0" applyNumberFormat="1" applyFill="1" applyBorder="1"/>
    <xf numFmtId="2" fontId="0" fillId="11" borderId="3" xfId="0" applyNumberFormat="1" applyFill="1" applyBorder="1"/>
    <xf numFmtId="2" fontId="0" fillId="11" borderId="2" xfId="0" applyNumberFormat="1" applyFill="1" applyBorder="1"/>
    <xf numFmtId="2" fontId="0" fillId="11" borderId="11" xfId="0" applyNumberFormat="1" applyFill="1" applyBorder="1"/>
    <xf numFmtId="2" fontId="15" fillId="0" borderId="2" xfId="2" applyNumberFormat="1" applyFont="1" applyBorder="1" applyAlignment="1" applyProtection="1"/>
    <xf numFmtId="2" fontId="0" fillId="11" borderId="0" xfId="0" applyNumberFormat="1" applyFill="1" applyBorder="1"/>
    <xf numFmtId="2" fontId="0" fillId="11" borderId="6" xfId="0" applyNumberFormat="1" applyFont="1" applyFill="1" applyBorder="1" applyAlignment="1">
      <alignment horizontal="left"/>
    </xf>
    <xf numFmtId="2" fontId="0" fillId="11" borderId="6" xfId="0" applyNumberFormat="1" applyFont="1" applyFill="1" applyBorder="1" applyAlignment="1">
      <alignment horizontal="right"/>
    </xf>
    <xf numFmtId="2" fontId="0" fillId="11" borderId="0" xfId="0" applyNumberFormat="1" applyFill="1" applyBorder="1" applyAlignment="1">
      <alignment horizontal="left"/>
    </xf>
    <xf numFmtId="2" fontId="0" fillId="11" borderId="0" xfId="0" applyNumberFormat="1" applyFill="1" applyBorder="1" applyAlignment="1">
      <alignment horizontal="right"/>
    </xf>
    <xf numFmtId="2" fontId="16" fillId="11" borderId="2" xfId="2" applyNumberFormat="1" applyFont="1" applyFill="1" applyBorder="1" applyAlignment="1" applyProtection="1"/>
    <xf numFmtId="2" fontId="0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14" fillId="13" borderId="14" xfId="2" applyNumberFormat="1" applyFont="1" applyFill="1" applyBorder="1" applyAlignment="1" applyProtection="1">
      <alignment horizontal="right"/>
    </xf>
    <xf numFmtId="2" fontId="17" fillId="14" borderId="14" xfId="2" applyNumberFormat="1" applyFont="1" applyFill="1" applyBorder="1" applyAlignment="1" applyProtection="1">
      <alignment horizontal="right"/>
    </xf>
    <xf numFmtId="2" fontId="18" fillId="15" borderId="0" xfId="0" applyNumberFormat="1" applyFont="1" applyFill="1" applyBorder="1" applyAlignment="1" applyProtection="1">
      <alignment horizontal="right"/>
    </xf>
    <xf numFmtId="2" fontId="0" fillId="11" borderId="9" xfId="0" applyNumberFormat="1" applyFill="1" applyBorder="1"/>
    <xf numFmtId="2" fontId="0" fillId="11" borderId="10" xfId="0" applyNumberFormat="1" applyFill="1" applyBorder="1"/>
    <xf numFmtId="2" fontId="0" fillId="11" borderId="12" xfId="0" applyNumberFormat="1" applyFill="1" applyBorder="1"/>
    <xf numFmtId="2" fontId="14" fillId="13" borderId="0" xfId="2" applyNumberFormat="1" applyFont="1" applyFill="1" applyBorder="1" applyAlignment="1" applyProtection="1">
      <alignment horizontal="right"/>
    </xf>
    <xf numFmtId="2" fontId="17" fillId="14" borderId="0" xfId="2" applyNumberFormat="1" applyFont="1" applyFill="1" applyBorder="1" applyAlignment="1" applyProtection="1">
      <alignment horizontal="right"/>
    </xf>
    <xf numFmtId="2" fontId="7" fillId="0" borderId="0" xfId="0" applyNumberFormat="1" applyFont="1" applyBorder="1"/>
    <xf numFmtId="2" fontId="8" fillId="0" borderId="0" xfId="0" applyNumberFormat="1" applyFont="1" applyBorder="1"/>
    <xf numFmtId="2" fontId="14" fillId="13" borderId="15" xfId="2" applyNumberFormat="1" applyFont="1" applyFill="1" applyBorder="1" applyAlignment="1" applyProtection="1"/>
    <xf numFmtId="2" fontId="17" fillId="14" borderId="15" xfId="2" applyNumberFormat="1" applyFont="1" applyFill="1" applyBorder="1" applyAlignment="1" applyProtection="1"/>
    <xf numFmtId="2" fontId="18" fillId="15" borderId="0" xfId="0" applyNumberFormat="1" applyFont="1" applyFill="1" applyBorder="1" applyAlignment="1" applyProtection="1"/>
    <xf numFmtId="2" fontId="6" fillId="0" borderId="0" xfId="0" applyNumberFormat="1" applyFont="1" applyBorder="1" applyAlignment="1" applyProtection="1">
      <alignment horizontal="left"/>
    </xf>
    <xf numFmtId="2" fontId="6" fillId="0" borderId="0" xfId="0" applyNumberFormat="1" applyFont="1" applyBorder="1" applyAlignment="1" applyProtection="1"/>
    <xf numFmtId="2" fontId="14" fillId="13" borderId="14" xfId="2" applyNumberFormat="1" applyFont="1" applyFill="1" applyBorder="1" applyAlignment="1" applyProtection="1"/>
    <xf numFmtId="2" fontId="17" fillId="14" borderId="14" xfId="2" applyNumberFormat="1" applyFont="1" applyFill="1" applyBorder="1" applyAlignment="1" applyProtection="1"/>
    <xf numFmtId="2" fontId="14" fillId="13" borderId="16" xfId="2" applyNumberFormat="1" applyFont="1" applyFill="1" applyBorder="1" applyAlignment="1" applyProtection="1"/>
    <xf numFmtId="2" fontId="18" fillId="15" borderId="2" xfId="0" applyNumberFormat="1" applyFont="1" applyFill="1" applyBorder="1" applyAlignment="1" applyProtection="1"/>
    <xf numFmtId="2" fontId="6" fillId="11" borderId="6" xfId="0" applyNumberFormat="1" applyFont="1" applyFill="1" applyBorder="1" applyAlignment="1" applyProtection="1"/>
    <xf numFmtId="2" fontId="7" fillId="11" borderId="2" xfId="0" applyNumberFormat="1" applyFont="1" applyFill="1" applyBorder="1"/>
    <xf numFmtId="2" fontId="14" fillId="13" borderId="17" xfId="2" applyNumberFormat="1" applyFont="1" applyFill="1" applyBorder="1" applyAlignment="1" applyProtection="1"/>
    <xf numFmtId="2" fontId="19" fillId="15" borderId="0" xfId="0" applyNumberFormat="1" applyFont="1" applyFill="1" applyBorder="1" applyAlignment="1" applyProtection="1"/>
    <xf numFmtId="2" fontId="16" fillId="16" borderId="18" xfId="2" applyNumberFormat="1" applyFont="1" applyFill="1" applyBorder="1" applyAlignment="1" applyProtection="1"/>
    <xf numFmtId="2" fontId="0" fillId="16" borderId="6" xfId="0" applyNumberFormat="1" applyFill="1" applyBorder="1"/>
    <xf numFmtId="2" fontId="0" fillId="16" borderId="3" xfId="0" applyNumberFormat="1" applyFill="1" applyBorder="1"/>
    <xf numFmtId="2" fontId="0" fillId="16" borderId="0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0" fillId="16" borderId="10" xfId="0" applyNumberFormat="1" applyFill="1" applyBorder="1"/>
    <xf numFmtId="2" fontId="0" fillId="16" borderId="12" xfId="0" applyNumberFormat="1" applyFill="1" applyBorder="1"/>
    <xf numFmtId="2" fontId="5" fillId="2" borderId="0" xfId="0" applyNumberFormat="1" applyFont="1" applyFill="1" applyBorder="1" applyAlignment="1" applyProtection="1"/>
    <xf numFmtId="2" fontId="0" fillId="0" borderId="2" xfId="0" applyNumberFormat="1" applyBorder="1"/>
    <xf numFmtId="2" fontId="17" fillId="14" borderId="19" xfId="2" applyNumberFormat="1" applyFont="1" applyFill="1" applyBorder="1" applyAlignment="1" applyProtection="1"/>
    <xf numFmtId="2" fontId="0" fillId="0" borderId="9" xfId="0" applyNumberFormat="1" applyBorder="1"/>
    <xf numFmtId="2" fontId="0" fillId="0" borderId="10" xfId="0" applyNumberFormat="1" applyBorder="1"/>
    <xf numFmtId="2" fontId="14" fillId="13" borderId="13" xfId="2" applyNumberFormat="1" applyFont="1" applyFill="1" applyBorder="1" applyAlignment="1" applyProtection="1">
      <alignment horizontal="right"/>
    </xf>
    <xf numFmtId="2" fontId="14" fillId="13" borderId="16" xfId="2" applyNumberFormat="1" applyFont="1" applyFill="1" applyBorder="1" applyAlignment="1" applyProtection="1">
      <alignment horizontal="right"/>
    </xf>
    <xf numFmtId="2" fontId="17" fillId="14" borderId="19" xfId="2" applyNumberFormat="1" applyFont="1" applyFill="1" applyBorder="1" applyAlignment="1" applyProtection="1">
      <alignment horizontal="right"/>
    </xf>
    <xf numFmtId="2" fontId="14" fillId="13" borderId="20" xfId="2" applyNumberFormat="1" applyFont="1" applyFill="1" applyBorder="1" applyAlignment="1" applyProtection="1"/>
    <xf numFmtId="2" fontId="7" fillId="0" borderId="2" xfId="0" applyNumberFormat="1" applyFont="1" applyBorder="1"/>
    <xf numFmtId="2" fontId="6" fillId="11" borderId="0" xfId="0" applyNumberFormat="1" applyFont="1" applyFill="1" applyBorder="1" applyAlignment="1" applyProtection="1"/>
    <xf numFmtId="0" fontId="6" fillId="12" borderId="0" xfId="2" applyFont="1" applyFill="1" applyBorder="1" applyAlignment="1" applyProtection="1"/>
    <xf numFmtId="0" fontId="7" fillId="0" borderId="0" xfId="0" applyFont="1"/>
    <xf numFmtId="0" fontId="20" fillId="0" borderId="0" xfId="0" applyFont="1"/>
    <xf numFmtId="0" fontId="21" fillId="0" borderId="0" xfId="0" applyFont="1"/>
    <xf numFmtId="2" fontId="0" fillId="0" borderId="0" xfId="0" applyNumberFormat="1"/>
    <xf numFmtId="0" fontId="6" fillId="0" borderId="0" xfId="2" applyFont="1" applyBorder="1" applyAlignment="1" applyProtection="1"/>
    <xf numFmtId="2" fontId="6" fillId="0" borderId="0" xfId="2" applyNumberFormat="1" applyBorder="1" applyAlignment="1" applyProtection="1"/>
    <xf numFmtId="167" fontId="0" fillId="0" borderId="0" xfId="0" applyNumberFormat="1"/>
    <xf numFmtId="168" fontId="0" fillId="0" borderId="0" xfId="0" applyNumberFormat="1"/>
    <xf numFmtId="0" fontId="25" fillId="18" borderId="23" xfId="5"/>
    <xf numFmtId="0" fontId="3" fillId="0" borderId="0" xfId="7"/>
    <xf numFmtId="0" fontId="23" fillId="0" borderId="21" xfId="3"/>
    <xf numFmtId="0" fontId="3" fillId="19" borderId="0" xfId="6"/>
    <xf numFmtId="165" fontId="3" fillId="19" borderId="0" xfId="6" applyNumberFormat="1"/>
    <xf numFmtId="0" fontId="3" fillId="20" borderId="0" xfId="8" quotePrefix="1"/>
    <xf numFmtId="0" fontId="3" fillId="20" borderId="0" xfId="8" applyFont="1"/>
    <xf numFmtId="0" fontId="3" fillId="20" borderId="0" xfId="8"/>
    <xf numFmtId="0" fontId="3" fillId="19" borderId="0" xfId="6" applyFont="1"/>
    <xf numFmtId="11" fontId="0" fillId="0" borderId="0" xfId="0" applyNumberFormat="1"/>
    <xf numFmtId="43" fontId="3" fillId="19" borderId="0" xfId="6" applyNumberFormat="1"/>
    <xf numFmtId="43" fontId="3" fillId="19" borderId="0" xfId="6" applyNumberFormat="1" applyFont="1"/>
    <xf numFmtId="0" fontId="24" fillId="17" borderId="22" xfId="4"/>
    <xf numFmtId="0" fontId="0" fillId="22" borderId="0" xfId="0" applyFill="1"/>
    <xf numFmtId="0" fontId="26" fillId="0" borderId="0" xfId="0" applyFont="1"/>
    <xf numFmtId="0" fontId="2" fillId="21" borderId="0" xfId="9"/>
    <xf numFmtId="165" fontId="2" fillId="21" borderId="0" xfId="9" applyNumberFormat="1"/>
    <xf numFmtId="43" fontId="2" fillId="21" borderId="0" xfId="9" applyNumberFormat="1"/>
    <xf numFmtId="0" fontId="27" fillId="23" borderId="0" xfId="10"/>
    <xf numFmtId="165" fontId="27" fillId="23" borderId="0" xfId="10" applyNumberFormat="1"/>
    <xf numFmtId="43" fontId="27" fillId="23" borderId="0" xfId="10" applyNumberFormat="1"/>
    <xf numFmtId="2" fontId="27" fillId="23" borderId="0" xfId="10" applyNumberFormat="1"/>
    <xf numFmtId="1" fontId="27" fillId="23" borderId="0" xfId="10" applyNumberFormat="1"/>
    <xf numFmtId="1" fontId="2" fillId="21" borderId="0" xfId="9" applyNumberFormat="1"/>
    <xf numFmtId="0" fontId="0" fillId="25" borderId="2" xfId="2" applyFont="1" applyFill="1" applyBorder="1" applyAlignment="1" applyProtection="1"/>
    <xf numFmtId="0" fontId="22" fillId="25" borderId="0" xfId="2" applyFont="1" applyFill="1" applyBorder="1" applyAlignment="1" applyProtection="1"/>
    <xf numFmtId="2" fontId="22" fillId="25" borderId="0" xfId="2" applyNumberFormat="1" applyFont="1" applyFill="1" applyBorder="1" applyAlignment="1" applyProtection="1"/>
    <xf numFmtId="0" fontId="0" fillId="25" borderId="11" xfId="2" applyFont="1" applyFill="1" applyBorder="1" applyAlignment="1" applyProtection="1"/>
    <xf numFmtId="0" fontId="7" fillId="26" borderId="9" xfId="0" applyFont="1" applyFill="1" applyBorder="1"/>
    <xf numFmtId="0" fontId="0" fillId="26" borderId="10" xfId="0" applyFill="1" applyBorder="1"/>
    <xf numFmtId="0" fontId="0" fillId="26" borderId="2" xfId="0" applyFill="1" applyBorder="1"/>
    <xf numFmtId="0" fontId="0" fillId="26" borderId="0" xfId="0" applyFill="1" applyBorder="1"/>
    <xf numFmtId="0" fontId="0" fillId="26" borderId="11" xfId="0" applyFill="1" applyBorder="1"/>
    <xf numFmtId="0" fontId="0" fillId="25" borderId="5" xfId="2" applyFont="1" applyFill="1" applyBorder="1" applyAlignment="1" applyProtection="1"/>
    <xf numFmtId="1" fontId="22" fillId="25" borderId="6" xfId="2" applyNumberFormat="1" applyFont="1" applyFill="1" applyBorder="1" applyAlignment="1" applyProtection="1"/>
    <xf numFmtId="0" fontId="0" fillId="25" borderId="0" xfId="2" applyFont="1" applyFill="1" applyBorder="1" applyAlignment="1" applyProtection="1"/>
    <xf numFmtId="0" fontId="0" fillId="26" borderId="2" xfId="0" applyFont="1" applyFill="1" applyBorder="1"/>
    <xf numFmtId="10" fontId="0" fillId="26" borderId="0" xfId="0" applyNumberFormat="1" applyFill="1" applyBorder="1"/>
    <xf numFmtId="2" fontId="0" fillId="26" borderId="11" xfId="0" applyNumberFormat="1" applyFill="1" applyBorder="1"/>
    <xf numFmtId="166" fontId="0" fillId="26" borderId="0" xfId="0" applyNumberFormat="1" applyFill="1" applyBorder="1"/>
    <xf numFmtId="0" fontId="0" fillId="26" borderId="11" xfId="0" applyFont="1" applyFill="1" applyBorder="1"/>
    <xf numFmtId="0" fontId="0" fillId="26" borderId="0" xfId="0" applyFont="1" applyFill="1" applyBorder="1"/>
    <xf numFmtId="2" fontId="0" fillId="26" borderId="11" xfId="0" applyNumberFormat="1" applyFont="1" applyFill="1" applyBorder="1"/>
    <xf numFmtId="0" fontId="0" fillId="25" borderId="5" xfId="2" applyFont="1" applyFill="1" applyBorder="1" applyAlignment="1" applyProtection="1">
      <alignment horizontal="right"/>
    </xf>
    <xf numFmtId="0" fontId="22" fillId="25" borderId="6" xfId="2" applyFont="1" applyFill="1" applyBorder="1" applyAlignment="1" applyProtection="1"/>
    <xf numFmtId="0" fontId="0" fillId="25" borderId="3" xfId="2" applyFont="1" applyFill="1" applyBorder="1" applyAlignment="1" applyProtection="1"/>
    <xf numFmtId="0" fontId="0" fillId="26" borderId="2" xfId="0" applyFont="1" applyFill="1" applyBorder="1" applyAlignment="1">
      <alignment horizontal="right"/>
    </xf>
    <xf numFmtId="0" fontId="0" fillId="26" borderId="9" xfId="0" applyFill="1" applyBorder="1"/>
    <xf numFmtId="2" fontId="0" fillId="26" borderId="0" xfId="0" applyNumberFormat="1" applyFont="1" applyFill="1" applyBorder="1"/>
    <xf numFmtId="9" fontId="0" fillId="26" borderId="0" xfId="1" applyFont="1" applyFill="1" applyBorder="1" applyAlignment="1" applyProtection="1"/>
    <xf numFmtId="2" fontId="0" fillId="26" borderId="0" xfId="0" applyNumberFormat="1" applyFill="1" applyBorder="1"/>
    <xf numFmtId="2" fontId="22" fillId="25" borderId="6" xfId="2" applyNumberFormat="1" applyFont="1" applyFill="1" applyBorder="1" applyAlignment="1" applyProtection="1"/>
    <xf numFmtId="0" fontId="0" fillId="26" borderId="12" xfId="0" applyFill="1" applyBorder="1"/>
    <xf numFmtId="0" fontId="0" fillId="25" borderId="9" xfId="2" applyFont="1" applyFill="1" applyBorder="1" applyAlignment="1" applyProtection="1">
      <alignment horizontal="center"/>
    </xf>
    <xf numFmtId="0" fontId="0" fillId="25" borderId="10" xfId="2" applyFont="1" applyFill="1" applyBorder="1" applyAlignment="1" applyProtection="1">
      <alignment horizontal="center"/>
    </xf>
    <xf numFmtId="0" fontId="0" fillId="25" borderId="12" xfId="2" applyFont="1" applyFill="1" applyBorder="1" applyAlignment="1" applyProtection="1">
      <alignment horizontal="center"/>
    </xf>
    <xf numFmtId="0" fontId="0" fillId="26" borderId="5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2" fontId="0" fillId="26" borderId="6" xfId="0" applyNumberFormat="1" applyFill="1" applyBorder="1" applyAlignment="1">
      <alignment horizontal="center"/>
    </xf>
    <xf numFmtId="49" fontId="0" fillId="26" borderId="3" xfId="0" applyNumberFormat="1" applyFont="1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2" fontId="0" fillId="26" borderId="0" xfId="0" applyNumberFormat="1" applyFill="1" applyBorder="1" applyAlignment="1">
      <alignment horizontal="center"/>
    </xf>
    <xf numFmtId="49" fontId="0" fillId="26" borderId="11" xfId="0" applyNumberFormat="1" applyFont="1" applyFill="1" applyBorder="1" applyAlignment="1">
      <alignment horizontal="center"/>
    </xf>
    <xf numFmtId="164" fontId="4" fillId="26" borderId="0" xfId="2" applyNumberFormat="1" applyFont="1" applyFill="1" applyBorder="1" applyAlignment="1" applyProtection="1">
      <alignment vertical="center"/>
    </xf>
    <xf numFmtId="0" fontId="0" fillId="26" borderId="9" xfId="0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49" fontId="0" fillId="26" borderId="12" xfId="0" applyNumberFormat="1" applyFont="1" applyFill="1" applyBorder="1"/>
    <xf numFmtId="0" fontId="0" fillId="26" borderId="0" xfId="0" applyFill="1"/>
    <xf numFmtId="0" fontId="6" fillId="26" borderId="10" xfId="2" applyFont="1" applyFill="1" applyBorder="1" applyAlignment="1" applyProtection="1"/>
    <xf numFmtId="0" fontId="0" fillId="25" borderId="7" xfId="2" applyFont="1" applyFill="1" applyBorder="1" applyAlignment="1" applyProtection="1"/>
    <xf numFmtId="0" fontId="22" fillId="25" borderId="4" xfId="2" applyFont="1" applyFill="1" applyBorder="1" applyAlignment="1" applyProtection="1"/>
    <xf numFmtId="0" fontId="0" fillId="25" borderId="4" xfId="2" applyFont="1" applyFill="1" applyBorder="1" applyAlignment="1" applyProtection="1">
      <alignment horizontal="right"/>
    </xf>
    <xf numFmtId="165" fontId="22" fillId="25" borderId="4" xfId="2" applyNumberFormat="1" applyFont="1" applyFill="1" applyBorder="1" applyAlignment="1" applyProtection="1">
      <alignment horizontal="center"/>
    </xf>
    <xf numFmtId="0" fontId="22" fillId="25" borderId="8" xfId="2" applyFont="1" applyFill="1" applyBorder="1" applyAlignment="1" applyProtection="1"/>
    <xf numFmtId="0" fontId="0" fillId="26" borderId="7" xfId="0" applyFill="1" applyBorder="1"/>
    <xf numFmtId="0" fontId="8" fillId="26" borderId="4" xfId="0" applyFont="1" applyFill="1" applyBorder="1"/>
    <xf numFmtId="0" fontId="8" fillId="26" borderId="8" xfId="0" applyFont="1" applyFill="1" applyBorder="1"/>
    <xf numFmtId="165" fontId="0" fillId="26" borderId="0" xfId="0" applyNumberFormat="1" applyFill="1" applyBorder="1"/>
    <xf numFmtId="165" fontId="0" fillId="26" borderId="10" xfId="0" applyNumberFormat="1" applyFill="1" applyBorder="1"/>
    <xf numFmtId="0" fontId="0" fillId="26" borderId="6" xfId="0" applyFill="1" applyBorder="1"/>
    <xf numFmtId="0" fontId="0" fillId="26" borderId="5" xfId="0" applyFont="1" applyFill="1" applyBorder="1"/>
    <xf numFmtId="0" fontId="0" fillId="26" borderId="6" xfId="0" applyFont="1" applyFill="1" applyBorder="1"/>
    <xf numFmtId="165" fontId="0" fillId="26" borderId="6" xfId="0" applyNumberFormat="1" applyFill="1" applyBorder="1"/>
    <xf numFmtId="0" fontId="0" fillId="26" borderId="3" xfId="0" applyFill="1" applyBorder="1"/>
    <xf numFmtId="0" fontId="0" fillId="25" borderId="4" xfId="2" applyFont="1" applyFill="1" applyBorder="1" applyAlignment="1" applyProtection="1">
      <alignment horizontal="center"/>
    </xf>
    <xf numFmtId="0" fontId="0" fillId="26" borderId="3" xfId="0" applyFont="1" applyFill="1" applyBorder="1"/>
    <xf numFmtId="0" fontId="6" fillId="26" borderId="0" xfId="2" applyFont="1" applyFill="1" applyBorder="1" applyAlignment="1" applyProtection="1"/>
    <xf numFmtId="0" fontId="0" fillId="25" borderId="27" xfId="2" applyFont="1" applyFill="1" applyBorder="1" applyAlignment="1" applyProtection="1"/>
    <xf numFmtId="0" fontId="22" fillId="25" borderId="28" xfId="2" applyFont="1" applyFill="1" applyBorder="1" applyAlignment="1" applyProtection="1"/>
    <xf numFmtId="0" fontId="0" fillId="25" borderId="28" xfId="2" applyFont="1" applyFill="1" applyBorder="1" applyAlignment="1" applyProtection="1">
      <alignment horizontal="right"/>
    </xf>
    <xf numFmtId="0" fontId="0" fillId="25" borderId="28" xfId="2" applyFont="1" applyFill="1" applyBorder="1" applyAlignment="1" applyProtection="1">
      <alignment horizontal="center"/>
    </xf>
    <xf numFmtId="0" fontId="22" fillId="25" borderId="29" xfId="2" applyFont="1" applyFill="1" applyBorder="1" applyAlignment="1" applyProtection="1"/>
    <xf numFmtId="0" fontId="0" fillId="26" borderId="30" xfId="0" applyFill="1" applyBorder="1"/>
    <xf numFmtId="0" fontId="8" fillId="26" borderId="31" xfId="0" applyFont="1" applyFill="1" applyBorder="1"/>
    <xf numFmtId="0" fontId="8" fillId="26" borderId="32" xfId="0" applyFont="1" applyFill="1" applyBorder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29" borderId="0" xfId="0" applyFill="1"/>
    <xf numFmtId="11" fontId="0" fillId="29" borderId="0" xfId="0" applyNumberFormat="1" applyFill="1"/>
    <xf numFmtId="0" fontId="28" fillId="28" borderId="0" xfId="11"/>
    <xf numFmtId="11" fontId="28" fillId="28" borderId="0" xfId="11" applyNumberFormat="1" applyAlignment="1">
      <alignment horizontal="right"/>
    </xf>
    <xf numFmtId="11" fontId="28" fillId="28" borderId="0" xfId="11" applyNumberFormat="1"/>
    <xf numFmtId="165" fontId="28" fillId="28" borderId="0" xfId="11" applyNumberFormat="1" applyAlignment="1">
      <alignment horizontal="right"/>
    </xf>
    <xf numFmtId="2" fontId="28" fillId="28" borderId="0" xfId="11" applyNumberFormat="1" applyAlignment="1">
      <alignment horizontal="right"/>
    </xf>
    <xf numFmtId="1" fontId="28" fillId="28" borderId="0" xfId="11" applyNumberFormat="1" applyAlignment="1">
      <alignment horizontal="right"/>
    </xf>
    <xf numFmtId="0" fontId="28" fillId="28" borderId="0" xfId="11" applyAlignment="1">
      <alignment horizontal="right"/>
    </xf>
    <xf numFmtId="0" fontId="1" fillId="21" borderId="0" xfId="9" applyFont="1"/>
    <xf numFmtId="0" fontId="29" fillId="29" borderId="0" xfId="9" applyFont="1" applyFill="1"/>
    <xf numFmtId="43" fontId="0" fillId="25" borderId="27" xfId="12" applyFont="1" applyFill="1" applyBorder="1" applyAlignment="1" applyProtection="1"/>
    <xf numFmtId="43" fontId="22" fillId="25" borderId="28" xfId="12" applyFont="1" applyFill="1" applyBorder="1" applyAlignment="1" applyProtection="1"/>
    <xf numFmtId="43" fontId="0" fillId="25" borderId="28" xfId="12" applyFont="1" applyFill="1" applyBorder="1" applyAlignment="1" applyProtection="1">
      <alignment horizontal="right"/>
    </xf>
    <xf numFmtId="165" fontId="22" fillId="25" borderId="28" xfId="12" applyNumberFormat="1" applyFont="1" applyFill="1" applyBorder="1" applyAlignment="1" applyProtection="1">
      <alignment horizontal="center"/>
    </xf>
    <xf numFmtId="0" fontId="22" fillId="25" borderId="29" xfId="12" applyNumberFormat="1" applyFont="1" applyFill="1" applyBorder="1" applyAlignment="1" applyProtection="1"/>
    <xf numFmtId="0" fontId="30" fillId="0" borderId="0" xfId="13"/>
    <xf numFmtId="0" fontId="0" fillId="26" borderId="33" xfId="0" applyFill="1" applyBorder="1"/>
    <xf numFmtId="0" fontId="8" fillId="26" borderId="34" xfId="0" applyFont="1" applyFill="1" applyBorder="1"/>
    <xf numFmtId="0" fontId="0" fillId="26" borderId="35" xfId="0" applyFill="1" applyBorder="1"/>
    <xf numFmtId="0" fontId="0" fillId="26" borderId="36" xfId="0" applyFill="1" applyBorder="1"/>
    <xf numFmtId="0" fontId="0" fillId="26" borderId="37" xfId="0" applyFill="1" applyBorder="1"/>
    <xf numFmtId="0" fontId="0" fillId="26" borderId="38" xfId="0" applyFont="1" applyFill="1" applyBorder="1"/>
    <xf numFmtId="0" fontId="0" fillId="26" borderId="38" xfId="0" applyFill="1" applyBorder="1"/>
    <xf numFmtId="165" fontId="0" fillId="26" borderId="38" xfId="0" applyNumberFormat="1" applyFill="1" applyBorder="1"/>
    <xf numFmtId="0" fontId="0" fillId="26" borderId="39" xfId="0" applyFill="1" applyBorder="1"/>
    <xf numFmtId="0" fontId="22" fillId="7" borderId="0" xfId="2" applyNumberFormat="1" applyFont="1" applyFill="1" applyBorder="1" applyAlignment="1" applyProtection="1"/>
    <xf numFmtId="2" fontId="0" fillId="11" borderId="6" xfId="0" applyNumberFormat="1" applyFill="1" applyBorder="1"/>
    <xf numFmtId="0" fontId="0" fillId="30" borderId="0" xfId="0" applyFill="1" applyBorder="1"/>
    <xf numFmtId="0" fontId="0" fillId="30" borderId="10" xfId="0" applyFill="1" applyBorder="1"/>
    <xf numFmtId="0" fontId="8" fillId="26" borderId="0" xfId="0" applyFont="1" applyFill="1" applyBorder="1"/>
    <xf numFmtId="0" fontId="8" fillId="29" borderId="0" xfId="0" applyFont="1" applyFill="1" applyBorder="1"/>
    <xf numFmtId="2" fontId="0" fillId="11" borderId="6" xfId="0" applyNumberFormat="1" applyFill="1" applyBorder="1"/>
    <xf numFmtId="11" fontId="24" fillId="17" borderId="22" xfId="4" applyNumberFormat="1" applyAlignment="1">
      <alignment horizontal="right"/>
    </xf>
    <xf numFmtId="165" fontId="24" fillId="17" borderId="22" xfId="4" applyNumberFormat="1" applyAlignment="1">
      <alignment horizontal="right"/>
    </xf>
    <xf numFmtId="2" fontId="24" fillId="17" borderId="22" xfId="4" applyNumberFormat="1" applyAlignment="1">
      <alignment horizontal="right"/>
    </xf>
    <xf numFmtId="1" fontId="24" fillId="17" borderId="22" xfId="4" applyNumberFormat="1" applyAlignment="1">
      <alignment horizontal="right"/>
    </xf>
    <xf numFmtId="11" fontId="24" fillId="17" borderId="22" xfId="4" applyNumberFormat="1"/>
    <xf numFmtId="0" fontId="24" fillId="17" borderId="22" xfId="4" applyAlignment="1">
      <alignment horizontal="right"/>
    </xf>
    <xf numFmtId="2" fontId="24" fillId="17" borderId="22" xfId="4" applyNumberFormat="1"/>
    <xf numFmtId="2" fontId="26" fillId="24" borderId="0" xfId="0" applyNumberFormat="1" applyFont="1" applyFill="1" applyBorder="1" applyAlignment="1">
      <alignment horizontal="center"/>
    </xf>
    <xf numFmtId="0" fontId="0" fillId="31" borderId="0" xfId="0" applyFill="1"/>
    <xf numFmtId="0" fontId="28" fillId="31" borderId="0" xfId="11" applyFill="1"/>
    <xf numFmtId="11" fontId="28" fillId="31" borderId="0" xfId="11" applyNumberFormat="1" applyFill="1" applyAlignment="1">
      <alignment horizontal="right"/>
    </xf>
    <xf numFmtId="11" fontId="28" fillId="31" borderId="0" xfId="11" applyNumberFormat="1" applyFill="1"/>
    <xf numFmtId="11" fontId="0" fillId="31" borderId="0" xfId="0" applyNumberFormat="1" applyFill="1"/>
    <xf numFmtId="165" fontId="28" fillId="31" borderId="0" xfId="11" applyNumberFormat="1" applyFill="1" applyAlignment="1">
      <alignment horizontal="right"/>
    </xf>
    <xf numFmtId="2" fontId="28" fillId="31" borderId="0" xfId="11" applyNumberFormat="1" applyFill="1" applyAlignment="1">
      <alignment horizontal="right"/>
    </xf>
    <xf numFmtId="1" fontId="28" fillId="31" borderId="0" xfId="11" applyNumberFormat="1" applyFill="1" applyAlignment="1">
      <alignment horizontal="right"/>
    </xf>
    <xf numFmtId="0" fontId="28" fillId="31" borderId="0" xfId="11" applyFill="1" applyAlignment="1">
      <alignment horizontal="right"/>
    </xf>
    <xf numFmtId="0" fontId="0" fillId="32" borderId="0" xfId="0" applyFill="1"/>
    <xf numFmtId="0" fontId="28" fillId="32" borderId="0" xfId="11" applyFill="1"/>
    <xf numFmtId="11" fontId="28" fillId="32" borderId="0" xfId="11" applyNumberFormat="1" applyFill="1" applyAlignment="1">
      <alignment horizontal="right"/>
    </xf>
    <xf numFmtId="11" fontId="28" fillId="32" borderId="0" xfId="11" applyNumberFormat="1" applyFill="1"/>
    <xf numFmtId="11" fontId="0" fillId="32" borderId="0" xfId="0" applyNumberFormat="1" applyFill="1"/>
    <xf numFmtId="165" fontId="28" fillId="32" borderId="0" xfId="11" applyNumberFormat="1" applyFill="1" applyAlignment="1">
      <alignment horizontal="right"/>
    </xf>
    <xf numFmtId="2" fontId="28" fillId="32" borderId="0" xfId="11" applyNumberFormat="1" applyFill="1" applyAlignment="1">
      <alignment horizontal="right"/>
    </xf>
    <xf numFmtId="1" fontId="28" fillId="32" borderId="0" xfId="11" applyNumberFormat="1" applyFill="1" applyAlignment="1">
      <alignment horizontal="right"/>
    </xf>
    <xf numFmtId="0" fontId="28" fillId="32" borderId="0" xfId="11" applyFill="1" applyAlignment="1">
      <alignment horizontal="right"/>
    </xf>
    <xf numFmtId="2" fontId="0" fillId="11" borderId="3" xfId="0" applyNumberFormat="1" applyFont="1" applyFill="1" applyBorder="1"/>
    <xf numFmtId="2" fontId="0" fillId="11" borderId="6" xfId="0" applyNumberFormat="1" applyFill="1" applyBorder="1"/>
    <xf numFmtId="2" fontId="0" fillId="11" borderId="11" xfId="0" applyNumberFormat="1" applyFont="1" applyFill="1" applyBorder="1"/>
    <xf numFmtId="2" fontId="0" fillId="11" borderId="2" xfId="0" applyNumberFormat="1" applyFont="1" applyFill="1" applyBorder="1"/>
    <xf numFmtId="0" fontId="5" fillId="6" borderId="0" xfId="2" applyFont="1" applyFill="1" applyBorder="1" applyAlignment="1" applyProtection="1">
      <alignment horizontal="center"/>
    </xf>
    <xf numFmtId="2" fontId="0" fillId="11" borderId="6" xfId="0" applyNumberFormat="1" applyFont="1" applyFill="1" applyBorder="1"/>
    <xf numFmtId="2" fontId="26" fillId="24" borderId="24" xfId="0" applyNumberFormat="1" applyFont="1" applyFill="1" applyBorder="1" applyAlignment="1">
      <alignment horizontal="center"/>
    </xf>
    <xf numFmtId="2" fontId="26" fillId="24" borderId="25" xfId="0" applyNumberFormat="1" applyFont="1" applyFill="1" applyBorder="1" applyAlignment="1">
      <alignment horizontal="center"/>
    </xf>
    <xf numFmtId="2" fontId="26" fillId="24" borderId="26" xfId="0" applyNumberFormat="1" applyFont="1" applyFill="1" applyBorder="1" applyAlignment="1">
      <alignment horizontal="center"/>
    </xf>
    <xf numFmtId="0" fontId="0" fillId="27" borderId="24" xfId="0" applyFill="1" applyBorder="1" applyAlignment="1">
      <alignment horizontal="center"/>
    </xf>
    <xf numFmtId="0" fontId="0" fillId="27" borderId="25" xfId="0" applyFill="1" applyBorder="1" applyAlignment="1">
      <alignment horizontal="center"/>
    </xf>
    <xf numFmtId="0" fontId="0" fillId="27" borderId="26" xfId="0" applyFill="1" applyBorder="1" applyAlignment="1">
      <alignment horizontal="center"/>
    </xf>
  </cellXfs>
  <cellStyles count="14">
    <cellStyle name="20% - Accent1" xfId="6" builtinId="30"/>
    <cellStyle name="20% - Accent2" xfId="9" builtinId="34"/>
    <cellStyle name="40% - Accent1 2" xfId="8"/>
    <cellStyle name="Accent3" xfId="10" builtinId="37"/>
    <cellStyle name="Calculation" xfId="4" builtinId="22"/>
    <cellStyle name="Check Cell" xfId="5" builtinId="23"/>
    <cellStyle name="Comma" xfId="12" builtinId="3"/>
    <cellStyle name="Explanatory Text" xfId="13" builtinId="53"/>
    <cellStyle name="Heading 1" xfId="3" builtinId="16"/>
    <cellStyle name="Neutral" xfId="11" builtinId="28"/>
    <cellStyle name="Normal" xfId="0" builtinId="0"/>
    <cellStyle name="Normal 2" xfId="7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5B3D7"/>
      <rgbColor rgb="FFC0504D"/>
      <rgbColor rgb="FFF2F2F2"/>
      <rgbColor rgb="FFDCE6F2"/>
      <rgbColor rgb="FF660066"/>
      <rgbColor rgb="FFA5A5A5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C3D69B"/>
      <rgbColor rgb="FFA7C0DE"/>
      <rgbColor rgb="FFB7B7B7"/>
      <rgbColor rgb="FFCCC1DA"/>
      <rgbColor rgb="FFFFCC99"/>
      <rgbColor rgb="FF4F81BD"/>
      <rgbColor rgb="FF33CCCC"/>
      <rgbColor rgb="FF9BBB59"/>
      <rgbColor rgb="FFFFCC00"/>
      <rgbColor rgb="FFFF9900"/>
      <rgbColor rgb="FFFA7D00"/>
      <rgbColor rgb="FF8064A2"/>
      <rgbColor rgb="FF878787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nl-BE" b="1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'Tabula data'!$B$3</c:f>
              <c:strCache>
                <c:ptCount val="1"/>
                <c:pt idx="0">
                  <c:v>Tabula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('Tabula data'!$A$4:$A$7,'Tabula data'!$A$10,'Tabula data'!$A$14:$A$20,'Tabula data'!$A$25)</c:f>
              <c:strCache>
                <c:ptCount val="13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Area Common wall</c:v>
                </c:pt>
                <c:pt idx="11">
                  <c:v>Doors</c:v>
                </c:pt>
                <c:pt idx="12">
                  <c:v>Total windows</c:v>
                </c:pt>
              </c:strCache>
            </c:strRef>
          </c:cat>
          <c:val>
            <c:numRef>
              <c:f>('Tabula data'!$B$4:$B$7,'Tabula data'!$B$10,'Tabula data'!$B$14:$B$20,'Tabula data'!$B$25)</c:f>
              <c:numCache>
                <c:formatCode>General</c:formatCode>
                <c:ptCount val="13"/>
                <c:pt idx="0">
                  <c:v>168.3</c:v>
                </c:pt>
                <c:pt idx="1">
                  <c:v>462.8</c:v>
                </c:pt>
                <c:pt idx="2">
                  <c:v>256.89999999999998</c:v>
                </c:pt>
                <c:pt idx="3">
                  <c:v>78.599999999999994</c:v>
                </c:pt>
                <c:pt idx="4" formatCode="0.0">
                  <c:v>82.6</c:v>
                </c:pt>
                <c:pt idx="5">
                  <c:v>62</c:v>
                </c:pt>
                <c:pt idx="6">
                  <c:v>3</c:v>
                </c:pt>
                <c:pt idx="7">
                  <c:v>2.7498514557338085</c:v>
                </c:pt>
                <c:pt idx="8">
                  <c:v>5.0063310285220401</c:v>
                </c:pt>
                <c:pt idx="9">
                  <c:v>12.384318904757588</c:v>
                </c:pt>
                <c:pt idx="10">
                  <c:v>204.33022421111627</c:v>
                </c:pt>
                <c:pt idx="11">
                  <c:v>9.5</c:v>
                </c:pt>
                <c:pt idx="12">
                  <c:v>24.4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'Tabula data'!$D$3</c:f>
              <c:strCache>
                <c:ptCount val="1"/>
                <c:pt idx="0">
                  <c:v>Allacker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('Tabula data'!$A$4:$A$7,'Tabula data'!$A$10,'Tabula data'!$A$14:$A$20,'Tabula data'!$A$25)</c:f>
              <c:strCache>
                <c:ptCount val="13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Area Common wall</c:v>
                </c:pt>
                <c:pt idx="11">
                  <c:v>Doors</c:v>
                </c:pt>
                <c:pt idx="12">
                  <c:v>Total windows</c:v>
                </c:pt>
              </c:strCache>
            </c:strRef>
          </c:cat>
          <c:val>
            <c:numRef>
              <c:f>('Tabula data'!$D$4:$D$7,'Tabula data'!$D$10,'Tabula data'!$D$14:$D$20,'Tabula data'!$D$25)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24928"/>
        <c:axId val="158526464"/>
      </c:barChart>
      <c:catAx>
        <c:axId val="15852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26464"/>
        <c:crossesAt val="0"/>
        <c:auto val="1"/>
        <c:lblAlgn val="ctr"/>
        <c:lblOffset val="100"/>
        <c:noMultiLvlLbl val="1"/>
      </c:catAx>
      <c:valAx>
        <c:axId val="15852646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crossAx val="158524928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1'!$DS$5:$DS$24</c:f>
              <c:strCache>
                <c:ptCount val="20"/>
                <c:pt idx="0">
                  <c:v>abs1ED</c:v>
                </c:pt>
                <c:pt idx="1">
                  <c:v>abs1ND</c:v>
                </c:pt>
                <c:pt idx="2">
                  <c:v>abs1SD</c:v>
                </c:pt>
                <c:pt idx="3">
                  <c:v>abs1WD</c:v>
                </c:pt>
                <c:pt idx="4">
                  <c:v>abs2ED</c:v>
                </c:pt>
                <c:pt idx="5">
                  <c:v>abs2ND</c:v>
                </c:pt>
                <c:pt idx="6">
                  <c:v>abs2SD</c:v>
                </c:pt>
                <c:pt idx="7">
                  <c:v>abs2WD</c:v>
                </c:pt>
                <c:pt idx="8">
                  <c:v>abs3ED</c:v>
                </c:pt>
                <c:pt idx="9">
                  <c:v>abs3ND</c:v>
                </c:pt>
                <c:pt idx="10">
                  <c:v>abs3SD</c:v>
                </c:pt>
                <c:pt idx="11">
                  <c:v>abs3WD</c:v>
                </c:pt>
                <c:pt idx="12">
                  <c:v>abs4ED</c:v>
                </c:pt>
                <c:pt idx="13">
                  <c:v>abs4ND</c:v>
                </c:pt>
                <c:pt idx="14">
                  <c:v>abs4SD</c:v>
                </c:pt>
                <c:pt idx="15">
                  <c:v>abs4WD</c:v>
                </c:pt>
                <c:pt idx="16">
                  <c:v>abs5ED</c:v>
                </c:pt>
                <c:pt idx="17">
                  <c:v>abs5ND</c:v>
                </c:pt>
                <c:pt idx="18">
                  <c:v>abs5SD</c:v>
                </c:pt>
                <c:pt idx="19">
                  <c:v>abs5WD</c:v>
                </c:pt>
              </c:strCache>
            </c:strRef>
          </c:cat>
          <c:val>
            <c:numRef>
              <c:f>'Tabula RefULG 1'!$DX$5:$DX$24</c:f>
              <c:numCache>
                <c:formatCode>0.00E+00</c:formatCode>
                <c:ptCount val="20"/>
                <c:pt idx="0">
                  <c:v>0.99615384615384617</c:v>
                </c:pt>
                <c:pt idx="1">
                  <c:v>1.3663967611336034</c:v>
                </c:pt>
                <c:pt idx="2">
                  <c:v>1.075029308323564</c:v>
                </c:pt>
                <c:pt idx="3">
                  <c:v>0.95319148936170217</c:v>
                </c:pt>
                <c:pt idx="4">
                  <c:v>0.94882729211087424</c:v>
                </c:pt>
                <c:pt idx="5">
                  <c:v>1.7910447761194028</c:v>
                </c:pt>
                <c:pt idx="6">
                  <c:v>1.0707317073170732</c:v>
                </c:pt>
                <c:pt idx="7">
                  <c:v>0.83368421052631592</c:v>
                </c:pt>
                <c:pt idx="8">
                  <c:v>1.4189189189189189</c:v>
                </c:pt>
                <c:pt idx="9">
                  <c:v>0.93127147766323037</c:v>
                </c:pt>
                <c:pt idx="10">
                  <c:v>4.3016759776536317E-9</c:v>
                </c:pt>
                <c:pt idx="11">
                  <c:v>1.6604938271604939</c:v>
                </c:pt>
                <c:pt idx="12">
                  <c:v>0.96202531645569622</c:v>
                </c:pt>
                <c:pt idx="13">
                  <c:v>1.1179775280898878</c:v>
                </c:pt>
                <c:pt idx="14">
                  <c:v>1.0709219858156029</c:v>
                </c:pt>
                <c:pt idx="15">
                  <c:v>0.92465753424657549</c:v>
                </c:pt>
                <c:pt idx="16">
                  <c:v>1.1276595744680853</c:v>
                </c:pt>
                <c:pt idx="17">
                  <c:v>0.46382978723404256</c:v>
                </c:pt>
                <c:pt idx="18">
                  <c:v>1.013986013986014</c:v>
                </c:pt>
                <c:pt idx="19">
                  <c:v>0.88691588785046727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4624"/>
        <c:axId val="184484608"/>
      </c:barChart>
      <c:catAx>
        <c:axId val="1844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84608"/>
        <c:crosses val="autoZero"/>
        <c:auto val="1"/>
        <c:lblAlgn val="ctr"/>
        <c:lblOffset val="100"/>
        <c:noMultiLvlLbl val="0"/>
      </c:catAx>
      <c:valAx>
        <c:axId val="1844846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47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1'!$DS$27:$DS$42</c:f>
              <c:strCache>
                <c:ptCount val="16"/>
                <c:pt idx="0">
                  <c:v>CflD</c:v>
                </c:pt>
                <c:pt idx="1">
                  <c:v>CiD</c:v>
                </c:pt>
                <c:pt idx="2">
                  <c:v>CwD</c:v>
                </c:pt>
                <c:pt idx="3">
                  <c:v>CwiD</c:v>
                </c:pt>
                <c:pt idx="5">
                  <c:v>hwD</c:v>
                </c:pt>
                <c:pt idx="6">
                  <c:v>hflD</c:v>
                </c:pt>
                <c:pt idx="7">
                  <c:v>hwiD</c:v>
                </c:pt>
                <c:pt idx="8">
                  <c:v>infD</c:v>
                </c:pt>
                <c:pt idx="9">
                  <c:v>UflD</c:v>
                </c:pt>
                <c:pt idx="10">
                  <c:v>UwD</c:v>
                </c:pt>
                <c:pt idx="11">
                  <c:v>f1D</c:v>
                </c:pt>
                <c:pt idx="12">
                  <c:v>f2D</c:v>
                </c:pt>
                <c:pt idx="13">
                  <c:v>f3D</c:v>
                </c:pt>
                <c:pt idx="14">
                  <c:v>f4D</c:v>
                </c:pt>
                <c:pt idx="15">
                  <c:v>f5D</c:v>
                </c:pt>
              </c:strCache>
            </c:strRef>
          </c:cat>
          <c:val>
            <c:numRef>
              <c:f>'Tabula RefULG 1'!$DX$27:$DX$42</c:f>
              <c:numCache>
                <c:formatCode>0.00E+00</c:formatCode>
                <c:ptCount val="16"/>
                <c:pt idx="0">
                  <c:v>1.0954446854663775</c:v>
                </c:pt>
                <c:pt idx="1">
                  <c:v>0.65188679245283021</c:v>
                </c:pt>
                <c:pt idx="2">
                  <c:v>1.0515695067264574</c:v>
                </c:pt>
                <c:pt idx="3">
                  <c:v>1.0935672514619883</c:v>
                </c:pt>
                <c:pt idx="5">
                  <c:v>0.8934010152284263</c:v>
                </c:pt>
                <c:pt idx="6">
                  <c:v>0.91247264770240699</c:v>
                </c:pt>
                <c:pt idx="7">
                  <c:v>0.8631921824104235</c:v>
                </c:pt>
                <c:pt idx="8">
                  <c:v>0.96556886227544914</c:v>
                </c:pt>
                <c:pt idx="9">
                  <c:v>0.998529411764706</c:v>
                </c:pt>
                <c:pt idx="10">
                  <c:v>1.0935672514619885</c:v>
                </c:pt>
                <c:pt idx="11">
                  <c:v>1.2777777777777777</c:v>
                </c:pt>
                <c:pt idx="12">
                  <c:v>1.1875</c:v>
                </c:pt>
                <c:pt idx="13">
                  <c:v>0.89170182841068923</c:v>
                </c:pt>
                <c:pt idx="14">
                  <c:v>1.1731843575418994</c:v>
                </c:pt>
                <c:pt idx="15">
                  <c:v>1.1047430830039526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37472"/>
        <c:axId val="184539008"/>
      </c:barChart>
      <c:catAx>
        <c:axId val="1845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39008"/>
        <c:crosses val="autoZero"/>
        <c:auto val="1"/>
        <c:lblAlgn val="ctr"/>
        <c:lblOffset val="100"/>
        <c:noMultiLvlLbl val="0"/>
      </c:catAx>
      <c:valAx>
        <c:axId val="1845390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5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1'!$DS$44:$DS$59</c:f>
              <c:strCache>
                <c:ptCount val="16"/>
                <c:pt idx="0">
                  <c:v>abs1EN</c:v>
                </c:pt>
                <c:pt idx="1">
                  <c:v>abs1NN</c:v>
                </c:pt>
                <c:pt idx="2">
                  <c:v>abs1SN</c:v>
                </c:pt>
                <c:pt idx="3">
                  <c:v>abs1WN</c:v>
                </c:pt>
                <c:pt idx="4">
                  <c:v>abs2EN</c:v>
                </c:pt>
                <c:pt idx="5">
                  <c:v>abs2NN</c:v>
                </c:pt>
                <c:pt idx="6">
                  <c:v>abs2SN</c:v>
                </c:pt>
                <c:pt idx="7">
                  <c:v>abs2WN</c:v>
                </c:pt>
                <c:pt idx="8">
                  <c:v>abs3EN</c:v>
                </c:pt>
                <c:pt idx="9">
                  <c:v>abs3NN</c:v>
                </c:pt>
                <c:pt idx="10">
                  <c:v>abs3SN</c:v>
                </c:pt>
                <c:pt idx="11">
                  <c:v>abs3WN</c:v>
                </c:pt>
                <c:pt idx="12">
                  <c:v>abs5EN</c:v>
                </c:pt>
                <c:pt idx="13">
                  <c:v>abs5NN</c:v>
                </c:pt>
                <c:pt idx="14">
                  <c:v>abs5SN</c:v>
                </c:pt>
                <c:pt idx="15">
                  <c:v>abs5WN</c:v>
                </c:pt>
              </c:strCache>
            </c:strRef>
          </c:cat>
          <c:val>
            <c:numRef>
              <c:f>'Tabula RefULG 1'!$DX$44:$DX$59</c:f>
              <c:numCache>
                <c:formatCode>0.00E+00</c:formatCode>
                <c:ptCount val="16"/>
                <c:pt idx="0">
                  <c:v>256.83453237410072</c:v>
                </c:pt>
                <c:pt idx="1">
                  <c:v>8.4424778761061958E-6</c:v>
                </c:pt>
                <c:pt idx="2">
                  <c:v>0.84459459459459463</c:v>
                </c:pt>
                <c:pt idx="3">
                  <c:v>1.1219512195121952</c:v>
                </c:pt>
                <c:pt idx="4">
                  <c:v>1.0013262599469497</c:v>
                </c:pt>
                <c:pt idx="5">
                  <c:v>0.91988130563798209</c:v>
                </c:pt>
                <c:pt idx="6">
                  <c:v>1.0209339774557167</c:v>
                </c:pt>
                <c:pt idx="7">
                  <c:v>0.98681732580037662</c:v>
                </c:pt>
                <c:pt idx="8">
                  <c:v>4.1812564366632332E-9</c:v>
                </c:pt>
                <c:pt idx="9">
                  <c:v>3750</c:v>
                </c:pt>
                <c:pt idx="10">
                  <c:v>1.18</c:v>
                </c:pt>
                <c:pt idx="11">
                  <c:v>7.9012345679012344E-2</c:v>
                </c:pt>
                <c:pt idx="12">
                  <c:v>1.0754458161865568</c:v>
                </c:pt>
                <c:pt idx="13">
                  <c:v>0.83199999999999996</c:v>
                </c:pt>
                <c:pt idx="14">
                  <c:v>1.0340030911901084</c:v>
                </c:pt>
                <c:pt idx="15">
                  <c:v>0.99807692307692319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16448"/>
        <c:axId val="184617984"/>
      </c:barChart>
      <c:catAx>
        <c:axId val="1846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17984"/>
        <c:crosses val="autoZero"/>
        <c:auto val="1"/>
        <c:lblAlgn val="ctr"/>
        <c:lblOffset val="100"/>
        <c:noMultiLvlLbl val="0"/>
      </c:catAx>
      <c:valAx>
        <c:axId val="1846179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6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1'!$DS$61:$DS$73</c:f>
              <c:strCache>
                <c:ptCount val="13"/>
                <c:pt idx="0">
                  <c:v>CiN</c:v>
                </c:pt>
                <c:pt idx="1">
                  <c:v>CwN</c:v>
                </c:pt>
                <c:pt idx="2">
                  <c:v>CwiN</c:v>
                </c:pt>
                <c:pt idx="4">
                  <c:v>f1N</c:v>
                </c:pt>
                <c:pt idx="5">
                  <c:v>f2N</c:v>
                </c:pt>
                <c:pt idx="6">
                  <c:v>f3N</c:v>
                </c:pt>
                <c:pt idx="7">
                  <c:v>f5N</c:v>
                </c:pt>
                <c:pt idx="9">
                  <c:v>hwN</c:v>
                </c:pt>
                <c:pt idx="10">
                  <c:v>hwiN</c:v>
                </c:pt>
                <c:pt idx="11">
                  <c:v>infN</c:v>
                </c:pt>
                <c:pt idx="12">
                  <c:v>UwN</c:v>
                </c:pt>
              </c:strCache>
            </c:strRef>
          </c:cat>
          <c:val>
            <c:numRef>
              <c:f>'Tabula RefULG 1'!$DX$61:$DX$73</c:f>
              <c:numCache>
                <c:formatCode>0.00E+00</c:formatCode>
                <c:ptCount val="13"/>
                <c:pt idx="0">
                  <c:v>0.79558011049723754</c:v>
                </c:pt>
                <c:pt idx="1">
                  <c:v>0.9907407407407407</c:v>
                </c:pt>
                <c:pt idx="2">
                  <c:v>1.2609819121447028</c:v>
                </c:pt>
                <c:pt idx="4">
                  <c:v>1.3032159264931087</c:v>
                </c:pt>
                <c:pt idx="5">
                  <c:v>1.1209302325581396</c:v>
                </c:pt>
                <c:pt idx="6">
                  <c:v>0.85358711566617851</c:v>
                </c:pt>
                <c:pt idx="7">
                  <c:v>1.130597014925373</c:v>
                </c:pt>
                <c:pt idx="9">
                  <c:v>0.81666666666666665</c:v>
                </c:pt>
                <c:pt idx="10">
                  <c:v>1.0403071017274472</c:v>
                </c:pt>
                <c:pt idx="11">
                  <c:v>0.83933518005540164</c:v>
                </c:pt>
                <c:pt idx="12">
                  <c:v>1.15625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54464"/>
        <c:axId val="184664448"/>
      </c:barChart>
      <c:catAx>
        <c:axId val="1846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64448"/>
        <c:crosses val="autoZero"/>
        <c:auto val="1"/>
        <c:lblAlgn val="ctr"/>
        <c:lblOffset val="100"/>
        <c:noMultiLvlLbl val="0"/>
      </c:catAx>
      <c:valAx>
        <c:axId val="18466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6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1'!$DS$75:$DS$79</c:f>
              <c:strCache>
                <c:ptCount val="5"/>
                <c:pt idx="0">
                  <c:v>CfiD</c:v>
                </c:pt>
                <c:pt idx="1">
                  <c:v>CfiN</c:v>
                </c:pt>
                <c:pt idx="2">
                  <c:v>UfDN</c:v>
                </c:pt>
                <c:pt idx="3">
                  <c:v>Ufi</c:v>
                </c:pt>
                <c:pt idx="4">
                  <c:v>UfND</c:v>
                </c:pt>
              </c:strCache>
            </c:strRef>
          </c:cat>
          <c:val>
            <c:numRef>
              <c:f>'Tabula RefULG 1'!$DX$75:$DX$79</c:f>
              <c:numCache>
                <c:formatCode>0.00E+00</c:formatCode>
                <c:ptCount val="5"/>
                <c:pt idx="0">
                  <c:v>1.1244979919678716E-2</c:v>
                </c:pt>
                <c:pt idx="1">
                  <c:v>2.6491405460060667E-3</c:v>
                </c:pt>
                <c:pt idx="2">
                  <c:v>3.5263496715677221</c:v>
                </c:pt>
                <c:pt idx="3">
                  <c:v>168548.38709677418</c:v>
                </c:pt>
                <c:pt idx="4">
                  <c:v>6.1768777469306233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88640"/>
        <c:axId val="184690176"/>
      </c:barChart>
      <c:catAx>
        <c:axId val="1846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90176"/>
        <c:crosses val="autoZero"/>
        <c:auto val="1"/>
        <c:lblAlgn val="ctr"/>
        <c:lblOffset val="100"/>
        <c:noMultiLvlLbl val="0"/>
      </c:catAx>
      <c:valAx>
        <c:axId val="1846901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6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1'!$DS$5:$DS$24</c:f>
              <c:strCache>
                <c:ptCount val="20"/>
                <c:pt idx="0">
                  <c:v>abs1ED</c:v>
                </c:pt>
                <c:pt idx="1">
                  <c:v>abs1ND</c:v>
                </c:pt>
                <c:pt idx="2">
                  <c:v>abs1SD</c:v>
                </c:pt>
                <c:pt idx="3">
                  <c:v>abs1WD</c:v>
                </c:pt>
                <c:pt idx="4">
                  <c:v>abs2ED</c:v>
                </c:pt>
                <c:pt idx="5">
                  <c:v>abs2ND</c:v>
                </c:pt>
                <c:pt idx="6">
                  <c:v>abs2SD</c:v>
                </c:pt>
                <c:pt idx="7">
                  <c:v>abs2WD</c:v>
                </c:pt>
                <c:pt idx="8">
                  <c:v>abs3ED</c:v>
                </c:pt>
                <c:pt idx="9">
                  <c:v>abs3ND</c:v>
                </c:pt>
                <c:pt idx="10">
                  <c:v>abs3SD</c:v>
                </c:pt>
                <c:pt idx="11">
                  <c:v>abs3WD</c:v>
                </c:pt>
                <c:pt idx="12">
                  <c:v>abs4ED</c:v>
                </c:pt>
                <c:pt idx="13">
                  <c:v>abs4ND</c:v>
                </c:pt>
                <c:pt idx="14">
                  <c:v>abs4SD</c:v>
                </c:pt>
                <c:pt idx="15">
                  <c:v>abs4WD</c:v>
                </c:pt>
                <c:pt idx="16">
                  <c:v>abs5ED</c:v>
                </c:pt>
                <c:pt idx="17">
                  <c:v>abs5ND</c:v>
                </c:pt>
                <c:pt idx="18">
                  <c:v>abs5SD</c:v>
                </c:pt>
                <c:pt idx="19">
                  <c:v>abs5WD</c:v>
                </c:pt>
              </c:strCache>
            </c:strRef>
          </c:cat>
          <c:val>
            <c:numRef>
              <c:f>'Tabula RefULG 1'!$EH$5:$EH$24</c:f>
              <c:numCache>
                <c:formatCode>0.00E+00</c:formatCode>
                <c:ptCount val="20"/>
                <c:pt idx="0">
                  <c:v>0.65201121653130989</c:v>
                </c:pt>
                <c:pt idx="1">
                  <c:v>1.2520841284740658</c:v>
                </c:pt>
                <c:pt idx="2">
                  <c:v>0.82165957703968528</c:v>
                </c:pt>
                <c:pt idx="3">
                  <c:v>0.36436718295970077</c:v>
                </c:pt>
                <c:pt idx="4">
                  <c:v>0.53748681250259478</c:v>
                </c:pt>
                <c:pt idx="5">
                  <c:v>0.96118280367110975</c:v>
                </c:pt>
                <c:pt idx="6">
                  <c:v>0.56618826026982538</c:v>
                </c:pt>
                <c:pt idx="7">
                  <c:v>0.46358585992445073</c:v>
                </c:pt>
                <c:pt idx="8">
                  <c:v>4.395225209561465</c:v>
                </c:pt>
                <c:pt idx="9">
                  <c:v>12.537958229380601</c:v>
                </c:pt>
                <c:pt idx="10">
                  <c:v>5.1625272376713473E-9</c:v>
                </c:pt>
                <c:pt idx="11">
                  <c:v>5.4568411447940033</c:v>
                </c:pt>
                <c:pt idx="12">
                  <c:v>0.62599889620666505</c:v>
                </c:pt>
                <c:pt idx="13">
                  <c:v>0.90583427536276095</c:v>
                </c:pt>
                <c:pt idx="14">
                  <c:v>0.66404187105419321</c:v>
                </c:pt>
                <c:pt idx="15">
                  <c:v>0.53887860447749869</c:v>
                </c:pt>
                <c:pt idx="16">
                  <c:v>0.65482779274249836</c:v>
                </c:pt>
                <c:pt idx="17">
                  <c:v>0.49616048248513034</c:v>
                </c:pt>
                <c:pt idx="18">
                  <c:v>0.63765610134343054</c:v>
                </c:pt>
                <c:pt idx="19">
                  <c:v>0.37881170048084906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22560"/>
        <c:axId val="184724096"/>
      </c:barChart>
      <c:catAx>
        <c:axId val="1847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24096"/>
        <c:crosses val="autoZero"/>
        <c:auto val="1"/>
        <c:lblAlgn val="ctr"/>
        <c:lblOffset val="100"/>
        <c:noMultiLvlLbl val="0"/>
      </c:catAx>
      <c:valAx>
        <c:axId val="184724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72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1'!$DS$27:$DS$42</c:f>
              <c:strCache>
                <c:ptCount val="16"/>
                <c:pt idx="0">
                  <c:v>CflD</c:v>
                </c:pt>
                <c:pt idx="1">
                  <c:v>CiD</c:v>
                </c:pt>
                <c:pt idx="2">
                  <c:v>CwD</c:v>
                </c:pt>
                <c:pt idx="3">
                  <c:v>CwiD</c:v>
                </c:pt>
                <c:pt idx="5">
                  <c:v>hwD</c:v>
                </c:pt>
                <c:pt idx="6">
                  <c:v>hflD</c:v>
                </c:pt>
                <c:pt idx="7">
                  <c:v>hwiD</c:v>
                </c:pt>
                <c:pt idx="8">
                  <c:v>infD</c:v>
                </c:pt>
                <c:pt idx="9">
                  <c:v>UflD</c:v>
                </c:pt>
                <c:pt idx="10">
                  <c:v>UwD</c:v>
                </c:pt>
                <c:pt idx="11">
                  <c:v>f1D</c:v>
                </c:pt>
                <c:pt idx="12">
                  <c:v>f2D</c:v>
                </c:pt>
                <c:pt idx="13">
                  <c:v>f3D</c:v>
                </c:pt>
                <c:pt idx="14">
                  <c:v>f4D</c:v>
                </c:pt>
                <c:pt idx="15">
                  <c:v>f5D</c:v>
                </c:pt>
              </c:strCache>
            </c:strRef>
          </c:cat>
          <c:val>
            <c:numRef>
              <c:f>'Tabula RefULG 1'!$EH$27:$EH$42</c:f>
              <c:numCache>
                <c:formatCode>0.00E+00</c:formatCode>
                <c:ptCount val="16"/>
                <c:pt idx="0">
                  <c:v>0.73406284159359958</c:v>
                </c:pt>
                <c:pt idx="1">
                  <c:v>0.77018182792186618</c:v>
                </c:pt>
                <c:pt idx="2">
                  <c:v>0.85144904226876916</c:v>
                </c:pt>
                <c:pt idx="3">
                  <c:v>0.69100344136440861</c:v>
                </c:pt>
                <c:pt idx="5">
                  <c:v>0.7246012653284386</c:v>
                </c:pt>
                <c:pt idx="6">
                  <c:v>0.42276497695852538</c:v>
                </c:pt>
                <c:pt idx="7">
                  <c:v>0.70648219779025212</c:v>
                </c:pt>
                <c:pt idx="8">
                  <c:v>0.86008650533109832</c:v>
                </c:pt>
                <c:pt idx="9">
                  <c:v>2.1251344086021509</c:v>
                </c:pt>
                <c:pt idx="10">
                  <c:v>1.1380441182273597</c:v>
                </c:pt>
                <c:pt idx="11">
                  <c:v>2.0001765711455759</c:v>
                </c:pt>
                <c:pt idx="12">
                  <c:v>1.8686695305079677</c:v>
                </c:pt>
                <c:pt idx="13">
                  <c:v>0.78615722698579493</c:v>
                </c:pt>
                <c:pt idx="14">
                  <c:v>1.2804354396390343</c:v>
                </c:pt>
                <c:pt idx="15">
                  <c:v>1.7041985970433813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44192"/>
        <c:axId val="184782848"/>
      </c:barChart>
      <c:catAx>
        <c:axId val="1847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82848"/>
        <c:crosses val="autoZero"/>
        <c:auto val="1"/>
        <c:lblAlgn val="ctr"/>
        <c:lblOffset val="100"/>
        <c:noMultiLvlLbl val="0"/>
      </c:catAx>
      <c:valAx>
        <c:axId val="184782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7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'Tabula RefULG 2'!$AP$3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cat>
            <c:strRef>
              <c:f>'Tabula RefULG 2'!$AO$9:$AO$12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RefULG 2'!$AP$9:$AP$12</c:f>
              <c:numCache>
                <c:formatCode>0.00E+00</c:formatCode>
                <c:ptCount val="4"/>
                <c:pt idx="0">
                  <c:v>897190.73464052298</c:v>
                </c:pt>
                <c:pt idx="1">
                  <c:v>5508256.8270944748</c:v>
                </c:pt>
                <c:pt idx="2">
                  <c:v>13531046.938837415</c:v>
                </c:pt>
                <c:pt idx="3">
                  <c:v>6879520</c:v>
                </c:pt>
              </c:numCache>
            </c:numRef>
          </c:val>
        </c:ser>
        <c:ser>
          <c:idx val="1"/>
          <c:order val="1"/>
          <c:tx>
            <c:strRef>
              <c:f>'Tabula RefULG 2'!$BC$1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val>
            <c:numRef>
              <c:f>'Tabula RefULG 2'!$BN$9:$BN$12</c:f>
              <c:numCache>
                <c:formatCode>0.000</c:formatCode>
                <c:ptCount val="4"/>
                <c:pt idx="0">
                  <c:v>2950000</c:v>
                </c:pt>
                <c:pt idx="1">
                  <c:v>23100000</c:v>
                </c:pt>
                <c:pt idx="2">
                  <c:v>30400000</c:v>
                </c:pt>
                <c:pt idx="3">
                  <c:v>15600000</c:v>
                </c:pt>
              </c:numCache>
            </c:numRef>
          </c:val>
        </c:ser>
        <c:ser>
          <c:idx val="2"/>
          <c:order val="2"/>
          <c:tx>
            <c:strRef>
              <c:f>'Tabula RefULG 2'!$BQ$1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val>
            <c:numRef>
              <c:f>'Tabula RefULG 2'!$CC$11:$CC$14</c:f>
              <c:numCache>
                <c:formatCode>0.00</c:formatCode>
                <c:ptCount val="4"/>
                <c:pt idx="0">
                  <c:v>3560000</c:v>
                </c:pt>
                <c:pt idx="1">
                  <c:v>32200000</c:v>
                </c:pt>
                <c:pt idx="2">
                  <c:v>25400000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137024"/>
        <c:axId val="185138560"/>
      </c:barChart>
      <c:catAx>
        <c:axId val="1851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38560"/>
        <c:crosses val="autoZero"/>
        <c:auto val="1"/>
        <c:lblAlgn val="ctr"/>
        <c:lblOffset val="100"/>
        <c:noMultiLvlLbl val="0"/>
      </c:catAx>
      <c:valAx>
        <c:axId val="1851385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Capacity [J]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851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'Tabula RefULG 2'!$AP$3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RefULG 2'!$CA$21:$CA$26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2'!$AP$19:$AP$24</c:f>
              <c:numCache>
                <c:formatCode>General</c:formatCode>
                <c:ptCount val="6"/>
                <c:pt idx="0">
                  <c:v>56.080743187749825</c:v>
                </c:pt>
                <c:pt idx="1">
                  <c:v>128.91089108910893</c:v>
                </c:pt>
                <c:pt idx="2">
                  <c:v>259.79329575601236</c:v>
                </c:pt>
                <c:pt idx="3" formatCode="0.00">
                  <c:v>74.992456689190959</c:v>
                </c:pt>
                <c:pt idx="4">
                  <c:v>11.111336725807982</c:v>
                </c:pt>
                <c:pt idx="5">
                  <c:v>20.503937007874015</c:v>
                </c:pt>
              </c:numCache>
            </c:numRef>
          </c:val>
        </c:ser>
        <c:ser>
          <c:idx val="1"/>
          <c:order val="1"/>
          <c:tx>
            <c:strRef>
              <c:f>'Tabula RefULG 2'!$BC$1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RefULG 2'!$CA$21:$CA$26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2'!$BN$19:$BN$24</c:f>
              <c:numCache>
                <c:formatCode>0</c:formatCode>
                <c:ptCount val="6"/>
                <c:pt idx="0">
                  <c:v>637</c:v>
                </c:pt>
                <c:pt idx="1">
                  <c:v>795</c:v>
                </c:pt>
                <c:pt idx="2">
                  <c:v>1310</c:v>
                </c:pt>
                <c:pt idx="3">
                  <c:v>253</c:v>
                </c:pt>
                <c:pt idx="4">
                  <c:v>217.39130434782609</c:v>
                </c:pt>
                <c:pt idx="5">
                  <c:v>81.900000000000006</c:v>
                </c:pt>
              </c:numCache>
            </c:numRef>
          </c:val>
        </c:ser>
        <c:ser>
          <c:idx val="2"/>
          <c:order val="2"/>
          <c:tx>
            <c:strRef>
              <c:f>'Tabula RefULG 2'!$BQ$1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RefULG 2'!$CA$21:$CA$26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2'!$CC$21:$CC$26</c:f>
              <c:numCache>
                <c:formatCode>0</c:formatCode>
                <c:ptCount val="6"/>
                <c:pt idx="0">
                  <c:v>278</c:v>
                </c:pt>
                <c:pt idx="1">
                  <c:v>215</c:v>
                </c:pt>
                <c:pt idx="2">
                  <c:v>457</c:v>
                </c:pt>
                <c:pt idx="3">
                  <c:v>272</c:v>
                </c:pt>
                <c:pt idx="4">
                  <c:v>326.79738562091507</c:v>
                </c:pt>
                <c:pt idx="5">
                  <c:v>75.900000000000006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493184"/>
        <c:axId val="186580992"/>
      </c:barChart>
      <c:catAx>
        <c:axId val="1864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80992"/>
        <c:crosses val="autoZero"/>
        <c:auto val="1"/>
        <c:lblAlgn val="ctr"/>
        <c:lblOffset val="100"/>
        <c:noMultiLvlLbl val="0"/>
      </c:catAx>
      <c:valAx>
        <c:axId val="1865809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Heat transfer coefficients</a:t>
                </a:r>
                <a:r>
                  <a:rPr lang="en-US" baseline="0"/>
                  <a:t> [W/K]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49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'Gebouwgegevens Tabula 2zone'!$AP$3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cat>
            <c:strRef>
              <c:f>'Gebouwgegevens Tabula 2zone'!$AO$9:$AO$12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'Gebouwgegevens Tabula 2zone'!$AP$9:$AP$12</c:f>
              <c:numCache>
                <c:formatCode>0.00E+00</c:formatCode>
                <c:ptCount val="4"/>
                <c:pt idx="0">
                  <c:v>897190.73464052298</c:v>
                </c:pt>
                <c:pt idx="1">
                  <c:v>5508256.8270944748</c:v>
                </c:pt>
                <c:pt idx="2">
                  <c:v>27062093.877674829</c:v>
                </c:pt>
                <c:pt idx="3">
                  <c:v>6879520</c:v>
                </c:pt>
              </c:numCache>
            </c:numRef>
          </c:val>
        </c:ser>
        <c:ser>
          <c:idx val="1"/>
          <c:order val="1"/>
          <c:tx>
            <c:strRef>
              <c:f>'Gebouwgegevens Tabula 2zone'!$BC$1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val>
            <c:numRef>
              <c:f>'Gebouwgegevens Tabula 2zone'!$BN$9:$BN$12</c:f>
              <c:numCache>
                <c:formatCode>0.000</c:formatCode>
                <c:ptCount val="4"/>
                <c:pt idx="0">
                  <c:v>2950000</c:v>
                </c:pt>
                <c:pt idx="1">
                  <c:v>23100000</c:v>
                </c:pt>
                <c:pt idx="2">
                  <c:v>30400000</c:v>
                </c:pt>
                <c:pt idx="3">
                  <c:v>15600000</c:v>
                </c:pt>
              </c:numCache>
            </c:numRef>
          </c:val>
        </c:ser>
        <c:ser>
          <c:idx val="2"/>
          <c:order val="2"/>
          <c:tx>
            <c:strRef>
              <c:f>'Gebouwgegevens Tabula 2zone'!$BQ$1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val>
            <c:numRef>
              <c:f>'Gebouwgegevens Tabula 2zone'!$CC$11:$CC$14</c:f>
              <c:numCache>
                <c:formatCode>0.00</c:formatCode>
                <c:ptCount val="4"/>
                <c:pt idx="0">
                  <c:v>3560000</c:v>
                </c:pt>
                <c:pt idx="1">
                  <c:v>32200000</c:v>
                </c:pt>
                <c:pt idx="2">
                  <c:v>25400000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981568"/>
        <c:axId val="166200448"/>
      </c:barChart>
      <c:catAx>
        <c:axId val="1659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00448"/>
        <c:crosses val="autoZero"/>
        <c:auto val="1"/>
        <c:lblAlgn val="ctr"/>
        <c:lblOffset val="100"/>
        <c:noMultiLvlLbl val="0"/>
      </c:catAx>
      <c:valAx>
        <c:axId val="1662004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Capacity [J]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659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'Gebouwgegevens Tabula 2zone'!$AP$3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'Gebouwgegevens Tabula 2zone'!$CA$21:$CA$26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'Gebouwgegevens Tabula 2zone'!$AP$19:$AP$24</c:f>
              <c:numCache>
                <c:formatCode>General</c:formatCode>
                <c:ptCount val="6"/>
                <c:pt idx="0">
                  <c:v>72.867661880313506</c:v>
                </c:pt>
                <c:pt idx="1">
                  <c:v>197.27272727272728</c:v>
                </c:pt>
                <c:pt idx="2">
                  <c:v>375.09791588361577</c:v>
                </c:pt>
                <c:pt idx="3" formatCode="0.00">
                  <c:v>103.38504848484848</c:v>
                </c:pt>
                <c:pt idx="4">
                  <c:v>51.385997455732721</c:v>
                </c:pt>
                <c:pt idx="5">
                  <c:v>31.950920245398773</c:v>
                </c:pt>
              </c:numCache>
            </c:numRef>
          </c:val>
        </c:ser>
        <c:ser>
          <c:idx val="1"/>
          <c:order val="1"/>
          <c:tx>
            <c:strRef>
              <c:f>'Gebouwgegevens Tabula 2zone'!$BC$1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'Gebouwgegevens Tabula 2zone'!$CA$21:$CA$26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'Gebouwgegevens Tabula 2zone'!$BN$19:$BN$24</c:f>
              <c:numCache>
                <c:formatCode>0</c:formatCode>
                <c:ptCount val="6"/>
                <c:pt idx="0">
                  <c:v>637</c:v>
                </c:pt>
                <c:pt idx="1">
                  <c:v>795</c:v>
                </c:pt>
                <c:pt idx="2">
                  <c:v>1310</c:v>
                </c:pt>
                <c:pt idx="3">
                  <c:v>253</c:v>
                </c:pt>
                <c:pt idx="4">
                  <c:v>217.39130434782609</c:v>
                </c:pt>
                <c:pt idx="5">
                  <c:v>81.900000000000006</c:v>
                </c:pt>
              </c:numCache>
            </c:numRef>
          </c:val>
        </c:ser>
        <c:ser>
          <c:idx val="2"/>
          <c:order val="2"/>
          <c:tx>
            <c:strRef>
              <c:f>'Gebouwgegevens Tabula 2zone'!$BQ$1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'Gebouwgegevens Tabula 2zone'!$CA$21:$CA$26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'Gebouwgegevens Tabula 2zone'!$CC$21:$CC$26</c:f>
              <c:numCache>
                <c:formatCode>0</c:formatCode>
                <c:ptCount val="6"/>
                <c:pt idx="0">
                  <c:v>278</c:v>
                </c:pt>
                <c:pt idx="1">
                  <c:v>215</c:v>
                </c:pt>
                <c:pt idx="2">
                  <c:v>457</c:v>
                </c:pt>
                <c:pt idx="3">
                  <c:v>272</c:v>
                </c:pt>
                <c:pt idx="4">
                  <c:v>326.79738562091507</c:v>
                </c:pt>
                <c:pt idx="5">
                  <c:v>75.900000000000006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252544"/>
        <c:axId val="166254080"/>
      </c:barChart>
      <c:catAx>
        <c:axId val="1662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54080"/>
        <c:crosses val="autoZero"/>
        <c:auto val="1"/>
        <c:lblAlgn val="ctr"/>
        <c:lblOffset val="100"/>
        <c:noMultiLvlLbl val="0"/>
      </c:catAx>
      <c:valAx>
        <c:axId val="1662540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Heat transfer coefficients</a:t>
                </a:r>
                <a:r>
                  <a:rPr lang="en-US" baseline="0"/>
                  <a:t> [W/K]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'Tabula Ref1'!$AO$3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cat>
            <c:strRef>
              <c:f>'Tabula Ref1'!$AN$9:$AN$12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Ref1'!$AO$9:$AO$12</c:f>
              <c:numCache>
                <c:formatCode>0.00E+00</c:formatCode>
                <c:ptCount val="4"/>
                <c:pt idx="0">
                  <c:v>897190.73464052298</c:v>
                </c:pt>
                <c:pt idx="1">
                  <c:v>5508256.8270944748</c:v>
                </c:pt>
                <c:pt idx="2">
                  <c:v>13436145.300282264</c:v>
                </c:pt>
                <c:pt idx="3">
                  <c:v>6879520</c:v>
                </c:pt>
              </c:numCache>
            </c:numRef>
          </c:val>
        </c:ser>
        <c:ser>
          <c:idx val="1"/>
          <c:order val="1"/>
          <c:tx>
            <c:strRef>
              <c:f>'Tabula Ref1'!$BB$1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val>
            <c:numRef>
              <c:f>'Tabula Ref1'!$BM$9:$BM$12</c:f>
              <c:numCache>
                <c:formatCode>0.000</c:formatCode>
                <c:ptCount val="4"/>
                <c:pt idx="0">
                  <c:v>2950000</c:v>
                </c:pt>
                <c:pt idx="1">
                  <c:v>23100000</c:v>
                </c:pt>
                <c:pt idx="2">
                  <c:v>30400000</c:v>
                </c:pt>
                <c:pt idx="3">
                  <c:v>15600000</c:v>
                </c:pt>
              </c:numCache>
            </c:numRef>
          </c:val>
        </c:ser>
        <c:ser>
          <c:idx val="2"/>
          <c:order val="2"/>
          <c:tx>
            <c:strRef>
              <c:f>'Tabula Ref1'!$BP$1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val>
            <c:numRef>
              <c:f>'Tabula Ref1'!$CB$11:$CB$14</c:f>
              <c:numCache>
                <c:formatCode>0.00</c:formatCode>
                <c:ptCount val="4"/>
                <c:pt idx="0">
                  <c:v>3560000</c:v>
                </c:pt>
                <c:pt idx="1">
                  <c:v>32200000</c:v>
                </c:pt>
                <c:pt idx="2">
                  <c:v>25400000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352768"/>
        <c:axId val="168358656"/>
      </c:barChart>
      <c:catAx>
        <c:axId val="1683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58656"/>
        <c:crosses val="autoZero"/>
        <c:auto val="1"/>
        <c:lblAlgn val="ctr"/>
        <c:lblOffset val="100"/>
        <c:noMultiLvlLbl val="0"/>
      </c:catAx>
      <c:valAx>
        <c:axId val="1683586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Capacity [J]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835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'Tabula Ref1'!$AO$3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Ref1'!$BZ$21:$BZ$26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Ref1'!$AO$19:$AO$24</c:f>
              <c:numCache>
                <c:formatCode>0</c:formatCode>
                <c:ptCount val="6"/>
                <c:pt idx="0">
                  <c:v>112.16148637549965</c:v>
                </c:pt>
                <c:pt idx="1">
                  <c:v>257.82178217821786</c:v>
                </c:pt>
                <c:pt idx="2">
                  <c:v>472.73842669510202</c:v>
                </c:pt>
                <c:pt idx="3">
                  <c:v>47.085048484848478</c:v>
                </c:pt>
                <c:pt idx="4">
                  <c:v>10.547859514674997</c:v>
                </c:pt>
                <c:pt idx="5">
                  <c:v>20.015372790161415</c:v>
                </c:pt>
              </c:numCache>
            </c:numRef>
          </c:val>
        </c:ser>
        <c:ser>
          <c:idx val="1"/>
          <c:order val="1"/>
          <c:tx>
            <c:strRef>
              <c:f>'Tabula Ref1'!$BB$1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Ref1'!$BZ$21:$BZ$26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Ref1'!$BM$19:$BM$24</c:f>
              <c:numCache>
                <c:formatCode>0</c:formatCode>
                <c:ptCount val="6"/>
                <c:pt idx="0">
                  <c:v>637</c:v>
                </c:pt>
                <c:pt idx="1">
                  <c:v>795</c:v>
                </c:pt>
                <c:pt idx="2">
                  <c:v>1310</c:v>
                </c:pt>
                <c:pt idx="3">
                  <c:v>253</c:v>
                </c:pt>
                <c:pt idx="4">
                  <c:v>217.39130434782609</c:v>
                </c:pt>
                <c:pt idx="5">
                  <c:v>81.900000000000006</c:v>
                </c:pt>
              </c:numCache>
            </c:numRef>
          </c:val>
        </c:ser>
        <c:ser>
          <c:idx val="2"/>
          <c:order val="2"/>
          <c:tx>
            <c:strRef>
              <c:f>'Tabula Ref1'!$BP$1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Ref1'!$BZ$21:$BZ$26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Ref1'!$CB$21:$CB$26</c:f>
              <c:numCache>
                <c:formatCode>0</c:formatCode>
                <c:ptCount val="6"/>
                <c:pt idx="0">
                  <c:v>278</c:v>
                </c:pt>
                <c:pt idx="1">
                  <c:v>215</c:v>
                </c:pt>
                <c:pt idx="2">
                  <c:v>457</c:v>
                </c:pt>
                <c:pt idx="3">
                  <c:v>272</c:v>
                </c:pt>
                <c:pt idx="4">
                  <c:v>326.79738562091507</c:v>
                </c:pt>
                <c:pt idx="5">
                  <c:v>75.900000000000006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664576"/>
        <c:axId val="182666368"/>
      </c:barChart>
      <c:catAx>
        <c:axId val="1826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66368"/>
        <c:crosses val="autoZero"/>
        <c:auto val="1"/>
        <c:lblAlgn val="ctr"/>
        <c:lblOffset val="100"/>
        <c:noMultiLvlLbl val="0"/>
      </c:catAx>
      <c:valAx>
        <c:axId val="1826663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Heat transfer coefficients</a:t>
                </a:r>
                <a:r>
                  <a:rPr lang="en-US" baseline="0"/>
                  <a:t> [W/K]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26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'Tabula Ref2'!$AO$3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cat>
            <c:strRef>
              <c:f>'Tabula Ref2'!$AN$9:$AN$12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Ref2'!$AO$9:$AO$12</c:f>
              <c:numCache>
                <c:formatCode>0.00E+00</c:formatCode>
                <c:ptCount val="4"/>
                <c:pt idx="0">
                  <c:v>897190.73464052298</c:v>
                </c:pt>
                <c:pt idx="1">
                  <c:v>5508256.8270944748</c:v>
                </c:pt>
                <c:pt idx="2">
                  <c:v>13436145.300282264</c:v>
                </c:pt>
                <c:pt idx="3">
                  <c:v>6879520</c:v>
                </c:pt>
              </c:numCache>
            </c:numRef>
          </c:val>
        </c:ser>
        <c:ser>
          <c:idx val="1"/>
          <c:order val="1"/>
          <c:tx>
            <c:strRef>
              <c:f>'Tabula Ref2'!$BB$1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val>
            <c:numRef>
              <c:f>'Tabula Ref2'!$BM$9:$BM$12</c:f>
              <c:numCache>
                <c:formatCode>0.000</c:formatCode>
                <c:ptCount val="4"/>
                <c:pt idx="0">
                  <c:v>2950000</c:v>
                </c:pt>
                <c:pt idx="1">
                  <c:v>23100000</c:v>
                </c:pt>
                <c:pt idx="2">
                  <c:v>30400000</c:v>
                </c:pt>
                <c:pt idx="3">
                  <c:v>15600000</c:v>
                </c:pt>
              </c:numCache>
            </c:numRef>
          </c:val>
        </c:ser>
        <c:ser>
          <c:idx val="2"/>
          <c:order val="2"/>
          <c:tx>
            <c:strRef>
              <c:f>'Tabula Ref2'!$BP$1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val>
            <c:numRef>
              <c:f>'Tabula Ref2'!$CB$11:$CB$14</c:f>
              <c:numCache>
                <c:formatCode>0.00</c:formatCode>
                <c:ptCount val="4"/>
                <c:pt idx="0">
                  <c:v>3560000</c:v>
                </c:pt>
                <c:pt idx="1">
                  <c:v>32200000</c:v>
                </c:pt>
                <c:pt idx="2">
                  <c:v>25400000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427072"/>
        <c:axId val="183428608"/>
      </c:barChart>
      <c:catAx>
        <c:axId val="1834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28608"/>
        <c:crosses val="autoZero"/>
        <c:auto val="1"/>
        <c:lblAlgn val="ctr"/>
        <c:lblOffset val="100"/>
        <c:noMultiLvlLbl val="0"/>
      </c:catAx>
      <c:valAx>
        <c:axId val="1834286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Capacity [J]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834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'Tabula Ref2'!$AO$3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Ref2'!$BZ$21:$BZ$26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Ref2'!$AO$19:$AO$24</c:f>
              <c:numCache>
                <c:formatCode>0</c:formatCode>
                <c:ptCount val="6"/>
                <c:pt idx="0">
                  <c:v>22.130178793280397</c:v>
                </c:pt>
                <c:pt idx="1">
                  <c:v>372</c:v>
                </c:pt>
                <c:pt idx="2">
                  <c:v>163.35738966908525</c:v>
                </c:pt>
                <c:pt idx="3">
                  <c:v>36.105048484848481</c:v>
                </c:pt>
                <c:pt idx="4">
                  <c:v>8.6707430074193077</c:v>
                </c:pt>
                <c:pt idx="5">
                  <c:v>88.171557562076742</c:v>
                </c:pt>
              </c:numCache>
            </c:numRef>
          </c:val>
        </c:ser>
        <c:ser>
          <c:idx val="1"/>
          <c:order val="1"/>
          <c:tx>
            <c:strRef>
              <c:f>'Tabula Ref2'!$BB$1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Ref2'!$BZ$21:$BZ$26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Ref2'!$BM$19:$BM$24</c:f>
              <c:numCache>
                <c:formatCode>0</c:formatCode>
                <c:ptCount val="6"/>
                <c:pt idx="0">
                  <c:v>637</c:v>
                </c:pt>
                <c:pt idx="1">
                  <c:v>795</c:v>
                </c:pt>
                <c:pt idx="2">
                  <c:v>1310</c:v>
                </c:pt>
                <c:pt idx="3">
                  <c:v>253</c:v>
                </c:pt>
                <c:pt idx="4">
                  <c:v>217.39130434782609</c:v>
                </c:pt>
                <c:pt idx="5">
                  <c:v>81.900000000000006</c:v>
                </c:pt>
              </c:numCache>
            </c:numRef>
          </c:val>
        </c:ser>
        <c:ser>
          <c:idx val="2"/>
          <c:order val="2"/>
          <c:tx>
            <c:strRef>
              <c:f>'Tabula Ref2'!$BP$1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Ref2'!$BZ$21:$BZ$26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Ref2'!$CB$21:$CB$26</c:f>
              <c:numCache>
                <c:formatCode>0</c:formatCode>
                <c:ptCount val="6"/>
                <c:pt idx="0">
                  <c:v>278</c:v>
                </c:pt>
                <c:pt idx="1">
                  <c:v>215</c:v>
                </c:pt>
                <c:pt idx="2">
                  <c:v>457</c:v>
                </c:pt>
                <c:pt idx="3">
                  <c:v>272</c:v>
                </c:pt>
                <c:pt idx="4">
                  <c:v>326.79738562091507</c:v>
                </c:pt>
                <c:pt idx="5">
                  <c:v>75.900000000000006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513472"/>
        <c:axId val="183515008"/>
      </c:barChart>
      <c:catAx>
        <c:axId val="1835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15008"/>
        <c:crosses val="autoZero"/>
        <c:auto val="1"/>
        <c:lblAlgn val="ctr"/>
        <c:lblOffset val="100"/>
        <c:noMultiLvlLbl val="0"/>
      </c:catAx>
      <c:valAx>
        <c:axId val="1835150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Heat transfer coefficients</a:t>
                </a:r>
                <a:r>
                  <a:rPr lang="en-US" baseline="0"/>
                  <a:t> [W/K]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35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'Tabula RefULG 1'!$AP$3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cat>
            <c:strRef>
              <c:f>'Tabula RefULG 1'!$AO$9:$AO$12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RefULG 1'!$AP$9:$AP$12</c:f>
              <c:numCache>
                <c:formatCode>0.00E+00</c:formatCode>
                <c:ptCount val="4"/>
                <c:pt idx="0">
                  <c:v>897190.73464052298</c:v>
                </c:pt>
                <c:pt idx="1">
                  <c:v>5508256.8270944748</c:v>
                </c:pt>
                <c:pt idx="2">
                  <c:v>27062093.877674829</c:v>
                </c:pt>
                <c:pt idx="3">
                  <c:v>6879520</c:v>
                </c:pt>
              </c:numCache>
            </c:numRef>
          </c:val>
        </c:ser>
        <c:ser>
          <c:idx val="1"/>
          <c:order val="1"/>
          <c:tx>
            <c:strRef>
              <c:f>'Tabula RefULG 1'!$BC$1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val>
            <c:numRef>
              <c:f>'Tabula RefULG 1'!$BN$9:$BN$12</c:f>
              <c:numCache>
                <c:formatCode>0.000</c:formatCode>
                <c:ptCount val="4"/>
                <c:pt idx="0">
                  <c:v>2950000</c:v>
                </c:pt>
                <c:pt idx="1">
                  <c:v>23100000</c:v>
                </c:pt>
                <c:pt idx="2">
                  <c:v>30400000</c:v>
                </c:pt>
                <c:pt idx="3">
                  <c:v>15600000</c:v>
                </c:pt>
              </c:numCache>
            </c:numRef>
          </c:val>
        </c:ser>
        <c:ser>
          <c:idx val="2"/>
          <c:order val="2"/>
          <c:tx>
            <c:strRef>
              <c:f>'Tabula RefULG 1'!$BQ$1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val>
            <c:numRef>
              <c:f>'Tabula RefULG 1'!$CC$11:$CC$14</c:f>
              <c:numCache>
                <c:formatCode>0.00</c:formatCode>
                <c:ptCount val="4"/>
                <c:pt idx="0">
                  <c:v>3560000</c:v>
                </c:pt>
                <c:pt idx="1">
                  <c:v>32200000</c:v>
                </c:pt>
                <c:pt idx="2">
                  <c:v>25400000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862400"/>
        <c:axId val="183863936"/>
      </c:barChart>
      <c:catAx>
        <c:axId val="1838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63936"/>
        <c:crosses val="autoZero"/>
        <c:auto val="1"/>
        <c:lblAlgn val="ctr"/>
        <c:lblOffset val="100"/>
        <c:noMultiLvlLbl val="0"/>
      </c:catAx>
      <c:valAx>
        <c:axId val="1838639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Capacity [J]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838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'Tabula RefULG 1'!$AP$3</c:f>
              <c:strCache>
                <c:ptCount val="1"/>
                <c:pt idx="0">
                  <c:v>Theoretical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RefULG 1'!$CA$21:$CA$26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1'!$AP$19:$AP$24</c:f>
              <c:numCache>
                <c:formatCode>General</c:formatCode>
                <c:ptCount val="6"/>
                <c:pt idx="0">
                  <c:v>72.867661880313506</c:v>
                </c:pt>
                <c:pt idx="1">
                  <c:v>197.27272727272728</c:v>
                </c:pt>
                <c:pt idx="2">
                  <c:v>375.09791588361577</c:v>
                </c:pt>
                <c:pt idx="3" formatCode="0.00">
                  <c:v>74.992456689190959</c:v>
                </c:pt>
                <c:pt idx="4">
                  <c:v>51.385997455732721</c:v>
                </c:pt>
                <c:pt idx="5">
                  <c:v>31.950920245398773</c:v>
                </c:pt>
              </c:numCache>
            </c:numRef>
          </c:val>
        </c:ser>
        <c:ser>
          <c:idx val="1"/>
          <c:order val="1"/>
          <c:tx>
            <c:strRef>
              <c:f>'Tabula RefULG 1'!$BC$1</c:f>
              <c:strCache>
                <c:ptCount val="1"/>
                <c:pt idx="0">
                  <c:v>Estimated PRBS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RefULG 1'!$CA$21:$CA$26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1'!$BN$19:$BN$24</c:f>
              <c:numCache>
                <c:formatCode>0</c:formatCode>
                <c:ptCount val="6"/>
                <c:pt idx="0">
                  <c:v>637</c:v>
                </c:pt>
                <c:pt idx="1">
                  <c:v>795</c:v>
                </c:pt>
                <c:pt idx="2">
                  <c:v>1310</c:v>
                </c:pt>
                <c:pt idx="3">
                  <c:v>253</c:v>
                </c:pt>
                <c:pt idx="4">
                  <c:v>217.39130434782609</c:v>
                </c:pt>
                <c:pt idx="5">
                  <c:v>81.900000000000006</c:v>
                </c:pt>
              </c:numCache>
            </c:numRef>
          </c:val>
        </c:ser>
        <c:ser>
          <c:idx val="2"/>
          <c:order val="2"/>
          <c:tx>
            <c:strRef>
              <c:f>'Tabula RefULG 1'!$BQ$1</c:f>
              <c:strCache>
                <c:ptCount val="1"/>
                <c:pt idx="0">
                  <c:v>Estimated In Use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'Tabula RefULG 1'!$CA$21:$CA$26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1'!$CC$21:$CC$26</c:f>
              <c:numCache>
                <c:formatCode>0</c:formatCode>
                <c:ptCount val="6"/>
                <c:pt idx="0">
                  <c:v>278</c:v>
                </c:pt>
                <c:pt idx="1">
                  <c:v>215</c:v>
                </c:pt>
                <c:pt idx="2">
                  <c:v>457</c:v>
                </c:pt>
                <c:pt idx="3">
                  <c:v>272</c:v>
                </c:pt>
                <c:pt idx="4">
                  <c:v>326.79738562091507</c:v>
                </c:pt>
                <c:pt idx="5">
                  <c:v>75.900000000000006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924224"/>
        <c:axId val="183925760"/>
      </c:barChart>
      <c:catAx>
        <c:axId val="18392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25760"/>
        <c:crosses val="autoZero"/>
        <c:auto val="1"/>
        <c:lblAlgn val="ctr"/>
        <c:lblOffset val="100"/>
        <c:noMultiLvlLbl val="0"/>
      </c:catAx>
      <c:valAx>
        <c:axId val="1839257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3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Heat transfer coefficients</a:t>
                </a:r>
                <a:r>
                  <a:rPr lang="en-US" baseline="0"/>
                  <a:t> [W/K]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2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3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4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5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6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7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5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7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9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1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3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7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455760</xdr:colOff>
      <xdr:row>9</xdr:row>
      <xdr:rowOff>181440</xdr:rowOff>
    </xdr:from>
    <xdr:to>
      <xdr:col>22</xdr:col>
      <xdr:colOff>112680</xdr:colOff>
      <xdr:row>31</xdr:row>
      <xdr:rowOff>142920</xdr:rowOff>
    </xdr:to>
    <xdr:graphicFrame macro="">
      <xdr:nvGraphicFramePr>
        <xdr:cNvPr id="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84</xdr:col>
      <xdr:colOff>22411</xdr:colOff>
      <xdr:row>4</xdr:row>
      <xdr:rowOff>0</xdr:rowOff>
    </xdr:from>
    <xdr:to>
      <xdr:col>91</xdr:col>
      <xdr:colOff>308161</xdr:colOff>
      <xdr:row>18</xdr:row>
      <xdr:rowOff>76200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0</xdr:colOff>
      <xdr:row>19</xdr:row>
      <xdr:rowOff>82923</xdr:rowOff>
    </xdr:from>
    <xdr:to>
      <xdr:col>91</xdr:col>
      <xdr:colOff>285750</xdr:colOff>
      <xdr:row>33</xdr:row>
      <xdr:rowOff>159123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0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2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8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0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4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6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0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2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6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8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4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8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5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60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6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6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6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64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66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6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68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69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0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1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2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3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4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5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6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7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8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79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0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1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2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3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4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5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6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7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8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89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0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1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2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3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4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5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6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7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8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99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0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1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2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3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4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5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6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7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8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09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0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1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2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3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4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5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6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7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8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19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20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21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22" name="AutoShape 17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23" name="AutoShape 16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24" name="AutoShape 15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25" name="AutoShape 14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26" name="AutoShape 13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27" name="AutoShape 12"/>
        <xdr:cNvSpPr>
          <a:spLocks noChangeArrowheads="1"/>
        </xdr:cNvSpPr>
      </xdr:nvSpPr>
      <xdr:spPr bwMode="auto">
        <a:xfrm>
          <a:off x="0" y="0"/>
          <a:ext cx="9334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22411</xdr:colOff>
      <xdr:row>4</xdr:row>
      <xdr:rowOff>0</xdr:rowOff>
    </xdr:from>
    <xdr:to>
      <xdr:col>90</xdr:col>
      <xdr:colOff>308161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0</xdr:colOff>
      <xdr:row>19</xdr:row>
      <xdr:rowOff>82923</xdr:rowOff>
    </xdr:from>
    <xdr:to>
      <xdr:col>90</xdr:col>
      <xdr:colOff>285750</xdr:colOff>
      <xdr:row>33</xdr:row>
      <xdr:rowOff>159123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8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8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0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4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6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0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2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6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8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133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6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7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9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1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2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3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5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6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7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8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22411</xdr:colOff>
      <xdr:row>4</xdr:row>
      <xdr:rowOff>0</xdr:rowOff>
    </xdr:from>
    <xdr:to>
      <xdr:col>90</xdr:col>
      <xdr:colOff>308161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0</xdr:colOff>
      <xdr:row>19</xdr:row>
      <xdr:rowOff>82923</xdr:rowOff>
    </xdr:from>
    <xdr:to>
      <xdr:col>90</xdr:col>
      <xdr:colOff>285750</xdr:colOff>
      <xdr:row>33</xdr:row>
      <xdr:rowOff>159123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7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8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0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1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3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7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8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1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2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3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4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6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7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8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29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0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1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2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3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4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5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6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7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8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39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0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1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2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3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4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5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6157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6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7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49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1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2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3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5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6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7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58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22411</xdr:colOff>
      <xdr:row>4</xdr:row>
      <xdr:rowOff>0</xdr:rowOff>
    </xdr:from>
    <xdr:to>
      <xdr:col>91</xdr:col>
      <xdr:colOff>308161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0</xdr:colOff>
      <xdr:row>19</xdr:row>
      <xdr:rowOff>82923</xdr:rowOff>
    </xdr:from>
    <xdr:to>
      <xdr:col>91</xdr:col>
      <xdr:colOff>285750</xdr:colOff>
      <xdr:row>33</xdr:row>
      <xdr:rowOff>159123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8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8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0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4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6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0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2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6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8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8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0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4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6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0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2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5373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5372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5371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5370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5369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1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2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3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4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5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6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7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68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74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75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76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77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78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79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1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2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3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4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5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6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7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8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89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1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2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3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4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5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6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7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8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399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1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2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3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4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5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6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7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8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09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1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11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12" name="AutoShape 11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13" name="AutoShape 10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5414" name="AutoShape 9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128</xdr:col>
      <xdr:colOff>250247</xdr:colOff>
      <xdr:row>6</xdr:row>
      <xdr:rowOff>25544</xdr:rowOff>
    </xdr:from>
    <xdr:to>
      <xdr:col>135</xdr:col>
      <xdr:colOff>551583</xdr:colOff>
      <xdr:row>20</xdr:row>
      <xdr:rowOff>101744</xdr:rowOff>
    </xdr:to>
    <xdr:graphicFrame macro="">
      <xdr:nvGraphicFramePr>
        <xdr:cNvPr id="15415" name="Chart 154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129</xdr:col>
      <xdr:colOff>0</xdr:colOff>
      <xdr:row>27</xdr:row>
      <xdr:rowOff>0</xdr:rowOff>
    </xdr:from>
    <xdr:to>
      <xdr:col>136</xdr:col>
      <xdr:colOff>301336</xdr:colOff>
      <xdr:row>41</xdr:row>
      <xdr:rowOff>76200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129</xdr:col>
      <xdr:colOff>0</xdr:colOff>
      <xdr:row>47</xdr:row>
      <xdr:rowOff>0</xdr:rowOff>
    </xdr:from>
    <xdr:to>
      <xdr:col>136</xdr:col>
      <xdr:colOff>301336</xdr:colOff>
      <xdr:row>60</xdr:row>
      <xdr:rowOff>110836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51955</xdr:colOff>
      <xdr:row>61</xdr:row>
      <xdr:rowOff>86591</xdr:rowOff>
    </xdr:from>
    <xdr:to>
      <xdr:col>136</xdr:col>
      <xdr:colOff>353291</xdr:colOff>
      <xdr:row>74</xdr:row>
      <xdr:rowOff>128155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129</xdr:col>
      <xdr:colOff>0</xdr:colOff>
      <xdr:row>75</xdr:row>
      <xdr:rowOff>0</xdr:rowOff>
    </xdr:from>
    <xdr:to>
      <xdr:col>136</xdr:col>
      <xdr:colOff>301336</xdr:colOff>
      <xdr:row>88</xdr:row>
      <xdr:rowOff>41564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138</xdr:col>
      <xdr:colOff>585107</xdr:colOff>
      <xdr:row>6</xdr:row>
      <xdr:rowOff>40821</xdr:rowOff>
    </xdr:from>
    <xdr:to>
      <xdr:col>146</xdr:col>
      <xdr:colOff>274122</xdr:colOff>
      <xdr:row>20</xdr:row>
      <xdr:rowOff>117021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138</xdr:col>
      <xdr:colOff>544285</xdr:colOff>
      <xdr:row>26</xdr:row>
      <xdr:rowOff>163286</xdr:rowOff>
    </xdr:from>
    <xdr:to>
      <xdr:col>146</xdr:col>
      <xdr:colOff>233300</xdr:colOff>
      <xdr:row>41</xdr:row>
      <xdr:rowOff>48986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22411</xdr:colOff>
      <xdr:row>4</xdr:row>
      <xdr:rowOff>0</xdr:rowOff>
    </xdr:from>
    <xdr:to>
      <xdr:col>91</xdr:col>
      <xdr:colOff>308161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0</xdr:colOff>
      <xdr:row>19</xdr:row>
      <xdr:rowOff>82923</xdr:rowOff>
    </xdr:from>
    <xdr:to>
      <xdr:col>91</xdr:col>
      <xdr:colOff>285750</xdr:colOff>
      <xdr:row>33</xdr:row>
      <xdr:rowOff>159123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7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8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0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1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3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5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6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7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8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1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2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3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4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6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7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8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9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0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1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2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3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4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5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6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7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8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9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2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3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4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5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6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7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8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9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0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1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2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3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4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5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6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7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8" name="AutoShape 17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59" name="AutoShape 16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0" name="AutoShape 15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1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2" name="AutoShape 13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63" name="AutoShape 12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16398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84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85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86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87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88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89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90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91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92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93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94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76200</xdr:rowOff>
    </xdr:to>
    <xdr:sp macro="" textlink="">
      <xdr:nvSpPr>
        <xdr:cNvPr id="16395" name="AutoShape 14"/>
        <xdr:cNvSpPr>
          <a:spLocks noChangeArrowheads="1"/>
        </xdr:cNvSpPr>
      </xdr:nvSpPr>
      <xdr:spPr bwMode="auto">
        <a:xfrm>
          <a:off x="0" y="0"/>
          <a:ext cx="7924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1"/>
  <sheetViews>
    <sheetView zoomScale="90" zoomScaleNormal="90" workbookViewId="0">
      <selection activeCell="B7" sqref="B7"/>
    </sheetView>
  </sheetViews>
  <sheetFormatPr defaultRowHeight="15" x14ac:dyDescent="0.25"/>
  <cols>
    <col min="1" max="1" width="20.5703125"/>
    <col min="2" max="2" width="12.28515625"/>
    <col min="4" max="4" width="22.140625"/>
    <col min="6" max="6" width="7.140625"/>
    <col min="7" max="7" width="5.5703125"/>
    <col min="8" max="8" width="7.7109375"/>
    <col min="9" max="9" width="9.140625" style="1"/>
    <col min="11" max="11" width="10.42578125" style="2"/>
    <col min="12" max="12" width="8" style="2"/>
    <col min="13" max="13" width="16.85546875" style="2"/>
    <col min="14" max="14" width="12.5703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</cols>
  <sheetData>
    <row r="1" spans="1:33" ht="20.25" customHeight="1" x14ac:dyDescent="0.25">
      <c r="A1" s="320" t="s">
        <v>0</v>
      </c>
      <c r="B1" s="320"/>
      <c r="C1" s="320"/>
      <c r="D1" s="320"/>
      <c r="E1" s="320"/>
      <c r="F1" s="320"/>
      <c r="G1" s="320"/>
    </row>
    <row r="3" spans="1:33" x14ac:dyDescent="0.25">
      <c r="A3" s="317" t="s">
        <v>1</v>
      </c>
      <c r="B3" s="317"/>
      <c r="C3" s="317"/>
      <c r="D3" s="317"/>
      <c r="E3" s="317"/>
      <c r="F3" s="317"/>
      <c r="G3" s="317"/>
      <c r="H3" s="317"/>
      <c r="J3" s="317" t="s">
        <v>2</v>
      </c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4"/>
      <c r="V3" s="317" t="s">
        <v>3</v>
      </c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</row>
    <row r="4" spans="1:33" ht="15.75" customHeight="1" x14ac:dyDescent="0.25">
      <c r="Y4" s="5" t="s">
        <v>4</v>
      </c>
      <c r="Z4" s="5">
        <v>1.7</v>
      </c>
      <c r="AA4" s="5" t="s">
        <v>5</v>
      </c>
    </row>
    <row r="5" spans="1:33" ht="15" customHeight="1" x14ac:dyDescent="0.25">
      <c r="A5" s="6" t="s">
        <v>6</v>
      </c>
      <c r="B5" s="7">
        <v>766</v>
      </c>
      <c r="C5" s="7" t="s">
        <v>7</v>
      </c>
      <c r="D5" s="6" t="s">
        <v>8</v>
      </c>
      <c r="E5" s="7"/>
      <c r="F5" s="7"/>
      <c r="G5" s="8">
        <f>SUM(H7:H14)</f>
        <v>41.199999999999996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33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'Tabula data'!B10*0.55/2</f>
        <v>22.715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50.023748730596253</v>
      </c>
      <c r="R6" s="30">
        <f t="shared" ref="R6:R28" si="2">VLOOKUP(M6,$W$5:$AD$391,8,0)*N6</f>
        <v>10219024.199999999</v>
      </c>
      <c r="S6" s="30">
        <f t="shared" ref="S6:S28" si="3">R6/N6</f>
        <v>449879.99999999994</v>
      </c>
      <c r="T6" s="30">
        <f t="shared" ref="T6:T28" si="4">VLOOKUP(M6,$W$5:$AF$391,10,0)*N6</f>
        <v>10219024.199999999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</row>
    <row r="7" spans="1:33" ht="15" customHeight="1" x14ac:dyDescent="0.25">
      <c r="A7" s="6" t="s">
        <v>34</v>
      </c>
      <c r="B7" s="35">
        <v>279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0.26213592233009714</v>
      </c>
      <c r="G7" s="24" t="s">
        <v>37</v>
      </c>
      <c r="H7" s="39">
        <v>10.8</v>
      </c>
      <c r="J7" t="s">
        <v>38</v>
      </c>
      <c r="K7" s="40">
        <v>0</v>
      </c>
      <c r="L7" s="41">
        <v>1</v>
      </c>
      <c r="M7" s="41" t="s">
        <v>25</v>
      </c>
      <c r="N7" s="42">
        <f>'Tabula data'!B10*0.45*0.5</f>
        <v>18.585000000000001</v>
      </c>
      <c r="O7" s="43" t="s">
        <v>39</v>
      </c>
      <c r="P7" s="30">
        <f t="shared" si="0"/>
        <v>2.2022341505875525</v>
      </c>
      <c r="Q7" s="30">
        <f t="shared" si="1"/>
        <v>40.928521688669662</v>
      </c>
      <c r="R7" s="30">
        <f t="shared" si="2"/>
        <v>8361019.8000000007</v>
      </c>
      <c r="S7" s="30">
        <f t="shared" si="3"/>
        <v>449880</v>
      </c>
      <c r="T7" s="30">
        <f t="shared" si="4"/>
        <v>8361019.8000000007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</row>
    <row r="8" spans="1:33" ht="15" customHeight="1" x14ac:dyDescent="0.25">
      <c r="A8" s="45" t="s">
        <v>42</v>
      </c>
      <c r="B8" s="46">
        <f>B7-B9</f>
        <v>167.39999999999998</v>
      </c>
      <c r="C8" s="47" t="s">
        <v>9</v>
      </c>
      <c r="D8" s="37" t="s">
        <v>43</v>
      </c>
      <c r="E8" s="24" t="s">
        <v>36</v>
      </c>
      <c r="F8" s="38">
        <f t="shared" si="5"/>
        <v>0.22572815533980586</v>
      </c>
      <c r="G8" s="24" t="s">
        <v>37</v>
      </c>
      <c r="H8" s="39">
        <v>9.3000000000000007</v>
      </c>
      <c r="J8" t="s">
        <v>44</v>
      </c>
      <c r="K8" s="40">
        <v>0</v>
      </c>
      <c r="L8" s="41">
        <v>1</v>
      </c>
      <c r="M8" s="41" t="s">
        <v>25</v>
      </c>
      <c r="N8" s="42">
        <f>N6</f>
        <v>22.715</v>
      </c>
      <c r="O8" s="43" t="s">
        <v>45</v>
      </c>
      <c r="P8" s="30">
        <f t="shared" si="0"/>
        <v>2.2022341505875525</v>
      </c>
      <c r="Q8" s="30">
        <f t="shared" si="1"/>
        <v>50.023748730596253</v>
      </c>
      <c r="R8" s="30">
        <f t="shared" si="2"/>
        <v>10219024.199999999</v>
      </c>
      <c r="S8" s="30">
        <f t="shared" si="3"/>
        <v>449879.99999999994</v>
      </c>
      <c r="T8" s="30">
        <f t="shared" si="4"/>
        <v>10219024.199999999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33" ht="15" customHeight="1" x14ac:dyDescent="0.25">
      <c r="A9" s="48" t="s">
        <v>47</v>
      </c>
      <c r="B9" s="49">
        <f>0.4*B7</f>
        <v>111.60000000000001</v>
      </c>
      <c r="C9" s="24"/>
      <c r="D9" s="37" t="s">
        <v>48</v>
      </c>
      <c r="E9" s="24" t="s">
        <v>36</v>
      </c>
      <c r="F9" s="38">
        <f t="shared" si="5"/>
        <v>0.29611650485436897</v>
      </c>
      <c r="G9" s="24" t="s">
        <v>37</v>
      </c>
      <c r="H9" s="39">
        <v>12.2</v>
      </c>
      <c r="J9" t="s">
        <v>49</v>
      </c>
      <c r="K9" s="40">
        <v>0</v>
      </c>
      <c r="L9" s="41">
        <v>1</v>
      </c>
      <c r="M9" s="41" t="s">
        <v>25</v>
      </c>
      <c r="N9" s="42">
        <f>N7</f>
        <v>18.585000000000001</v>
      </c>
      <c r="O9" s="43" t="s">
        <v>50</v>
      </c>
      <c r="P9" s="30">
        <f t="shared" si="0"/>
        <v>2.2022341505875525</v>
      </c>
      <c r="Q9" s="30">
        <f t="shared" si="1"/>
        <v>40.928521688669662</v>
      </c>
      <c r="R9" s="30">
        <f t="shared" si="2"/>
        <v>8361019.8000000007</v>
      </c>
      <c r="S9" s="30">
        <f t="shared" si="3"/>
        <v>449880</v>
      </c>
      <c r="T9" s="30">
        <f t="shared" si="4"/>
        <v>8361019.8000000007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33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0.2160194174757282</v>
      </c>
      <c r="G10" s="24" t="s">
        <v>37</v>
      </c>
      <c r="H10" s="39">
        <v>8.9</v>
      </c>
      <c r="J10" t="s">
        <v>53</v>
      </c>
      <c r="K10" s="40">
        <v>0</v>
      </c>
      <c r="L10" s="41">
        <v>1</v>
      </c>
      <c r="M10" s="41" t="s">
        <v>54</v>
      </c>
      <c r="N10" s="42">
        <f>H7</f>
        <v>10.8</v>
      </c>
      <c r="O10" s="43" t="s">
        <v>26</v>
      </c>
      <c r="P10" s="30">
        <f t="shared" si="0"/>
        <v>5</v>
      </c>
      <c r="Q10" s="30">
        <f t="shared" si="1"/>
        <v>54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33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9.3000000000000007</v>
      </c>
      <c r="O11" s="43" t="s">
        <v>39</v>
      </c>
      <c r="P11" s="30">
        <f t="shared" si="0"/>
        <v>5</v>
      </c>
      <c r="Q11" s="30">
        <f t="shared" si="1"/>
        <v>46.5</v>
      </c>
      <c r="R11" s="30">
        <f t="shared" si="2"/>
        <v>0</v>
      </c>
      <c r="S11" s="30">
        <f t="shared" si="3"/>
        <v>0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33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</v>
      </c>
      <c r="G12" s="24"/>
      <c r="H12" s="52">
        <v>0</v>
      </c>
      <c r="J12" t="s">
        <v>59</v>
      </c>
      <c r="K12" s="40">
        <v>0</v>
      </c>
      <c r="L12" s="41">
        <v>1</v>
      </c>
      <c r="M12" s="41" t="s">
        <v>54</v>
      </c>
      <c r="N12" s="42">
        <f>H9</f>
        <v>12.2</v>
      </c>
      <c r="O12" s="43" t="s">
        <v>45</v>
      </c>
      <c r="P12" s="30">
        <f t="shared" si="0"/>
        <v>5</v>
      </c>
      <c r="Q12" s="30">
        <f t="shared" si="1"/>
        <v>61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33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f>H10</f>
        <v>8.9</v>
      </c>
      <c r="O13" s="43" t="s">
        <v>50</v>
      </c>
      <c r="P13" s="30">
        <f t="shared" si="0"/>
        <v>5</v>
      </c>
      <c r="Q13" s="30">
        <f t="shared" si="1"/>
        <v>44.5</v>
      </c>
      <c r="R13" s="30">
        <f t="shared" si="2"/>
        <v>0</v>
      </c>
      <c r="S13" s="30">
        <f t="shared" si="3"/>
        <v>0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33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'Tabula data'!B14</f>
        <v>62</v>
      </c>
      <c r="O14" s="43"/>
      <c r="P14" s="30">
        <f t="shared" si="0"/>
        <v>2.5990099009900991</v>
      </c>
      <c r="Q14" s="30">
        <f t="shared" si="1"/>
        <v>161.13861386138615</v>
      </c>
      <c r="R14" s="30">
        <f t="shared" si="2"/>
        <v>27878176</v>
      </c>
      <c r="S14" s="30">
        <f t="shared" si="3"/>
        <v>449648</v>
      </c>
      <c r="T14" s="30">
        <f t="shared" si="4"/>
        <v>27878176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SUM(AD17:AD19)</f>
        <v>449880</v>
      </c>
      <c r="AG14" s="14"/>
    </row>
    <row r="15" spans="1:33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f>'Tabula data'!B7</f>
        <v>78.599999999999994</v>
      </c>
      <c r="O15" s="43"/>
      <c r="P15" s="30">
        <f t="shared" si="0"/>
        <v>1.6975498473547073</v>
      </c>
      <c r="Q15" s="30">
        <f t="shared" si="1"/>
        <v>133.42741800207997</v>
      </c>
      <c r="R15" s="30">
        <f t="shared" si="2"/>
        <v>6125298</v>
      </c>
      <c r="S15" s="30">
        <f t="shared" si="3"/>
        <v>77930</v>
      </c>
      <c r="T15" s="30">
        <f t="shared" si="4"/>
        <v>3319277.9999999995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33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'Tabula data'!B20</f>
        <v>9.5</v>
      </c>
      <c r="O16" s="43"/>
      <c r="P16" s="30">
        <f t="shared" si="0"/>
        <v>4</v>
      </c>
      <c r="Q16" s="30">
        <f t="shared" si="1"/>
        <v>38</v>
      </c>
      <c r="R16" s="30">
        <f t="shared" si="2"/>
        <v>346940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1.2783711615487316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v>0</v>
      </c>
      <c r="C18" s="7" t="s">
        <v>9</v>
      </c>
      <c r="D18" s="37" t="s">
        <v>74</v>
      </c>
      <c r="E18" s="24"/>
      <c r="F18" s="58">
        <f>B27/B24</f>
        <v>2.1476702508960575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v>0</v>
      </c>
      <c r="O18" s="43" t="s">
        <v>39</v>
      </c>
      <c r="P18" s="30">
        <f t="shared" si="0"/>
        <v>2.2022341505875525</v>
      </c>
      <c r="Q18" s="30">
        <f t="shared" si="1"/>
        <v>0</v>
      </c>
      <c r="R18" s="30">
        <f t="shared" si="2"/>
        <v>0</v>
      </c>
      <c r="S18" s="30" t="e">
        <f t="shared" si="3"/>
        <v>#DIV/0!</v>
      </c>
      <c r="T18" s="30">
        <f t="shared" si="4"/>
        <v>0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v>0</v>
      </c>
      <c r="C19" s="24"/>
      <c r="D19" s="37" t="s">
        <v>78</v>
      </c>
      <c r="E19" s="24"/>
      <c r="F19" s="58">
        <f>B27/B7</f>
        <v>2.1476702508960575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0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v>0</v>
      </c>
      <c r="O20" s="43" t="s">
        <v>50</v>
      </c>
      <c r="P20" s="30">
        <f t="shared" si="0"/>
        <v>2.2022341505875525</v>
      </c>
      <c r="Q20" s="30">
        <f t="shared" si="1"/>
        <v>0</v>
      </c>
      <c r="R20" s="30">
        <f t="shared" si="2"/>
        <v>0</v>
      </c>
      <c r="S20" s="30" t="e">
        <f t="shared" si="3"/>
        <v>#DIV/0!</v>
      </c>
      <c r="T20" s="30">
        <f t="shared" si="4"/>
        <v>0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0.14767025089605734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SUM(AD23:AD25)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0.14767025089605734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0</v>
      </c>
      <c r="O22" s="43" t="s">
        <v>39</v>
      </c>
      <c r="P22" s="30">
        <f t="shared" si="0"/>
        <v>5</v>
      </c>
      <c r="Q22" s="30">
        <f t="shared" si="1"/>
        <v>0</v>
      </c>
      <c r="R22" s="30">
        <f t="shared" si="2"/>
        <v>0</v>
      </c>
      <c r="S22" s="30" t="e">
        <f t="shared" si="3"/>
        <v>#DIV/0!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6.875834445927903E-2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279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</v>
      </c>
      <c r="C25" s="24"/>
      <c r="D25" s="23" t="s">
        <v>95</v>
      </c>
      <c r="E25" s="24"/>
      <c r="F25" s="63">
        <f>B9/B7</f>
        <v>0.4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v>0</v>
      </c>
      <c r="O25" s="43" t="s">
        <v>97</v>
      </c>
      <c r="P25" s="30">
        <f t="shared" si="0"/>
        <v>1.6975498473547073</v>
      </c>
      <c r="Q25" s="30">
        <f t="shared" si="1"/>
        <v>0</v>
      </c>
      <c r="R25" s="30">
        <f t="shared" si="2"/>
        <v>0</v>
      </c>
      <c r="S25" s="30" t="e">
        <f t="shared" si="3"/>
        <v>#DIV/0!</v>
      </c>
      <c r="T25" s="30">
        <f t="shared" si="4"/>
        <v>0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'Tabula data'!B4-'Tabula data'!B14</f>
        <v>106.30000000000001</v>
      </c>
      <c r="O26" s="43"/>
      <c r="P26" s="30">
        <f t="shared" si="0"/>
        <v>2.0224719101123596</v>
      </c>
      <c r="Q26" s="30">
        <f t="shared" si="1"/>
        <v>214.98876404494385</v>
      </c>
      <c r="R26" s="30">
        <f t="shared" si="2"/>
        <v>17891353.000000004</v>
      </c>
      <c r="S26" s="30">
        <f t="shared" si="3"/>
        <v>168310.00000000003</v>
      </c>
      <c r="T26" s="30">
        <f t="shared" si="4"/>
        <v>17891353.000000004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v>599.20000000000005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SUM(N6:N9)</f>
        <v>82.6</v>
      </c>
      <c r="O27" s="43"/>
      <c r="P27" s="30">
        <f t="shared" si="0"/>
        <v>1.9926199261992623</v>
      </c>
      <c r="Q27" s="30">
        <f t="shared" si="1"/>
        <v>164.59040590405905</v>
      </c>
      <c r="R27" s="30">
        <f t="shared" si="2"/>
        <v>12419736</v>
      </c>
      <c r="S27" s="30">
        <f t="shared" si="3"/>
        <v>150360</v>
      </c>
      <c r="T27" s="30">
        <f t="shared" si="4"/>
        <v>12419736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2.0224719101123596</v>
      </c>
      <c r="AA27" s="17" t="s">
        <v>5</v>
      </c>
      <c r="AB27" s="17"/>
      <c r="AC27" s="17" t="s">
        <v>22</v>
      </c>
      <c r="AD27" s="20">
        <f>SUM(AD29:AD33)</f>
        <v>168310</v>
      </c>
      <c r="AE27" s="14" t="s">
        <v>23</v>
      </c>
      <c r="AF27" s="14">
        <f>SUM(AD29:AD32)</f>
        <v>168310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v>0</v>
      </c>
      <c r="O28" s="43"/>
      <c r="P28" s="30">
        <f t="shared" si="0"/>
        <v>1.9926199261992623</v>
      </c>
      <c r="Q28" s="30">
        <f t="shared" si="1"/>
        <v>0</v>
      </c>
      <c r="R28" s="30">
        <f t="shared" si="2"/>
        <v>0</v>
      </c>
      <c r="S28" s="30" t="e">
        <f t="shared" si="3"/>
        <v>#DIV/0!</v>
      </c>
      <c r="T28" s="30">
        <f t="shared" si="4"/>
        <v>0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0.9</v>
      </c>
      <c r="AA29" s="47">
        <v>1950</v>
      </c>
      <c r="AB29" s="47">
        <v>840</v>
      </c>
      <c r="AC29" s="67">
        <f>Y29/Z29</f>
        <v>2.2222222222222223E-2</v>
      </c>
      <c r="AD29" s="68">
        <f>Y29*AA29*AB29</f>
        <v>32760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70">
        <f>SUM(Q4:Q28)</f>
        <v>1100.049742651001</v>
      </c>
      <c r="R31" s="69" t="s">
        <v>107</v>
      </c>
      <c r="W31" s="23"/>
      <c r="X31" s="24" t="s">
        <v>108</v>
      </c>
      <c r="Y31" s="24">
        <v>0.02</v>
      </c>
      <c r="Z31" s="24">
        <v>0.9</v>
      </c>
      <c r="AA31" s="24">
        <v>1950</v>
      </c>
      <c r="AB31" s="24">
        <v>840</v>
      </c>
      <c r="AC31" s="44">
        <f>Y31/Z31</f>
        <v>2.2222222222222223E-2</v>
      </c>
      <c r="AD31" s="25">
        <f>Y31*AA31*AB31</f>
        <v>32760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317" t="s">
        <v>112</v>
      </c>
      <c r="F34" s="317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3.2*G35</f>
        <v>535.67999999999995</v>
      </c>
      <c r="C35" s="73"/>
      <c r="D35" s="73" t="s">
        <v>42</v>
      </c>
      <c r="E35" s="318">
        <v>21</v>
      </c>
      <c r="F35" s="318"/>
      <c r="G35" s="76">
        <f>VLOOKUP(D35,A7:B23,2,0)</f>
        <v>167.39999999999998</v>
      </c>
      <c r="K35"/>
      <c r="L35"/>
      <c r="M35" t="s">
        <v>114</v>
      </c>
      <c r="N35" s="3">
        <f>SUM(Q6:Q9,Q15)</f>
        <v>315.33195884061183</v>
      </c>
      <c r="O35" s="3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2.2*G36</f>
        <v>245.52000000000004</v>
      </c>
      <c r="C36" s="73"/>
      <c r="D36" s="73" t="s">
        <v>116</v>
      </c>
      <c r="E36" s="77">
        <v>16</v>
      </c>
      <c r="F36" s="77"/>
      <c r="G36" s="76">
        <f>VLOOKUP(D36,A8:B24,2,0)</f>
        <v>111.60000000000001</v>
      </c>
      <c r="K36"/>
      <c r="L36"/>
      <c r="M36" t="s">
        <v>117</v>
      </c>
      <c r="N36" s="3">
        <f>SUM(Q10:Q13)</f>
        <v>206</v>
      </c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0</v>
      </c>
      <c r="C37" s="73"/>
      <c r="D37" s="73" t="s">
        <v>118</v>
      </c>
      <c r="E37" s="319" t="s">
        <v>119</v>
      </c>
      <c r="F37" s="319"/>
      <c r="G37" s="76">
        <f>B18</f>
        <v>0</v>
      </c>
      <c r="K37"/>
      <c r="L37"/>
      <c r="M37" t="s">
        <v>120</v>
      </c>
      <c r="N37" s="3">
        <f>'Verwarming Tabula'!B60</f>
        <v>138.03320000000002</v>
      </c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N38" s="3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 t="s">
        <v>122</v>
      </c>
      <c r="N39" s="3">
        <f>B5*1.204*1012*5/1000000</f>
        <v>4.6666558399999998</v>
      </c>
      <c r="O39" t="s">
        <v>123</v>
      </c>
      <c r="Q39"/>
      <c r="AE39" s="14"/>
      <c r="AF39" s="14"/>
      <c r="AG39" s="14"/>
    </row>
    <row r="40" spans="1:33" ht="15" customHeight="1" x14ac:dyDescent="0.25">
      <c r="K40"/>
      <c r="L40"/>
      <c r="M40" t="s">
        <v>124</v>
      </c>
      <c r="N40" s="3">
        <f>SUM(R6:R9,R15)/1000000</f>
        <v>43.285386000000003</v>
      </c>
      <c r="O40" t="s">
        <v>125</v>
      </c>
      <c r="P40" s="3">
        <f>SUM(T6:T9,T15)/1000000</f>
        <v>40.479365999999999</v>
      </c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SUM(AD42:AD45)</f>
        <v>449648</v>
      </c>
      <c r="AG40" s="14"/>
    </row>
    <row r="41" spans="1:33" ht="15" customHeight="1" x14ac:dyDescent="0.25">
      <c r="K41"/>
      <c r="L41"/>
      <c r="M41" t="s">
        <v>126</v>
      </c>
      <c r="N41" s="3">
        <f>SUM(R26:R27)/1000000</f>
        <v>30.311089000000003</v>
      </c>
      <c r="O41" t="s">
        <v>125</v>
      </c>
      <c r="P41" s="3">
        <f>SUM(T26:T27)/1000000</f>
        <v>30.311089000000003</v>
      </c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 t="s">
        <v>127</v>
      </c>
      <c r="N42" s="3">
        <f>R14/1000000</f>
        <v>27.878176</v>
      </c>
      <c r="P42" s="3">
        <f>T14/1000000</f>
        <v>27.878176</v>
      </c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126"/>
  <sheetViews>
    <sheetView tabSelected="1" topLeftCell="BW28" zoomScale="70" zoomScaleNormal="70" workbookViewId="0">
      <selection activeCell="DC5" sqref="DC5:DH80"/>
    </sheetView>
  </sheetViews>
  <sheetFormatPr defaultRowHeight="16.5" thickTop="1" thickBottom="1" x14ac:dyDescent="0.3"/>
  <cols>
    <col min="1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3"/>
    <col min="19" max="21" width="9.140625" style="81"/>
    <col min="22" max="22" width="9.140625" style="1"/>
    <col min="23" max="35" width="9.140625" style="81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55" max="55" width="9.140625" style="81"/>
    <col min="56" max="56" width="16.42578125" style="81" customWidth="1"/>
    <col min="57" max="65" width="9.140625" style="81"/>
    <col min="66" max="66" width="15.7109375" style="81" bestFit="1" customWidth="1"/>
    <col min="67" max="67" width="9.140625" style="81"/>
    <col min="68" max="68" width="9.140625" style="171"/>
    <col min="69" max="80" width="9.140625" style="81"/>
    <col min="81" max="81" width="15.7109375" style="81" bestFit="1" customWidth="1"/>
    <col min="82" max="87" width="9.140625" style="81"/>
    <col min="88" max="88" width="10.28515625" style="81" bestFit="1" customWidth="1"/>
    <col min="89" max="91" width="9" style="81" bestFit="1" customWidth="1"/>
    <col min="92" max="93" width="9.140625" style="81"/>
    <col min="94" max="94" width="16" style="258" bestFit="1" customWidth="1"/>
    <col min="95" max="95" width="12.28515625" style="258" bestFit="1" customWidth="1"/>
    <col min="96" max="96" width="23.5703125" style="258" bestFit="1" customWidth="1"/>
    <col min="97" max="97" width="9" style="258" bestFit="1" customWidth="1"/>
    <col min="98" max="99" width="8.42578125" style="258" bestFit="1" customWidth="1"/>
    <col min="100" max="100" width="8.42578125" style="81" bestFit="1" customWidth="1"/>
    <col min="101" max="101" width="5.28515625" style="81" bestFit="1" customWidth="1"/>
    <col min="102" max="102" width="18" style="260" customWidth="1"/>
    <col min="103" max="103" width="10" style="260" customWidth="1"/>
    <col min="104" max="104" width="2.7109375" style="260" customWidth="1"/>
    <col min="105" max="105" width="11" style="260" bestFit="1" customWidth="1"/>
    <col min="106" max="106" width="2.28515625" style="260" bestFit="1" customWidth="1"/>
    <col min="107" max="107" width="9.140625" style="81"/>
    <col min="108" max="110" width="9.140625" style="170"/>
    <col min="111" max="111" width="19.85546875" style="170" bestFit="1" customWidth="1"/>
    <col min="112" max="112" width="9.140625" style="170"/>
    <col min="113" max="16384" width="9.140625" style="81"/>
  </cols>
  <sheetData>
    <row r="1" spans="1:112" ht="20.25" customHeight="1" thickTop="1" thickBot="1" x14ac:dyDescent="0.35">
      <c r="A1" s="320" t="s">
        <v>312</v>
      </c>
      <c r="B1" s="320"/>
      <c r="C1" s="320"/>
      <c r="D1" s="320"/>
      <c r="E1" s="320"/>
      <c r="F1" s="320"/>
      <c r="G1" s="320"/>
      <c r="AO1" s="160" t="s">
        <v>314</v>
      </c>
      <c r="BC1" s="81" t="s">
        <v>378</v>
      </c>
      <c r="BQ1" s="81" t="s">
        <v>432</v>
      </c>
    </row>
    <row r="2" spans="1:112" thickTop="1" thickBot="1" x14ac:dyDescent="0.3">
      <c r="AO2" s="81" t="s">
        <v>315</v>
      </c>
      <c r="CJ2" s="81" t="s">
        <v>316</v>
      </c>
      <c r="CK2" s="79" t="s">
        <v>438</v>
      </c>
      <c r="CL2" s="79" t="s">
        <v>439</v>
      </c>
      <c r="CM2" s="79" t="s">
        <v>440</v>
      </c>
      <c r="CP2" s="258" t="s">
        <v>441</v>
      </c>
    </row>
    <row r="3" spans="1:112" thickTop="1" thickBot="1" x14ac:dyDescent="0.3">
      <c r="A3" s="323" t="s">
        <v>1</v>
      </c>
      <c r="B3" s="324"/>
      <c r="C3" s="324"/>
      <c r="D3" s="324"/>
      <c r="E3" s="324"/>
      <c r="F3" s="324"/>
      <c r="G3" s="324"/>
      <c r="H3" s="325"/>
      <c r="I3" s="298"/>
      <c r="K3" s="317" t="s">
        <v>2</v>
      </c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4"/>
      <c r="W3" s="317" t="s">
        <v>3</v>
      </c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O3" s="163" t="s">
        <v>316</v>
      </c>
      <c r="AP3" s="164" t="s">
        <v>317</v>
      </c>
      <c r="AQ3" s="164"/>
      <c r="AR3" s="165"/>
      <c r="AS3" s="165"/>
      <c r="AT3" s="165"/>
      <c r="AV3" s="166" t="s">
        <v>318</v>
      </c>
      <c r="BC3" s="172"/>
      <c r="BD3" s="172" t="s">
        <v>379</v>
      </c>
      <c r="BE3" s="172"/>
      <c r="BF3" s="172"/>
      <c r="BJ3" s="173" t="s">
        <v>318</v>
      </c>
      <c r="BK3" s="173"/>
      <c r="BL3" s="173"/>
      <c r="BM3" s="173"/>
      <c r="BN3" s="174"/>
      <c r="BO3" s="173"/>
      <c r="BQ3" s="81" t="s">
        <v>433</v>
      </c>
      <c r="BR3" s="81" t="s">
        <v>379</v>
      </c>
      <c r="CJ3" s="81" t="s">
        <v>321</v>
      </c>
      <c r="CK3" s="254">
        <f>AZ4</f>
        <v>8.0492893638779733E-2</v>
      </c>
      <c r="CL3" s="254">
        <f>BN4</f>
        <v>0.16</v>
      </c>
      <c r="CM3" s="254">
        <f>CC6</f>
        <v>0.19</v>
      </c>
      <c r="CX3" s="260" t="s">
        <v>466</v>
      </c>
      <c r="DD3" s="260" t="s">
        <v>518</v>
      </c>
    </row>
    <row r="4" spans="1:112" ht="15.75" customHeight="1" thickTop="1" thickBot="1" x14ac:dyDescent="0.3">
      <c r="A4" s="182" t="s">
        <v>6</v>
      </c>
      <c r="B4" s="183">
        <f>'Tabula data'!B5</f>
        <v>462.8</v>
      </c>
      <c r="C4" s="183" t="s">
        <v>7</v>
      </c>
      <c r="D4" s="182" t="s">
        <v>8</v>
      </c>
      <c r="E4" s="183"/>
      <c r="F4" s="183"/>
      <c r="G4" s="184">
        <f>SUM(H6:H13)</f>
        <v>24.4</v>
      </c>
      <c r="H4" s="185" t="s">
        <v>9</v>
      </c>
      <c r="I4" s="193"/>
      <c r="L4" s="326" t="s">
        <v>2</v>
      </c>
      <c r="M4" s="327"/>
      <c r="N4" s="327"/>
      <c r="O4" s="327"/>
      <c r="P4" s="328"/>
      <c r="X4" s="226"/>
      <c r="Y4" s="226"/>
      <c r="Z4" s="227" t="s">
        <v>4</v>
      </c>
      <c r="AA4" s="227">
        <v>0.85</v>
      </c>
      <c r="AB4" s="227" t="s">
        <v>5</v>
      </c>
      <c r="AC4" s="226"/>
      <c r="AD4" s="226"/>
      <c r="AE4" s="226"/>
      <c r="AM4" s="159" t="s">
        <v>319</v>
      </c>
      <c r="AN4" s="81" t="s">
        <v>320</v>
      </c>
      <c r="AO4" s="81" t="s">
        <v>321</v>
      </c>
      <c r="AP4" s="81">
        <f>SUM(O6:O9)/(SUM($O$6:$O$14,$O$26,O30)+2*SUM($O$27))</f>
        <v>8.0492893638779733E-2</v>
      </c>
      <c r="AQ4" s="81" t="s">
        <v>322</v>
      </c>
      <c r="AR4" s="167">
        <v>0.1641929</v>
      </c>
      <c r="AV4" s="168" t="s">
        <v>319</v>
      </c>
      <c r="AW4" s="168" t="s">
        <v>320</v>
      </c>
      <c r="AX4" s="168" t="s">
        <v>321</v>
      </c>
      <c r="AY4" s="169" t="s">
        <v>323</v>
      </c>
      <c r="AZ4" s="162">
        <f>AP4</f>
        <v>8.0492893638779733E-2</v>
      </c>
      <c r="BA4" s="168" t="s">
        <v>322</v>
      </c>
      <c r="BC4" s="81" t="s">
        <v>380</v>
      </c>
      <c r="BJ4" s="175" t="s">
        <v>319</v>
      </c>
      <c r="BK4" s="175" t="s">
        <v>320</v>
      </c>
      <c r="BL4" s="175" t="s">
        <v>321</v>
      </c>
      <c r="BM4" s="175" t="s">
        <v>323</v>
      </c>
      <c r="BN4" s="174">
        <f>BD11</f>
        <v>0.16</v>
      </c>
      <c r="BO4" s="175" t="s">
        <v>322</v>
      </c>
      <c r="BQ4" s="81" t="s">
        <v>380</v>
      </c>
      <c r="CJ4" s="81" t="s">
        <v>324</v>
      </c>
      <c r="CK4" s="254">
        <f>AZ5</f>
        <v>0.55922140482267801</v>
      </c>
      <c r="CL4" s="254">
        <f>BN5</f>
        <v>0.318</v>
      </c>
      <c r="CM4" s="254">
        <f>CC7</f>
        <v>0.38</v>
      </c>
      <c r="CP4" s="258" t="s">
        <v>442</v>
      </c>
      <c r="CQ4" s="258" t="s">
        <v>433</v>
      </c>
      <c r="CR4" s="258" t="s">
        <v>443</v>
      </c>
    </row>
    <row r="5" spans="1:112" ht="15" customHeight="1" thickTop="1" thickBot="1" x14ac:dyDescent="0.3">
      <c r="A5" s="186"/>
      <c r="B5" s="187"/>
      <c r="C5" s="187"/>
      <c r="D5" s="188"/>
      <c r="E5" s="189"/>
      <c r="F5" s="189"/>
      <c r="G5" s="189"/>
      <c r="H5" s="190"/>
      <c r="I5" s="189"/>
      <c r="K5" s="81" t="s">
        <v>10</v>
      </c>
      <c r="L5" s="211" t="s">
        <v>11</v>
      </c>
      <c r="M5" s="212" t="s">
        <v>12</v>
      </c>
      <c r="N5" s="212" t="s">
        <v>13</v>
      </c>
      <c r="O5" s="212" t="s">
        <v>14</v>
      </c>
      <c r="P5" s="21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8" t="s">
        <v>20</v>
      </c>
      <c r="Y5" s="229"/>
      <c r="Z5" s="230" t="s">
        <v>21</v>
      </c>
      <c r="AA5" s="231">
        <f>1/(1/10+SUM(AD9:AD12)+1/23)</f>
        <v>0.3127301569316186</v>
      </c>
      <c r="AB5" s="229" t="s">
        <v>5</v>
      </c>
      <c r="AC5" s="229"/>
      <c r="AD5" s="229" t="s">
        <v>22</v>
      </c>
      <c r="AE5" s="232">
        <f>SUM(AE7:AE10)</f>
        <v>56952</v>
      </c>
      <c r="AF5" s="14" t="s">
        <v>23</v>
      </c>
      <c r="AG5" s="14">
        <f>AE10</f>
        <v>16380</v>
      </c>
      <c r="AH5" s="14"/>
      <c r="AM5" s="159" t="s">
        <v>319</v>
      </c>
      <c r="AN5" s="81" t="s">
        <v>320</v>
      </c>
      <c r="AO5" s="81" t="s">
        <v>324</v>
      </c>
      <c r="AP5" s="81">
        <f>(2*O27+O30)/(SUM($O$6:$O$14,$O$26,O30)+2*SUM($O$27))</f>
        <v>0.55922140482267801</v>
      </c>
      <c r="AQ5" s="81" t="s">
        <v>322</v>
      </c>
      <c r="AR5" s="167">
        <v>0.42146270000000002</v>
      </c>
      <c r="AV5" s="168" t="s">
        <v>319</v>
      </c>
      <c r="AW5" s="168" t="s">
        <v>320</v>
      </c>
      <c r="AX5" s="168" t="s">
        <v>324</v>
      </c>
      <c r="AY5" s="169" t="s">
        <v>323</v>
      </c>
      <c r="AZ5" s="162">
        <f t="shared" ref="AZ5:AZ7" si="0">AP5</f>
        <v>0.55922140482267801</v>
      </c>
      <c r="BA5" s="168" t="s">
        <v>322</v>
      </c>
      <c r="BC5" s="81" t="s">
        <v>381</v>
      </c>
      <c r="BD5" s="81" t="s">
        <v>382</v>
      </c>
      <c r="BE5" s="81" t="s">
        <v>383</v>
      </c>
      <c r="BF5" s="81" t="s">
        <v>384</v>
      </c>
      <c r="BG5" s="81" t="s">
        <v>385</v>
      </c>
      <c r="BJ5" s="175" t="s">
        <v>319</v>
      </c>
      <c r="BK5" s="175" t="s">
        <v>320</v>
      </c>
      <c r="BL5" s="175" t="s">
        <v>324</v>
      </c>
      <c r="BM5" s="175" t="s">
        <v>323</v>
      </c>
      <c r="BN5" s="174">
        <f>BD12</f>
        <v>0.318</v>
      </c>
      <c r="BO5" s="175" t="s">
        <v>322</v>
      </c>
      <c r="BQ5" s="81" t="s">
        <v>381</v>
      </c>
      <c r="BR5" s="81" t="s">
        <v>382</v>
      </c>
      <c r="BS5" s="81" t="s">
        <v>383</v>
      </c>
      <c r="BT5" s="81" t="s">
        <v>384</v>
      </c>
      <c r="BU5" s="81" t="s">
        <v>385</v>
      </c>
      <c r="BV5" s="81" t="s">
        <v>386</v>
      </c>
      <c r="BY5" s="176" t="s">
        <v>318</v>
      </c>
      <c r="BZ5" s="176"/>
      <c r="CA5" s="176"/>
      <c r="CB5" s="176"/>
      <c r="CC5" s="177"/>
      <c r="CD5" s="176"/>
      <c r="CJ5" s="81" t="s">
        <v>325</v>
      </c>
      <c r="CK5" s="254">
        <f>AZ6</f>
        <v>3.2272287509326106E-2</v>
      </c>
      <c r="CL5" s="254">
        <f>BN6</f>
        <v>0.26200000000000001</v>
      </c>
      <c r="CM5" s="254">
        <f>CC8</f>
        <v>5.0500000000000003E-2</v>
      </c>
      <c r="CP5" s="258" t="s">
        <v>442</v>
      </c>
      <c r="CQ5" s="258" t="s">
        <v>380</v>
      </c>
      <c r="CX5" s="260" t="s">
        <v>467</v>
      </c>
      <c r="CY5" s="261" t="s">
        <v>468</v>
      </c>
      <c r="CZ5" s="261" t="s">
        <v>323</v>
      </c>
      <c r="DA5" s="262">
        <f>CR12</f>
        <v>0.128</v>
      </c>
      <c r="DB5" s="260" t="s">
        <v>322</v>
      </c>
      <c r="DD5" s="170" t="s">
        <v>467</v>
      </c>
      <c r="DE5" s="291" t="s">
        <v>468</v>
      </c>
      <c r="DF5" s="291" t="s">
        <v>323</v>
      </c>
      <c r="DG5" s="170">
        <f>O11*Z37*AP4</f>
        <v>0.11916972903221339</v>
      </c>
      <c r="DH5" s="170" t="s">
        <v>322</v>
      </c>
    </row>
    <row r="6" spans="1:112" ht="15" customHeight="1" thickTop="1" thickBot="1" x14ac:dyDescent="0.3">
      <c r="A6" s="191" t="s">
        <v>34</v>
      </c>
      <c r="B6" s="192">
        <f>'Tabula data'!B4</f>
        <v>168.3</v>
      </c>
      <c r="C6" s="193" t="s">
        <v>9</v>
      </c>
      <c r="D6" s="194" t="s">
        <v>35</v>
      </c>
      <c r="E6" s="189" t="s">
        <v>36</v>
      </c>
      <c r="F6" s="195">
        <f t="shared" ref="F6:F13" si="1">H6/$G$4</f>
        <v>0.11680327868852459</v>
      </c>
      <c r="G6" s="189"/>
      <c r="H6" s="196">
        <f>'Tabula data'!B21*'Tabula RefULG 2'!C45</f>
        <v>2.85</v>
      </c>
      <c r="I6" s="208"/>
      <c r="K6" s="81" t="s">
        <v>24</v>
      </c>
      <c r="L6" s="214">
        <v>0</v>
      </c>
      <c r="M6" s="215">
        <v>1</v>
      </c>
      <c r="N6" s="215" t="s">
        <v>25</v>
      </c>
      <c r="O6" s="216">
        <f>'Tabula data'!B10*C42/2*C43</f>
        <v>15.214497920380273</v>
      </c>
      <c r="P6" s="217" t="s">
        <v>26</v>
      </c>
      <c r="Q6" s="30">
        <f t="shared" ref="Q6:Q27" si="2">VLOOKUP(N6,$X$5:$AA$391,4,0)</f>
        <v>0.31684206193169995</v>
      </c>
      <c r="R6" s="30">
        <f t="shared" ref="R6:R27" si="3">Q6*O6</f>
        <v>4.8205928923488468</v>
      </c>
      <c r="S6" s="30">
        <f t="shared" ref="S6:S14" si="4">VLOOKUP(N6,$X$5:$AE$391,8,0)*O6</f>
        <v>5160396.3502673795</v>
      </c>
      <c r="T6" s="30">
        <f t="shared" ref="T6:T14" si="5">S6/O6</f>
        <v>339176.25</v>
      </c>
      <c r="U6" s="30">
        <f t="shared" ref="U6:U14" si="6">VLOOKUP(N6,$X$5:$AG$391,10,0)*O6</f>
        <v>2754128.4135472374</v>
      </c>
      <c r="V6" s="31"/>
      <c r="W6" s="153"/>
      <c r="X6" s="233"/>
      <c r="Y6" s="234" t="s">
        <v>27</v>
      </c>
      <c r="Z6" s="234" t="s">
        <v>28</v>
      </c>
      <c r="AA6" s="234" t="s">
        <v>29</v>
      </c>
      <c r="AB6" s="234" t="s">
        <v>30</v>
      </c>
      <c r="AC6" s="234" t="s">
        <v>31</v>
      </c>
      <c r="AD6" s="234" t="s">
        <v>32</v>
      </c>
      <c r="AE6" s="235" t="s">
        <v>33</v>
      </c>
      <c r="AF6" s="14"/>
      <c r="AG6" s="14"/>
      <c r="AH6" s="14"/>
      <c r="AM6" s="159" t="s">
        <v>319</v>
      </c>
      <c r="AN6" s="81" t="s">
        <v>320</v>
      </c>
      <c r="AO6" s="81" t="s">
        <v>325</v>
      </c>
      <c r="AP6" s="81">
        <f>SUM(O10:O13)/(SUM($O$6:$O$14,$O$26,O30)+2*SUM($O$27))</f>
        <v>3.2272287509326106E-2</v>
      </c>
      <c r="AQ6" s="81" t="s">
        <v>322</v>
      </c>
      <c r="AR6" s="167">
        <v>0.13510150000000001</v>
      </c>
      <c r="AV6" s="168" t="s">
        <v>319</v>
      </c>
      <c r="AW6" s="168" t="s">
        <v>320</v>
      </c>
      <c r="AX6" s="168" t="s">
        <v>325</v>
      </c>
      <c r="AY6" s="169" t="s">
        <v>323</v>
      </c>
      <c r="AZ6" s="162">
        <f t="shared" si="0"/>
        <v>3.2272287509326106E-2</v>
      </c>
      <c r="BA6" s="168" t="s">
        <v>322</v>
      </c>
      <c r="BC6" s="81" t="s">
        <v>387</v>
      </c>
      <c r="BD6" s="167">
        <v>299</v>
      </c>
      <c r="BE6" s="167">
        <v>9.6299999999999997E-2</v>
      </c>
      <c r="BF6" s="81">
        <v>3101.23</v>
      </c>
      <c r="BG6" s="81" t="s">
        <v>388</v>
      </c>
      <c r="BJ6" s="175" t="s">
        <v>319</v>
      </c>
      <c r="BK6" s="175" t="s">
        <v>320</v>
      </c>
      <c r="BL6" s="175" t="s">
        <v>325</v>
      </c>
      <c r="BM6" s="175" t="s">
        <v>323</v>
      </c>
      <c r="BN6" s="174">
        <f>BD13</f>
        <v>0.26200000000000001</v>
      </c>
      <c r="BO6" s="175" t="s">
        <v>322</v>
      </c>
      <c r="BQ6" s="81" t="s">
        <v>387</v>
      </c>
      <c r="BR6" s="167">
        <v>291</v>
      </c>
      <c r="BS6" s="167">
        <v>0.14199999999999999</v>
      </c>
      <c r="BT6" s="81">
        <v>2053.1799999999998</v>
      </c>
      <c r="BU6" s="81" t="s">
        <v>422</v>
      </c>
      <c r="BV6" s="167">
        <v>2E-16</v>
      </c>
      <c r="BW6" s="81" t="s">
        <v>389</v>
      </c>
      <c r="BY6" s="178" t="s">
        <v>319</v>
      </c>
      <c r="BZ6" s="178" t="s">
        <v>320</v>
      </c>
      <c r="CA6" s="178" t="s">
        <v>321</v>
      </c>
      <c r="CB6" s="178" t="s">
        <v>323</v>
      </c>
      <c r="CC6" s="177">
        <f>BR11</f>
        <v>0.19</v>
      </c>
      <c r="CD6" s="178" t="s">
        <v>322</v>
      </c>
      <c r="CJ6" s="81" t="s">
        <v>326</v>
      </c>
      <c r="CK6" s="254">
        <f>AZ7</f>
        <v>0.16400670701460809</v>
      </c>
      <c r="CL6" s="254">
        <f>BN7</f>
        <v>0.156</v>
      </c>
      <c r="CM6" s="254">
        <f>CC9</f>
        <v>0.20300000000000001</v>
      </c>
      <c r="CP6" s="258" t="s">
        <v>442</v>
      </c>
      <c r="CQ6" s="258" t="s">
        <v>381</v>
      </c>
      <c r="CR6" s="258" t="s">
        <v>382</v>
      </c>
      <c r="CS6" s="258" t="s">
        <v>383</v>
      </c>
      <c r="CT6" s="258" t="s">
        <v>384</v>
      </c>
      <c r="CU6" s="258" t="s">
        <v>385</v>
      </c>
      <c r="CV6" s="81" t="s">
        <v>386</v>
      </c>
      <c r="CX6" s="260" t="s">
        <v>467</v>
      </c>
      <c r="CY6" s="261" t="s">
        <v>469</v>
      </c>
      <c r="CZ6" s="261" t="s">
        <v>323</v>
      </c>
      <c r="DA6" s="262">
        <f t="shared" ref="DA6:DA24" si="7">CR13</f>
        <v>0.13100000000000001</v>
      </c>
      <c r="DB6" s="260" t="s">
        <v>322</v>
      </c>
      <c r="DD6" s="170" t="s">
        <v>467</v>
      </c>
      <c r="DE6" s="291" t="s">
        <v>469</v>
      </c>
      <c r="DF6" s="291" t="s">
        <v>323</v>
      </c>
      <c r="DG6" s="170">
        <f>O10*Z37*AP4</f>
        <v>0.10782023102914545</v>
      </c>
      <c r="DH6" s="170" t="s">
        <v>322</v>
      </c>
    </row>
    <row r="7" spans="1:112" ht="15" customHeight="1" thickTop="1" thickBot="1" x14ac:dyDescent="0.3">
      <c r="A7" s="194" t="s">
        <v>42</v>
      </c>
      <c r="B7" s="197">
        <f>'Tabula data'!B14</f>
        <v>62</v>
      </c>
      <c r="C7" s="198" t="s">
        <v>9</v>
      </c>
      <c r="D7" s="194" t="s">
        <v>43</v>
      </c>
      <c r="E7" s="189" t="s">
        <v>36</v>
      </c>
      <c r="F7" s="195">
        <f t="shared" si="1"/>
        <v>0.12909836065573771</v>
      </c>
      <c r="G7" s="189"/>
      <c r="H7" s="196">
        <f>'Tabula data'!B22*'Tabula RefULG 2'!C45</f>
        <v>3.15</v>
      </c>
      <c r="I7" s="208"/>
      <c r="K7" s="81" t="s">
        <v>38</v>
      </c>
      <c r="L7" s="218">
        <v>0</v>
      </c>
      <c r="M7" s="219">
        <v>1</v>
      </c>
      <c r="N7" s="219" t="s">
        <v>25</v>
      </c>
      <c r="O7" s="220">
        <f>'Tabula data'!B10*(1-C42)/2*C44</f>
        <v>0</v>
      </c>
      <c r="P7" s="221" t="s">
        <v>39</v>
      </c>
      <c r="Q7" s="30">
        <f t="shared" si="2"/>
        <v>0.31684206193169995</v>
      </c>
      <c r="R7" s="30">
        <f t="shared" si="3"/>
        <v>0</v>
      </c>
      <c r="S7" s="30">
        <f t="shared" si="4"/>
        <v>0</v>
      </c>
      <c r="T7" s="30" t="e">
        <f t="shared" si="5"/>
        <v>#DIV/0!</v>
      </c>
      <c r="U7" s="30">
        <f t="shared" si="6"/>
        <v>0</v>
      </c>
      <c r="V7" s="31"/>
      <c r="W7" s="153"/>
      <c r="X7" s="188"/>
      <c r="Y7" s="189" t="s">
        <v>40</v>
      </c>
      <c r="Z7" s="189">
        <v>2.5000000000000001E-2</v>
      </c>
      <c r="AA7" s="189">
        <v>1.3</v>
      </c>
      <c r="AB7" s="189">
        <v>1700</v>
      </c>
      <c r="AC7" s="189">
        <v>840</v>
      </c>
      <c r="AD7" s="236">
        <f>Z7/AA7</f>
        <v>1.9230769230769232E-2</v>
      </c>
      <c r="AE7" s="190">
        <f>Z7*AB7*AC7</f>
        <v>35700</v>
      </c>
      <c r="AF7" s="14" t="s">
        <v>41</v>
      </c>
      <c r="AG7" s="14"/>
      <c r="AH7" s="14"/>
      <c r="AM7" s="159" t="s">
        <v>319</v>
      </c>
      <c r="AN7" s="81" t="s">
        <v>320</v>
      </c>
      <c r="AO7" s="81" t="s">
        <v>326</v>
      </c>
      <c r="AP7" s="81">
        <f>SUM(O14)/(SUM($O$6:$O$14,$O$26,O30)+2*SUM($O$27))</f>
        <v>0.16400670701460809</v>
      </c>
      <c r="AQ7" s="81" t="s">
        <v>322</v>
      </c>
      <c r="AR7" s="167">
        <v>0.161666</v>
      </c>
      <c r="AV7" s="168" t="s">
        <v>319</v>
      </c>
      <c r="AW7" s="168" t="s">
        <v>320</v>
      </c>
      <c r="AX7" s="168" t="s">
        <v>326</v>
      </c>
      <c r="AY7" s="169" t="s">
        <v>323</v>
      </c>
      <c r="AZ7" s="162">
        <f t="shared" si="0"/>
        <v>0.16400670701460809</v>
      </c>
      <c r="BA7" s="168" t="s">
        <v>322</v>
      </c>
      <c r="BC7" s="81" t="s">
        <v>390</v>
      </c>
      <c r="BD7" s="167">
        <v>295</v>
      </c>
      <c r="BE7" s="167">
        <v>4.9200000000000001E-2</v>
      </c>
      <c r="BF7" s="81">
        <v>5996.7</v>
      </c>
      <c r="BG7" s="81" t="s">
        <v>388</v>
      </c>
      <c r="BJ7" s="175" t="s">
        <v>319</v>
      </c>
      <c r="BK7" s="175" t="s">
        <v>320</v>
      </c>
      <c r="BL7" s="175" t="s">
        <v>326</v>
      </c>
      <c r="BM7" s="175" t="s">
        <v>323</v>
      </c>
      <c r="BN7" s="174">
        <f>BD14</f>
        <v>0.156</v>
      </c>
      <c r="BO7" s="175" t="s">
        <v>322</v>
      </c>
      <c r="BQ7" s="81" t="s">
        <v>390</v>
      </c>
      <c r="BR7" s="167">
        <v>289</v>
      </c>
      <c r="BS7" s="167">
        <v>0.112</v>
      </c>
      <c r="BT7" s="81">
        <v>2573.84</v>
      </c>
      <c r="BU7" s="81" t="s">
        <v>422</v>
      </c>
      <c r="BV7" s="167">
        <v>2E-16</v>
      </c>
      <c r="BW7" s="81" t="s">
        <v>389</v>
      </c>
      <c r="BY7" s="178" t="s">
        <v>319</v>
      </c>
      <c r="BZ7" s="178" t="s">
        <v>320</v>
      </c>
      <c r="CA7" s="178" t="s">
        <v>324</v>
      </c>
      <c r="CB7" s="178" t="s">
        <v>323</v>
      </c>
      <c r="CC7" s="177">
        <f t="shared" ref="CC7:CC9" si="8">BR12</f>
        <v>0.38</v>
      </c>
      <c r="CD7" s="178" t="s">
        <v>322</v>
      </c>
      <c r="CK7" s="255"/>
      <c r="CL7" s="255"/>
      <c r="CM7" s="255"/>
      <c r="CP7" s="258" t="s">
        <v>442</v>
      </c>
      <c r="CQ7" s="258" t="s">
        <v>387</v>
      </c>
      <c r="CR7" s="259">
        <v>292</v>
      </c>
      <c r="CS7" s="259">
        <v>0.125</v>
      </c>
      <c r="CT7" s="258">
        <v>2332.5</v>
      </c>
      <c r="CU7" s="258" t="s">
        <v>422</v>
      </c>
      <c r="CV7" s="167">
        <v>2E-16</v>
      </c>
      <c r="CW7" s="81" t="s">
        <v>389</v>
      </c>
      <c r="CX7" s="260" t="s">
        <v>467</v>
      </c>
      <c r="CY7" s="263" t="s">
        <v>470</v>
      </c>
      <c r="CZ7" s="261" t="s">
        <v>323</v>
      </c>
      <c r="DA7" s="262">
        <f t="shared" si="7"/>
        <v>0.111</v>
      </c>
      <c r="DB7" s="260" t="s">
        <v>322</v>
      </c>
      <c r="DD7" s="170" t="s">
        <v>467</v>
      </c>
      <c r="DE7" s="292" t="s">
        <v>470</v>
      </c>
      <c r="DF7" s="291" t="s">
        <v>323</v>
      </c>
      <c r="DG7" s="170">
        <f>O12*Z37*AP4</f>
        <v>0.11160339703016811</v>
      </c>
      <c r="DH7" s="170" t="s">
        <v>322</v>
      </c>
    </row>
    <row r="8" spans="1:112" ht="15" customHeight="1" thickTop="1" thickBot="1" x14ac:dyDescent="0.3">
      <c r="A8" s="194" t="s">
        <v>47</v>
      </c>
      <c r="B8" s="197">
        <f>B6-B7</f>
        <v>106.30000000000001</v>
      </c>
      <c r="C8" s="189" t="s">
        <v>9</v>
      </c>
      <c r="D8" s="194" t="s">
        <v>48</v>
      </c>
      <c r="E8" s="189" t="s">
        <v>36</v>
      </c>
      <c r="F8" s="195">
        <f t="shared" si="1"/>
        <v>0.1209016393442623</v>
      </c>
      <c r="G8" s="189"/>
      <c r="H8" s="196">
        <f>'Tabula data'!B23*C45</f>
        <v>2.95</v>
      </c>
      <c r="I8" s="208"/>
      <c r="K8" s="81" t="s">
        <v>44</v>
      </c>
      <c r="L8" s="218">
        <v>0</v>
      </c>
      <c r="M8" s="219">
        <v>1</v>
      </c>
      <c r="N8" s="219" t="s">
        <v>25</v>
      </c>
      <c r="O8" s="220">
        <f>O6</f>
        <v>15.214497920380273</v>
      </c>
      <c r="P8" s="221" t="s">
        <v>45</v>
      </c>
      <c r="Q8" s="30">
        <f t="shared" si="2"/>
        <v>0.31684206193169995</v>
      </c>
      <c r="R8" s="30">
        <f t="shared" si="3"/>
        <v>4.8205928923488468</v>
      </c>
      <c r="S8" s="30">
        <f t="shared" si="4"/>
        <v>5160396.3502673795</v>
      </c>
      <c r="T8" s="30">
        <f t="shared" si="5"/>
        <v>339176.25</v>
      </c>
      <c r="U8" s="30">
        <f t="shared" si="6"/>
        <v>2754128.4135472374</v>
      </c>
      <c r="V8" s="31"/>
      <c r="W8" s="153"/>
      <c r="X8" s="188"/>
      <c r="Y8" s="189" t="s">
        <v>46</v>
      </c>
      <c r="Z8" s="189">
        <v>0.03</v>
      </c>
      <c r="AA8" s="189">
        <f>0.18/Z8</f>
        <v>6</v>
      </c>
      <c r="AB8" s="189">
        <v>0</v>
      </c>
      <c r="AC8" s="189">
        <v>0</v>
      </c>
      <c r="AD8" s="236">
        <v>0.18</v>
      </c>
      <c r="AE8" s="190">
        <f>Z8*AB8*AC8</f>
        <v>0</v>
      </c>
      <c r="AF8" s="14"/>
      <c r="AG8" s="14"/>
      <c r="AH8" s="14"/>
      <c r="AQ8" s="81" t="s">
        <v>322</v>
      </c>
      <c r="AR8" s="167"/>
      <c r="AV8" s="168"/>
      <c r="AW8" s="168"/>
      <c r="AX8" s="168"/>
      <c r="AY8" s="169"/>
      <c r="BA8" s="168"/>
      <c r="BC8" s="81" t="s">
        <v>391</v>
      </c>
      <c r="BD8" s="167">
        <v>299</v>
      </c>
      <c r="BE8" s="167">
        <v>2.6599999999999999E-2</v>
      </c>
      <c r="BF8" s="81">
        <v>11253.68</v>
      </c>
      <c r="BG8" s="81" t="s">
        <v>388</v>
      </c>
      <c r="BJ8" s="175"/>
      <c r="BK8" s="175"/>
      <c r="BL8" s="175"/>
      <c r="BM8" s="175"/>
      <c r="BN8" s="174"/>
      <c r="BO8" s="175"/>
      <c r="BQ8" s="81" t="s">
        <v>391</v>
      </c>
      <c r="BR8" s="167">
        <v>295</v>
      </c>
      <c r="BS8" s="167">
        <v>5.5100000000000003E-2</v>
      </c>
      <c r="BT8" s="81">
        <v>5345.13</v>
      </c>
      <c r="BU8" s="81" t="s">
        <v>422</v>
      </c>
      <c r="BV8" s="167">
        <v>2E-16</v>
      </c>
      <c r="BW8" s="81" t="s">
        <v>389</v>
      </c>
      <c r="BY8" s="178" t="s">
        <v>319</v>
      </c>
      <c r="BZ8" s="178" t="s">
        <v>320</v>
      </c>
      <c r="CA8" s="178" t="s">
        <v>325</v>
      </c>
      <c r="CB8" s="178" t="s">
        <v>323</v>
      </c>
      <c r="CC8" s="177">
        <f t="shared" si="8"/>
        <v>5.0500000000000003E-2</v>
      </c>
      <c r="CD8" s="178" t="s">
        <v>322</v>
      </c>
      <c r="CJ8" s="81" t="s">
        <v>327</v>
      </c>
      <c r="CK8" s="256">
        <f>AZ9</f>
        <v>897190.73464052298</v>
      </c>
      <c r="CL8" s="256">
        <f>BN9</f>
        <v>2950000</v>
      </c>
      <c r="CM8" s="256">
        <f>CC11</f>
        <v>3560000</v>
      </c>
      <c r="CP8" s="258" t="s">
        <v>442</v>
      </c>
      <c r="CQ8" s="258" t="s">
        <v>390</v>
      </c>
      <c r="CR8" s="259">
        <v>289</v>
      </c>
      <c r="CS8" s="259">
        <v>4.6899999999999997E-2</v>
      </c>
      <c r="CT8" s="258">
        <v>6173.53</v>
      </c>
      <c r="CU8" s="258" t="s">
        <v>422</v>
      </c>
      <c r="CV8" s="167">
        <v>2E-16</v>
      </c>
      <c r="CW8" s="81" t="s">
        <v>389</v>
      </c>
      <c r="CX8" s="260" t="s">
        <v>467</v>
      </c>
      <c r="CY8" s="264" t="s">
        <v>471</v>
      </c>
      <c r="CZ8" s="261" t="s">
        <v>323</v>
      </c>
      <c r="DA8" s="262">
        <f t="shared" si="7"/>
        <v>0.109</v>
      </c>
      <c r="DB8" s="260" t="s">
        <v>322</v>
      </c>
      <c r="DD8" s="170" t="s">
        <v>467</v>
      </c>
      <c r="DE8" s="293" t="s">
        <v>471</v>
      </c>
      <c r="DF8" s="291" t="s">
        <v>323</v>
      </c>
      <c r="DG8" s="170">
        <f>O13*Z37*AP4</f>
        <v>0.12295289503323603</v>
      </c>
      <c r="DH8" s="170" t="s">
        <v>322</v>
      </c>
    </row>
    <row r="9" spans="1:112" ht="15" customHeight="1" thickTop="1" thickBot="1" x14ac:dyDescent="0.3">
      <c r="A9" s="188"/>
      <c r="B9" s="189"/>
      <c r="C9" s="189"/>
      <c r="D9" s="194" t="s">
        <v>52</v>
      </c>
      <c r="E9" s="199" t="s">
        <v>36</v>
      </c>
      <c r="F9" s="195">
        <f t="shared" si="1"/>
        <v>0.13319672131147542</v>
      </c>
      <c r="G9" s="189"/>
      <c r="H9" s="196">
        <f>'Tabula data'!B24*'Tabula RefULG 2'!C45</f>
        <v>3.25</v>
      </c>
      <c r="I9" s="208"/>
      <c r="K9" s="81" t="s">
        <v>49</v>
      </c>
      <c r="L9" s="218">
        <v>0</v>
      </c>
      <c r="M9" s="219">
        <v>1</v>
      </c>
      <c r="N9" s="219" t="s">
        <v>25</v>
      </c>
      <c r="O9" s="220">
        <f>'Tabula data'!B10*(1-C42)/2*C44</f>
        <v>0</v>
      </c>
      <c r="P9" s="221" t="s">
        <v>50</v>
      </c>
      <c r="Q9" s="30">
        <f t="shared" si="2"/>
        <v>0.31684206193169995</v>
      </c>
      <c r="R9" s="30">
        <f t="shared" si="3"/>
        <v>0</v>
      </c>
      <c r="S9" s="30">
        <f t="shared" si="4"/>
        <v>0</v>
      </c>
      <c r="T9" s="30" t="e">
        <f t="shared" si="5"/>
        <v>#DIV/0!</v>
      </c>
      <c r="U9" s="30">
        <f t="shared" si="6"/>
        <v>0</v>
      </c>
      <c r="V9" s="31"/>
      <c r="W9" s="153"/>
      <c r="X9" s="188"/>
      <c r="Y9" s="199" t="s">
        <v>51</v>
      </c>
      <c r="Z9" s="286">
        <v>7.2499999999999995E-2</v>
      </c>
      <c r="AA9" s="286">
        <v>2.4E-2</v>
      </c>
      <c r="AB9" s="189">
        <v>80</v>
      </c>
      <c r="AC9" s="189">
        <v>840</v>
      </c>
      <c r="AD9" s="236">
        <f>Z9/AA9</f>
        <v>3.020833333333333</v>
      </c>
      <c r="AE9" s="190">
        <f>Z9*AB9*AC9</f>
        <v>4872</v>
      </c>
      <c r="AF9" s="149" t="s">
        <v>270</v>
      </c>
      <c r="AG9" s="14"/>
      <c r="AH9" s="14"/>
      <c r="AM9" s="159" t="s">
        <v>319</v>
      </c>
      <c r="AN9" s="81" t="s">
        <v>320</v>
      </c>
      <c r="AO9" s="81" t="s">
        <v>327</v>
      </c>
      <c r="AP9" s="167">
        <f>B34*1.04*1012*5</f>
        <v>897190.73464052298</v>
      </c>
      <c r="AQ9" s="81" t="s">
        <v>322</v>
      </c>
      <c r="AR9" s="167">
        <v>2745646</v>
      </c>
      <c r="AV9" s="168" t="s">
        <v>319</v>
      </c>
      <c r="AW9" s="168" t="s">
        <v>320</v>
      </c>
      <c r="AX9" s="168" t="s">
        <v>327</v>
      </c>
      <c r="AY9" s="169" t="s">
        <v>323</v>
      </c>
      <c r="AZ9" s="162">
        <f>AP9</f>
        <v>897190.73464052298</v>
      </c>
      <c r="BA9" s="168" t="s">
        <v>322</v>
      </c>
      <c r="BC9" s="81" t="s">
        <v>392</v>
      </c>
      <c r="BD9" s="167">
        <v>297</v>
      </c>
      <c r="BE9" s="167">
        <v>9.3200000000000005E-2</v>
      </c>
      <c r="BF9" s="81">
        <v>3182.59</v>
      </c>
      <c r="BG9" s="81" t="s">
        <v>388</v>
      </c>
      <c r="BJ9" s="175" t="s">
        <v>319</v>
      </c>
      <c r="BK9" s="175" t="s">
        <v>320</v>
      </c>
      <c r="BL9" s="175" t="s">
        <v>327</v>
      </c>
      <c r="BM9" s="175" t="s">
        <v>323</v>
      </c>
      <c r="BN9" s="174">
        <f>BD19</f>
        <v>2950000</v>
      </c>
      <c r="BO9" s="175" t="s">
        <v>322</v>
      </c>
      <c r="BQ9" s="81" t="s">
        <v>392</v>
      </c>
      <c r="BR9" s="167">
        <v>290</v>
      </c>
      <c r="BS9" s="167">
        <v>0.124</v>
      </c>
      <c r="BT9" s="81">
        <v>2333.5300000000002</v>
      </c>
      <c r="BU9" s="81" t="s">
        <v>422</v>
      </c>
      <c r="BV9" s="167">
        <v>2E-16</v>
      </c>
      <c r="BW9" s="81" t="s">
        <v>389</v>
      </c>
      <c r="BY9" s="178" t="s">
        <v>319</v>
      </c>
      <c r="BZ9" s="178" t="s">
        <v>320</v>
      </c>
      <c r="CA9" s="178" t="s">
        <v>326</v>
      </c>
      <c r="CB9" s="178" t="s">
        <v>323</v>
      </c>
      <c r="CC9" s="177">
        <f t="shared" si="8"/>
        <v>0.20300000000000001</v>
      </c>
      <c r="CD9" s="178" t="s">
        <v>322</v>
      </c>
      <c r="CJ9" s="81" t="s">
        <v>328</v>
      </c>
      <c r="CK9" s="256">
        <f>AZ10</f>
        <v>5508256.8270944748</v>
      </c>
      <c r="CL9" s="256">
        <f>BN10</f>
        <v>23100000</v>
      </c>
      <c r="CM9" s="256">
        <f>CC12</f>
        <v>32200000</v>
      </c>
      <c r="CP9" s="258" t="s">
        <v>442</v>
      </c>
      <c r="CQ9" s="258" t="s">
        <v>391</v>
      </c>
      <c r="CR9" s="259">
        <v>295</v>
      </c>
      <c r="CS9" s="259">
        <v>3.4099999999999998E-2</v>
      </c>
      <c r="CT9" s="258">
        <v>8651.74</v>
      </c>
      <c r="CU9" s="258" t="s">
        <v>422</v>
      </c>
      <c r="CV9" s="167">
        <v>2E-16</v>
      </c>
      <c r="CW9" s="81" t="s">
        <v>389</v>
      </c>
      <c r="CX9" s="260" t="s">
        <v>467</v>
      </c>
      <c r="CY9" s="264" t="s">
        <v>472</v>
      </c>
      <c r="CZ9" s="261" t="s">
        <v>323</v>
      </c>
      <c r="DA9" s="262">
        <f t="shared" si="7"/>
        <v>0.89200000000000002</v>
      </c>
      <c r="DB9" s="260" t="s">
        <v>322</v>
      </c>
      <c r="DD9" s="170" t="s">
        <v>467</v>
      </c>
      <c r="DE9" s="293" t="s">
        <v>472</v>
      </c>
      <c r="DF9" s="291" t="s">
        <v>323</v>
      </c>
      <c r="DG9" s="170">
        <f>O11*Z37*AP5</f>
        <v>0.82792728983997477</v>
      </c>
      <c r="DH9" s="170" t="s">
        <v>322</v>
      </c>
    </row>
    <row r="10" spans="1:112" ht="15" customHeight="1" thickTop="1" thickBot="1" x14ac:dyDescent="0.3">
      <c r="A10" s="188"/>
      <c r="B10" s="189"/>
      <c r="C10" s="189"/>
      <c r="D10" s="194" t="s">
        <v>35</v>
      </c>
      <c r="E10" s="199" t="s">
        <v>56</v>
      </c>
      <c r="F10" s="195">
        <f t="shared" si="1"/>
        <v>0.11680327868852459</v>
      </c>
      <c r="G10" s="189"/>
      <c r="H10" s="200">
        <f>'Tabula data'!B21*(1-C45)</f>
        <v>2.85</v>
      </c>
      <c r="I10" s="206"/>
      <c r="K10" s="81" t="s">
        <v>53</v>
      </c>
      <c r="L10" s="218">
        <v>0</v>
      </c>
      <c r="M10" s="219">
        <v>1</v>
      </c>
      <c r="N10" s="219" t="s">
        <v>54</v>
      </c>
      <c r="O10" s="220">
        <f>H6</f>
        <v>2.85</v>
      </c>
      <c r="P10" s="221" t="s">
        <v>26</v>
      </c>
      <c r="Q10" s="30">
        <f t="shared" si="2"/>
        <v>2</v>
      </c>
      <c r="R10" s="30">
        <f t="shared" si="3"/>
        <v>5.7</v>
      </c>
      <c r="S10" s="30">
        <f t="shared" si="4"/>
        <v>0</v>
      </c>
      <c r="T10" s="30">
        <f t="shared" si="5"/>
        <v>0</v>
      </c>
      <c r="U10" s="30">
        <f t="shared" si="6"/>
        <v>0</v>
      </c>
      <c r="V10" s="31"/>
      <c r="W10" s="153"/>
      <c r="X10" s="205"/>
      <c r="Y10" s="187" t="s">
        <v>58</v>
      </c>
      <c r="Z10" s="187">
        <v>0.02</v>
      </c>
      <c r="AA10" s="187">
        <v>0.6</v>
      </c>
      <c r="AB10" s="187">
        <v>975</v>
      </c>
      <c r="AC10" s="187">
        <v>840</v>
      </c>
      <c r="AD10" s="237">
        <f>Z10/AA10</f>
        <v>3.3333333333333333E-2</v>
      </c>
      <c r="AE10" s="210">
        <f>Z10*AB10*AC10</f>
        <v>16380</v>
      </c>
      <c r="AF10" s="14"/>
      <c r="AG10" s="14"/>
      <c r="AH10" s="14"/>
      <c r="AM10" s="159" t="s">
        <v>319</v>
      </c>
      <c r="AN10" s="81" t="s">
        <v>320</v>
      </c>
      <c r="AO10" s="81" t="s">
        <v>328</v>
      </c>
      <c r="AP10" s="167">
        <f>SUM(U6:U9)</f>
        <v>5508256.8270944748</v>
      </c>
      <c r="AQ10" s="81" t="s">
        <v>322</v>
      </c>
      <c r="AR10" s="167">
        <v>14395560</v>
      </c>
      <c r="AV10" s="168" t="s">
        <v>319</v>
      </c>
      <c r="AW10" s="168" t="s">
        <v>320</v>
      </c>
      <c r="AX10" s="168" t="s">
        <v>328</v>
      </c>
      <c r="AY10" s="169" t="s">
        <v>323</v>
      </c>
      <c r="AZ10" s="162">
        <f t="shared" ref="AZ10:AZ12" si="9">AP10</f>
        <v>5508256.8270944748</v>
      </c>
      <c r="BA10" s="168" t="s">
        <v>322</v>
      </c>
      <c r="BC10" s="81" t="s">
        <v>393</v>
      </c>
      <c r="BD10" s="167">
        <v>297</v>
      </c>
      <c r="BE10" s="167">
        <v>2.92E-2</v>
      </c>
      <c r="BF10" s="81">
        <v>10162.700000000001</v>
      </c>
      <c r="BG10" s="81" t="s">
        <v>388</v>
      </c>
      <c r="BJ10" s="175" t="s">
        <v>319</v>
      </c>
      <c r="BK10" s="175" t="s">
        <v>320</v>
      </c>
      <c r="BL10" s="175" t="s">
        <v>328</v>
      </c>
      <c r="BM10" s="175" t="s">
        <v>323</v>
      </c>
      <c r="BN10" s="174">
        <f>BD20</f>
        <v>23100000</v>
      </c>
      <c r="BO10" s="175" t="s">
        <v>322</v>
      </c>
      <c r="BQ10" s="81" t="s">
        <v>393</v>
      </c>
      <c r="BR10" s="167">
        <v>292</v>
      </c>
      <c r="BS10" s="167">
        <v>7.2499999999999995E-2</v>
      </c>
      <c r="BT10" s="81">
        <v>4026.39</v>
      </c>
      <c r="BU10" s="81" t="s">
        <v>422</v>
      </c>
      <c r="BV10" s="167">
        <v>2E-16</v>
      </c>
      <c r="BW10" s="81" t="s">
        <v>389</v>
      </c>
      <c r="BY10" s="178"/>
      <c r="BZ10" s="178"/>
      <c r="CA10" s="178"/>
      <c r="CB10" s="178"/>
      <c r="CC10" s="179"/>
      <c r="CD10" s="178"/>
      <c r="CJ10" s="81" t="s">
        <v>329</v>
      </c>
      <c r="CK10" s="256">
        <f>AZ11</f>
        <v>13531046.938837415</v>
      </c>
      <c r="CL10" s="256">
        <f>BN11</f>
        <v>30400000</v>
      </c>
      <c r="CM10" s="256">
        <f>CC13</f>
        <v>25400000</v>
      </c>
      <c r="CP10" s="258" t="s">
        <v>442</v>
      </c>
      <c r="CQ10" s="258" t="s">
        <v>392</v>
      </c>
      <c r="CR10" s="259">
        <v>291</v>
      </c>
      <c r="CS10" s="259">
        <v>0.105</v>
      </c>
      <c r="CT10" s="258">
        <v>2773.71</v>
      </c>
      <c r="CU10" s="258" t="s">
        <v>422</v>
      </c>
      <c r="CV10" s="167">
        <v>2E-16</v>
      </c>
      <c r="CW10" s="81" t="s">
        <v>389</v>
      </c>
      <c r="CX10" s="260" t="s">
        <v>467</v>
      </c>
      <c r="CY10" s="264" t="s">
        <v>473</v>
      </c>
      <c r="CZ10" s="261" t="s">
        <v>323</v>
      </c>
      <c r="DA10" s="262">
        <f t="shared" si="7"/>
        <v>0.72299999999999998</v>
      </c>
      <c r="DB10" s="260" t="s">
        <v>322</v>
      </c>
      <c r="DD10" s="170" t="s">
        <v>467</v>
      </c>
      <c r="DE10" s="293" t="s">
        <v>473</v>
      </c>
      <c r="DF10" s="291" t="s">
        <v>323</v>
      </c>
      <c r="DG10" s="170">
        <f>O10*Z37*AP5</f>
        <v>0.74907707175997718</v>
      </c>
      <c r="DH10" s="170" t="s">
        <v>322</v>
      </c>
    </row>
    <row r="11" spans="1:112" ht="15" customHeight="1" thickTop="1" thickBot="1" x14ac:dyDescent="0.3">
      <c r="A11" s="188"/>
      <c r="B11" s="189"/>
      <c r="C11" s="189"/>
      <c r="D11" s="194" t="s">
        <v>43</v>
      </c>
      <c r="E11" s="199" t="s">
        <v>56</v>
      </c>
      <c r="F11" s="195">
        <f t="shared" si="1"/>
        <v>0.12909836065573771</v>
      </c>
      <c r="G11" s="189"/>
      <c r="H11" s="200">
        <f>'Tabula data'!B22*(1-'Tabula RefULG 2'!C45)</f>
        <v>3.15</v>
      </c>
      <c r="I11" s="206"/>
      <c r="K11" s="81" t="s">
        <v>57</v>
      </c>
      <c r="L11" s="218">
        <v>0</v>
      </c>
      <c r="M11" s="219">
        <v>1</v>
      </c>
      <c r="N11" s="219" t="s">
        <v>54</v>
      </c>
      <c r="O11" s="220">
        <f>H7</f>
        <v>3.15</v>
      </c>
      <c r="P11" s="221" t="s">
        <v>39</v>
      </c>
      <c r="Q11" s="30">
        <f t="shared" si="2"/>
        <v>2</v>
      </c>
      <c r="R11" s="30">
        <f t="shared" si="3"/>
        <v>6.3</v>
      </c>
      <c r="S11" s="30">
        <f t="shared" si="4"/>
        <v>0</v>
      </c>
      <c r="T11" s="30">
        <f t="shared" si="5"/>
        <v>0</v>
      </c>
      <c r="U11" s="30">
        <f t="shared" si="6"/>
        <v>0</v>
      </c>
      <c r="V11" s="31"/>
      <c r="W11" s="153"/>
      <c r="X11" s="189"/>
      <c r="Y11" s="189"/>
      <c r="Z11" s="238"/>
      <c r="AA11" s="238"/>
      <c r="AB11" s="238"/>
      <c r="AC11" s="189"/>
      <c r="AD11" s="236"/>
      <c r="AE11" s="189"/>
      <c r="AF11" s="14"/>
      <c r="AG11" s="14"/>
      <c r="AH11" s="14"/>
      <c r="AM11" s="159" t="s">
        <v>319</v>
      </c>
      <c r="AN11" s="81" t="s">
        <v>320</v>
      </c>
      <c r="AO11" s="81" t="s">
        <v>329</v>
      </c>
      <c r="AP11" s="167">
        <f>SUM(U27,U30)/2</f>
        <v>13531046.938837415</v>
      </c>
      <c r="AQ11" s="81" t="s">
        <v>322</v>
      </c>
      <c r="AR11" s="167">
        <v>26154150</v>
      </c>
      <c r="AV11" s="168" t="s">
        <v>319</v>
      </c>
      <c r="AW11" s="168" t="s">
        <v>320</v>
      </c>
      <c r="AX11" s="168" t="s">
        <v>329</v>
      </c>
      <c r="AY11" s="169" t="s">
        <v>323</v>
      </c>
      <c r="AZ11" s="162">
        <f t="shared" si="9"/>
        <v>13531046.938837415</v>
      </c>
      <c r="BA11" s="168" t="s">
        <v>322</v>
      </c>
      <c r="BC11" s="81" t="s">
        <v>394</v>
      </c>
      <c r="BD11" s="167">
        <v>0.16</v>
      </c>
      <c r="BE11" s="167">
        <v>1.5399999999999999E-3</v>
      </c>
      <c r="BF11" s="81">
        <v>103.9</v>
      </c>
      <c r="BG11" s="81" t="s">
        <v>388</v>
      </c>
      <c r="BJ11" s="175" t="s">
        <v>319</v>
      </c>
      <c r="BK11" s="175" t="s">
        <v>320</v>
      </c>
      <c r="BL11" s="175" t="s">
        <v>329</v>
      </c>
      <c r="BM11" s="175" t="s">
        <v>323</v>
      </c>
      <c r="BN11" s="174">
        <f>BD21</f>
        <v>30400000</v>
      </c>
      <c r="BO11" s="175" t="s">
        <v>322</v>
      </c>
      <c r="BQ11" s="81" t="s">
        <v>394</v>
      </c>
      <c r="BR11" s="167">
        <v>0.19</v>
      </c>
      <c r="BS11" s="167">
        <v>2.31E-3</v>
      </c>
      <c r="BT11" s="81">
        <v>82.21</v>
      </c>
      <c r="BU11" s="81" t="s">
        <v>422</v>
      </c>
      <c r="BV11" s="167">
        <v>2E-16</v>
      </c>
      <c r="BW11" s="81" t="s">
        <v>389</v>
      </c>
      <c r="BY11" s="178" t="s">
        <v>319</v>
      </c>
      <c r="BZ11" s="178" t="s">
        <v>320</v>
      </c>
      <c r="CA11" s="178" t="s">
        <v>327</v>
      </c>
      <c r="CB11" s="178" t="s">
        <v>323</v>
      </c>
      <c r="CC11" s="179">
        <f>BR19</f>
        <v>3560000</v>
      </c>
      <c r="CD11" s="178" t="s">
        <v>322</v>
      </c>
      <c r="CJ11" s="81" t="s">
        <v>330</v>
      </c>
      <c r="CK11" s="256">
        <f>AZ12</f>
        <v>6879520</v>
      </c>
      <c r="CL11" s="256">
        <f>BN12</f>
        <v>15600000</v>
      </c>
      <c r="CM11" s="256">
        <f>CC14</f>
        <v>0</v>
      </c>
      <c r="CP11" s="258" t="s">
        <v>442</v>
      </c>
      <c r="CQ11" s="258" t="s">
        <v>393</v>
      </c>
      <c r="CR11" s="259">
        <v>291</v>
      </c>
      <c r="CS11" s="259">
        <v>3.8399999999999997E-2</v>
      </c>
      <c r="CT11" s="258">
        <v>7597.52</v>
      </c>
      <c r="CU11" s="258" t="s">
        <v>422</v>
      </c>
      <c r="CV11" s="167">
        <v>2E-16</v>
      </c>
      <c r="CW11" s="81" t="s">
        <v>389</v>
      </c>
      <c r="CX11" s="260" t="s">
        <v>467</v>
      </c>
      <c r="CY11" s="264" t="s">
        <v>474</v>
      </c>
      <c r="CZ11" s="261" t="s">
        <v>323</v>
      </c>
      <c r="DA11" s="262">
        <f t="shared" si="7"/>
        <v>0.76300000000000001</v>
      </c>
      <c r="DB11" s="260" t="s">
        <v>322</v>
      </c>
      <c r="DD11" s="170" t="s">
        <v>467</v>
      </c>
      <c r="DE11" s="293" t="s">
        <v>474</v>
      </c>
      <c r="DF11" s="291" t="s">
        <v>323</v>
      </c>
      <c r="DG11" s="170">
        <f>O12*Z37*AP5</f>
        <v>0.77536047778664308</v>
      </c>
      <c r="DH11" s="170" t="s">
        <v>322</v>
      </c>
    </row>
    <row r="12" spans="1:112" ht="15" customHeight="1" thickTop="1" thickBot="1" x14ac:dyDescent="0.3">
      <c r="A12" s="188"/>
      <c r="B12" s="189"/>
      <c r="C12" s="189"/>
      <c r="D12" s="194" t="s">
        <v>48</v>
      </c>
      <c r="E12" s="199" t="s">
        <v>56</v>
      </c>
      <c r="F12" s="195">
        <f t="shared" si="1"/>
        <v>0.1209016393442623</v>
      </c>
      <c r="G12" s="189"/>
      <c r="H12" s="200">
        <f>'Tabula data'!B23*(1-'Tabula RefULG 2'!C45)</f>
        <v>2.95</v>
      </c>
      <c r="I12" s="206"/>
      <c r="K12" s="81" t="s">
        <v>59</v>
      </c>
      <c r="L12" s="218">
        <v>0</v>
      </c>
      <c r="M12" s="219">
        <v>1</v>
      </c>
      <c r="N12" s="219" t="s">
        <v>54</v>
      </c>
      <c r="O12" s="220">
        <f>H8</f>
        <v>2.95</v>
      </c>
      <c r="P12" s="221" t="s">
        <v>45</v>
      </c>
      <c r="Q12" s="30">
        <f t="shared" si="2"/>
        <v>2</v>
      </c>
      <c r="R12" s="30">
        <f t="shared" si="3"/>
        <v>5.9</v>
      </c>
      <c r="S12" s="30">
        <f t="shared" si="4"/>
        <v>0</v>
      </c>
      <c r="T12" s="30">
        <f t="shared" si="5"/>
        <v>0</v>
      </c>
      <c r="U12" s="30">
        <f t="shared" si="6"/>
        <v>0</v>
      </c>
      <c r="V12" s="31"/>
      <c r="W12" s="153"/>
      <c r="X12" s="226"/>
      <c r="Y12" s="226"/>
      <c r="Z12" s="227" t="s">
        <v>4</v>
      </c>
      <c r="AA12" s="227">
        <v>1</v>
      </c>
      <c r="AB12" s="227" t="s">
        <v>5</v>
      </c>
      <c r="AC12" s="226"/>
      <c r="AD12" s="226"/>
      <c r="AE12" s="226"/>
      <c r="AF12" s="14"/>
      <c r="AG12" s="14"/>
      <c r="AH12" s="14"/>
      <c r="AM12" s="159" t="s">
        <v>319</v>
      </c>
      <c r="AN12" s="81" t="s">
        <v>320</v>
      </c>
      <c r="AO12" s="81" t="s">
        <v>330</v>
      </c>
      <c r="AP12" s="167">
        <f>SUM(U14)</f>
        <v>6879520</v>
      </c>
      <c r="AQ12" s="81" t="s">
        <v>322</v>
      </c>
      <c r="AR12" s="167">
        <v>12228720</v>
      </c>
      <c r="AV12" s="168" t="s">
        <v>319</v>
      </c>
      <c r="AW12" s="168" t="s">
        <v>320</v>
      </c>
      <c r="AX12" s="168" t="s">
        <v>330</v>
      </c>
      <c r="AY12" s="169" t="s">
        <v>323</v>
      </c>
      <c r="AZ12" s="162">
        <f t="shared" si="9"/>
        <v>6879520</v>
      </c>
      <c r="BA12" s="168" t="s">
        <v>322</v>
      </c>
      <c r="BC12" s="81" t="s">
        <v>395</v>
      </c>
      <c r="BD12" s="167">
        <v>0.318</v>
      </c>
      <c r="BE12" s="167">
        <v>2.1299999999999999E-3</v>
      </c>
      <c r="BF12" s="81">
        <v>149.15</v>
      </c>
      <c r="BG12" s="81" t="s">
        <v>388</v>
      </c>
      <c r="BJ12" s="175" t="s">
        <v>319</v>
      </c>
      <c r="BK12" s="175" t="s">
        <v>320</v>
      </c>
      <c r="BL12" s="175" t="s">
        <v>330</v>
      </c>
      <c r="BM12" s="175" t="s">
        <v>323</v>
      </c>
      <c r="BN12" s="174">
        <f>BD18</f>
        <v>15600000</v>
      </c>
      <c r="BO12" s="175" t="s">
        <v>322</v>
      </c>
      <c r="BQ12" s="81" t="s">
        <v>395</v>
      </c>
      <c r="BR12" s="167">
        <v>0.38</v>
      </c>
      <c r="BS12" s="167">
        <v>1.3600000000000001E-3</v>
      </c>
      <c r="BT12" s="81">
        <v>278.99</v>
      </c>
      <c r="BU12" s="81" t="s">
        <v>422</v>
      </c>
      <c r="BV12" s="167">
        <v>2E-16</v>
      </c>
      <c r="BW12" s="81" t="s">
        <v>389</v>
      </c>
      <c r="BY12" s="178" t="s">
        <v>319</v>
      </c>
      <c r="BZ12" s="178" t="s">
        <v>320</v>
      </c>
      <c r="CA12" s="178" t="s">
        <v>328</v>
      </c>
      <c r="CB12" s="178" t="s">
        <v>323</v>
      </c>
      <c r="CC12" s="179">
        <f t="shared" ref="CC12:CC13" si="10">BR20</f>
        <v>32200000</v>
      </c>
      <c r="CD12" s="178" t="s">
        <v>322</v>
      </c>
      <c r="CK12" s="255"/>
      <c r="CL12" s="255"/>
      <c r="CM12" s="255"/>
      <c r="CP12" s="258" t="s">
        <v>442</v>
      </c>
      <c r="CQ12" s="258" t="s">
        <v>444</v>
      </c>
      <c r="CR12" s="259">
        <v>0.128</v>
      </c>
      <c r="CS12" s="259">
        <v>2.4399999999999999E-3</v>
      </c>
      <c r="CT12" s="258">
        <v>52.35</v>
      </c>
      <c r="CU12" s="258" t="s">
        <v>422</v>
      </c>
      <c r="CV12" s="167">
        <v>2E-16</v>
      </c>
      <c r="CW12" s="81" t="s">
        <v>389</v>
      </c>
      <c r="CX12" s="260" t="s">
        <v>467</v>
      </c>
      <c r="CY12" s="263" t="s">
        <v>475</v>
      </c>
      <c r="CZ12" s="261" t="s">
        <v>323</v>
      </c>
      <c r="DA12" s="262">
        <f t="shared" si="7"/>
        <v>0.82799999999999996</v>
      </c>
      <c r="DB12" s="260" t="s">
        <v>322</v>
      </c>
      <c r="DD12" s="170" t="s">
        <v>467</v>
      </c>
      <c r="DE12" s="292" t="s">
        <v>475</v>
      </c>
      <c r="DF12" s="291" t="s">
        <v>323</v>
      </c>
      <c r="DG12" s="170">
        <f>O13*Z37*AP5</f>
        <v>0.85421069586664056</v>
      </c>
      <c r="DH12" s="170" t="s">
        <v>322</v>
      </c>
    </row>
    <row r="13" spans="1:112" ht="15" customHeight="1" thickTop="1" thickBot="1" x14ac:dyDescent="0.3">
      <c r="A13" s="188"/>
      <c r="B13" s="189"/>
      <c r="C13" s="189"/>
      <c r="D13" s="194" t="s">
        <v>52</v>
      </c>
      <c r="E13" s="199" t="s">
        <v>56</v>
      </c>
      <c r="F13" s="195">
        <f t="shared" si="1"/>
        <v>0.13319672131147542</v>
      </c>
      <c r="G13" s="189"/>
      <c r="H13" s="200">
        <f>'Tabula data'!B24*(1-'Tabula RefULG 2'!C45)</f>
        <v>3.25</v>
      </c>
      <c r="I13" s="206"/>
      <c r="K13" s="81" t="s">
        <v>60</v>
      </c>
      <c r="L13" s="218">
        <v>0</v>
      </c>
      <c r="M13" s="219">
        <v>1</v>
      </c>
      <c r="N13" s="219" t="s">
        <v>54</v>
      </c>
      <c r="O13" s="220">
        <f>H9</f>
        <v>3.25</v>
      </c>
      <c r="P13" s="221" t="s">
        <v>50</v>
      </c>
      <c r="Q13" s="30">
        <f t="shared" si="2"/>
        <v>2</v>
      </c>
      <c r="R13" s="30">
        <f t="shared" si="3"/>
        <v>6.5</v>
      </c>
      <c r="S13" s="30">
        <f t="shared" si="4"/>
        <v>0</v>
      </c>
      <c r="T13" s="30">
        <f t="shared" si="5"/>
        <v>0</v>
      </c>
      <c r="U13" s="30">
        <f t="shared" si="6"/>
        <v>0</v>
      </c>
      <c r="V13" s="31"/>
      <c r="W13" s="153"/>
      <c r="X13" s="228" t="s">
        <v>64</v>
      </c>
      <c r="Y13" s="229"/>
      <c r="Z13" s="230" t="s">
        <v>21</v>
      </c>
      <c r="AA13" s="231">
        <f>1/(1/8+SUM(AD15:AD19)+1/23)</f>
        <v>0.31684206193169995</v>
      </c>
      <c r="AB13" s="229" t="s">
        <v>5</v>
      </c>
      <c r="AC13" s="229"/>
      <c r="AD13" s="229" t="s">
        <v>22</v>
      </c>
      <c r="AE13" s="232">
        <f>SUM(AE15:AE20)</f>
        <v>339176.25</v>
      </c>
      <c r="AF13" s="14" t="s">
        <v>23</v>
      </c>
      <c r="AG13" s="14">
        <f>SUM(AE18:AE19)</f>
        <v>181020.00000000003</v>
      </c>
      <c r="AH13" s="14"/>
      <c r="AP13" s="167"/>
      <c r="AQ13" s="81" t="s">
        <v>322</v>
      </c>
      <c r="AR13" s="167"/>
      <c r="AV13" s="168"/>
      <c r="AW13" s="168"/>
      <c r="AX13" s="168"/>
      <c r="AY13" s="169"/>
      <c r="BA13" s="168"/>
      <c r="BC13" s="81" t="s">
        <v>396</v>
      </c>
      <c r="BD13" s="167">
        <v>0.26200000000000001</v>
      </c>
      <c r="BE13" s="167">
        <v>8.6800000000000002E-3</v>
      </c>
      <c r="BF13" s="81">
        <v>30.21</v>
      </c>
      <c r="BG13" s="81" t="s">
        <v>388</v>
      </c>
      <c r="BJ13" s="175"/>
      <c r="BK13" s="175"/>
      <c r="BL13" s="175"/>
      <c r="BM13" s="175"/>
      <c r="BN13" s="174"/>
      <c r="BO13" s="175"/>
      <c r="BQ13" s="81" t="s">
        <v>396</v>
      </c>
      <c r="BR13" s="167">
        <v>5.0500000000000003E-2</v>
      </c>
      <c r="BS13" s="167">
        <v>8.2699999999999996E-3</v>
      </c>
      <c r="BT13" s="81">
        <v>6.11</v>
      </c>
      <c r="BU13" s="167">
        <v>1.0999999999999999E-9</v>
      </c>
      <c r="BV13" s="81" t="s">
        <v>389</v>
      </c>
      <c r="BY13" s="178" t="s">
        <v>319</v>
      </c>
      <c r="BZ13" s="178" t="s">
        <v>320</v>
      </c>
      <c r="CA13" s="178" t="s">
        <v>329</v>
      </c>
      <c r="CB13" s="178" t="s">
        <v>323</v>
      </c>
      <c r="CC13" s="179">
        <f t="shared" si="10"/>
        <v>25400000</v>
      </c>
      <c r="CD13" s="178" t="s">
        <v>322</v>
      </c>
      <c r="CJ13" s="81" t="s">
        <v>331</v>
      </c>
      <c r="CK13" s="254">
        <f>AZ14</f>
        <v>2.4147868091633919E-2</v>
      </c>
      <c r="CL13" s="254">
        <f>BN14</f>
        <v>0.11700000000000001</v>
      </c>
      <c r="CM13" s="254">
        <f>CC16</f>
        <v>7.0400000000000004E-2</v>
      </c>
      <c r="CP13" s="258" t="s">
        <v>442</v>
      </c>
      <c r="CQ13" s="258" t="s">
        <v>341</v>
      </c>
      <c r="CR13" s="259">
        <v>0.13100000000000001</v>
      </c>
      <c r="CS13" s="259">
        <v>8.2299999999999995E-3</v>
      </c>
      <c r="CT13" s="258">
        <v>15.98</v>
      </c>
      <c r="CU13" s="259" t="s">
        <v>422</v>
      </c>
      <c r="CV13" s="167">
        <v>2E-16</v>
      </c>
      <c r="CW13" s="81" t="s">
        <v>389</v>
      </c>
      <c r="CX13" s="260" t="s">
        <v>467</v>
      </c>
      <c r="CY13" s="265" t="s">
        <v>476</v>
      </c>
      <c r="CZ13" s="261" t="s">
        <v>323</v>
      </c>
      <c r="DA13" s="262">
        <f t="shared" si="7"/>
        <v>0.27300000000000002</v>
      </c>
      <c r="DB13" s="260" t="s">
        <v>322</v>
      </c>
      <c r="DD13" s="170" t="s">
        <v>467</v>
      </c>
      <c r="DE13" s="294" t="s">
        <v>476</v>
      </c>
      <c r="DF13" s="291" t="s">
        <v>323</v>
      </c>
      <c r="DG13" s="170">
        <f>O11*Z37*AP6</f>
        <v>4.7779121657557294E-2</v>
      </c>
      <c r="DH13" s="170" t="s">
        <v>322</v>
      </c>
    </row>
    <row r="14" spans="1:112" ht="15" customHeight="1" thickTop="1" thickBot="1" x14ac:dyDescent="0.3">
      <c r="A14" s="188"/>
      <c r="B14" s="189"/>
      <c r="C14" s="189"/>
      <c r="D14" s="201" t="s">
        <v>65</v>
      </c>
      <c r="E14" s="202"/>
      <c r="F14" s="202"/>
      <c r="G14" s="202"/>
      <c r="H14" s="203"/>
      <c r="I14" s="193"/>
      <c r="K14" s="81" t="s">
        <v>61</v>
      </c>
      <c r="L14" s="218" t="s">
        <v>62</v>
      </c>
      <c r="M14" s="219">
        <v>1</v>
      </c>
      <c r="N14" s="219" t="s">
        <v>63</v>
      </c>
      <c r="O14" s="220">
        <f>B7</f>
        <v>62</v>
      </c>
      <c r="P14" s="221"/>
      <c r="Q14" s="30">
        <f t="shared" si="2"/>
        <v>0.3056768558951965</v>
      </c>
      <c r="R14" s="30">
        <f t="shared" si="3"/>
        <v>18.951965065502183</v>
      </c>
      <c r="S14" s="30">
        <f t="shared" si="4"/>
        <v>23489785</v>
      </c>
      <c r="T14" s="30">
        <f t="shared" si="5"/>
        <v>378867.5</v>
      </c>
      <c r="U14" s="30">
        <f t="shared" si="6"/>
        <v>6879520</v>
      </c>
      <c r="V14" s="31"/>
      <c r="W14" s="153"/>
      <c r="X14" s="233"/>
      <c r="Y14" s="234" t="s">
        <v>27</v>
      </c>
      <c r="Z14" s="234" t="s">
        <v>28</v>
      </c>
      <c r="AA14" s="234" t="s">
        <v>29</v>
      </c>
      <c r="AB14" s="234" t="s">
        <v>30</v>
      </c>
      <c r="AC14" s="234" t="s">
        <v>31</v>
      </c>
      <c r="AD14" s="234" t="s">
        <v>32</v>
      </c>
      <c r="AE14" s="235" t="s">
        <v>33</v>
      </c>
      <c r="AF14" s="14"/>
      <c r="AG14" s="14"/>
      <c r="AH14" s="14"/>
      <c r="AM14" s="159" t="s">
        <v>319</v>
      </c>
      <c r="AN14" s="81" t="s">
        <v>320</v>
      </c>
      <c r="AO14" s="81" t="s">
        <v>331</v>
      </c>
      <c r="AP14" s="81">
        <f>AP4*0.3</f>
        <v>2.4147868091633919E-2</v>
      </c>
      <c r="AQ14" s="81" t="s">
        <v>322</v>
      </c>
      <c r="AR14" s="167">
        <v>6.5890790000000005E-2</v>
      </c>
      <c r="AV14" s="168" t="s">
        <v>319</v>
      </c>
      <c r="AW14" s="168" t="s">
        <v>320</v>
      </c>
      <c r="AX14" s="168" t="s">
        <v>331</v>
      </c>
      <c r="AY14" s="169" t="s">
        <v>323</v>
      </c>
      <c r="AZ14" s="162">
        <f>AZ4*0.3</f>
        <v>2.4147868091633919E-2</v>
      </c>
      <c r="BA14" s="168" t="s">
        <v>322</v>
      </c>
      <c r="BC14" s="81" t="s">
        <v>397</v>
      </c>
      <c r="BD14" s="167">
        <v>0.156</v>
      </c>
      <c r="BE14" s="167">
        <v>1.4499999999999999E-3</v>
      </c>
      <c r="BF14" s="81">
        <v>107.8</v>
      </c>
      <c r="BG14" s="81" t="s">
        <v>388</v>
      </c>
      <c r="BJ14" s="175" t="s">
        <v>319</v>
      </c>
      <c r="BK14" s="175" t="s">
        <v>320</v>
      </c>
      <c r="BL14" s="175" t="s">
        <v>331</v>
      </c>
      <c r="BM14" s="175" t="s">
        <v>323</v>
      </c>
      <c r="BN14" s="174">
        <f>BD27</f>
        <v>0.11700000000000001</v>
      </c>
      <c r="BO14" s="175" t="s">
        <v>322</v>
      </c>
      <c r="BQ14" s="81" t="s">
        <v>397</v>
      </c>
      <c r="BR14" s="167">
        <v>0.20300000000000001</v>
      </c>
      <c r="BS14" s="167">
        <v>1.14E-3</v>
      </c>
      <c r="BT14" s="81">
        <v>177.92</v>
      </c>
      <c r="BU14" s="81" t="s">
        <v>422</v>
      </c>
      <c r="BV14" s="167">
        <v>2E-16</v>
      </c>
      <c r="BW14" s="81" t="s">
        <v>389</v>
      </c>
      <c r="BY14" s="178" t="s">
        <v>319</v>
      </c>
      <c r="BZ14" s="178" t="s">
        <v>320</v>
      </c>
      <c r="CA14" s="178" t="s">
        <v>330</v>
      </c>
      <c r="CB14" s="178" t="s">
        <v>323</v>
      </c>
      <c r="CC14" s="179">
        <v>0</v>
      </c>
      <c r="CD14" s="178" t="s">
        <v>322</v>
      </c>
      <c r="CJ14" s="81" t="s">
        <v>332</v>
      </c>
      <c r="CK14" s="254">
        <f>AZ15</f>
        <v>0.1677664214468034</v>
      </c>
      <c r="CL14" s="254">
        <f>BN15</f>
        <v>0.22500000000000001</v>
      </c>
      <c r="CM14" s="254">
        <f>CC17</f>
        <v>0.13700000000000001</v>
      </c>
      <c r="CP14" s="258" t="s">
        <v>442</v>
      </c>
      <c r="CQ14" s="258" t="s">
        <v>445</v>
      </c>
      <c r="CR14" s="259">
        <v>0.111</v>
      </c>
      <c r="CS14" s="259">
        <v>1.3500000000000001E-3</v>
      </c>
      <c r="CT14" s="258">
        <v>81.97</v>
      </c>
      <c r="CU14" s="258" t="s">
        <v>422</v>
      </c>
      <c r="CV14" s="167">
        <v>2E-16</v>
      </c>
      <c r="CW14" s="81" t="s">
        <v>389</v>
      </c>
      <c r="CX14" s="260" t="s">
        <v>467</v>
      </c>
      <c r="CY14" s="265" t="s">
        <v>477</v>
      </c>
      <c r="CZ14" s="261" t="s">
        <v>323</v>
      </c>
      <c r="DA14" s="262">
        <f t="shared" si="7"/>
        <v>3.0199999999999998E-7</v>
      </c>
      <c r="DB14" s="260" t="s">
        <v>322</v>
      </c>
      <c r="DD14" s="170" t="s">
        <v>467</v>
      </c>
      <c r="DE14" s="294" t="s">
        <v>477</v>
      </c>
      <c r="DF14" s="291" t="s">
        <v>323</v>
      </c>
      <c r="DG14" s="170">
        <f>O10*Z37*AP6</f>
        <v>4.3228729118742315E-2</v>
      </c>
      <c r="DH14" s="170" t="s">
        <v>322</v>
      </c>
    </row>
    <row r="15" spans="1:112" ht="15" customHeight="1" thickTop="1" thickBot="1" x14ac:dyDescent="0.3">
      <c r="A15" s="188"/>
      <c r="B15" s="189"/>
      <c r="C15" s="189"/>
      <c r="D15" s="204"/>
      <c r="E15" s="189"/>
      <c r="F15" s="189"/>
      <c r="G15" s="189"/>
      <c r="H15" s="190"/>
      <c r="I15" s="189"/>
      <c r="K15" s="81" t="s">
        <v>66</v>
      </c>
      <c r="L15" s="218">
        <v>0</v>
      </c>
      <c r="M15" s="219">
        <v>1</v>
      </c>
      <c r="N15" s="219" t="s">
        <v>20</v>
      </c>
      <c r="O15" s="222">
        <v>0</v>
      </c>
      <c r="P15" s="221"/>
      <c r="Q15" s="30">
        <f t="shared" si="2"/>
        <v>0.3127301569316186</v>
      </c>
      <c r="R15" s="30">
        <f t="shared" si="3"/>
        <v>0</v>
      </c>
      <c r="S15" s="30">
        <f>VLOOKUP(N15,$X$5:$AE$391,8,0)*O25</f>
        <v>4476427.1999999993</v>
      </c>
      <c r="T15" s="30">
        <f>S15/O25</f>
        <v>56951.999999999993</v>
      </c>
      <c r="U15" s="30">
        <f>VLOOKUP(N15,$X$5:$AG$391,10,0)*O25</f>
        <v>1287468</v>
      </c>
      <c r="V15" s="31"/>
      <c r="W15" s="153"/>
      <c r="X15" s="188"/>
      <c r="Y15" s="189" t="s">
        <v>271</v>
      </c>
      <c r="Z15" s="189">
        <v>0.1</v>
      </c>
      <c r="AA15" s="189">
        <v>1.1000000000000001</v>
      </c>
      <c r="AB15" s="189">
        <v>1850</v>
      </c>
      <c r="AC15" s="199">
        <v>840</v>
      </c>
      <c r="AD15" s="236">
        <f>Z15/AA15</f>
        <v>9.0909090909090912E-2</v>
      </c>
      <c r="AE15" s="190">
        <f>AB15*AC15*Z15</f>
        <v>155400</v>
      </c>
      <c r="AF15" s="14"/>
      <c r="AG15" s="14"/>
      <c r="AH15" s="14"/>
      <c r="AM15" s="159" t="s">
        <v>319</v>
      </c>
      <c r="AN15" s="81" t="s">
        <v>320</v>
      </c>
      <c r="AO15" s="81" t="s">
        <v>332</v>
      </c>
      <c r="AP15" s="81">
        <f>AP5*0.3</f>
        <v>0.1677664214468034</v>
      </c>
      <c r="AQ15" s="81" t="s">
        <v>322</v>
      </c>
      <c r="AR15" s="167">
        <v>0.1612856</v>
      </c>
      <c r="AV15" s="168" t="s">
        <v>319</v>
      </c>
      <c r="AW15" s="168" t="s">
        <v>320</v>
      </c>
      <c r="AX15" s="168" t="s">
        <v>332</v>
      </c>
      <c r="AY15" s="169" t="s">
        <v>323</v>
      </c>
      <c r="AZ15" s="162">
        <f>AZ5*0.3</f>
        <v>0.1677664214468034</v>
      </c>
      <c r="BA15" s="168" t="s">
        <v>322</v>
      </c>
      <c r="BC15" s="81" t="s">
        <v>398</v>
      </c>
      <c r="BD15" s="167">
        <v>9.35E-2</v>
      </c>
      <c r="BE15" s="167">
        <v>1.6000000000000001E-3</v>
      </c>
      <c r="BF15" s="81">
        <v>58.4</v>
      </c>
      <c r="BG15" s="81" t="s">
        <v>388</v>
      </c>
      <c r="BJ15" s="175" t="s">
        <v>319</v>
      </c>
      <c r="BK15" s="175" t="s">
        <v>320</v>
      </c>
      <c r="BL15" s="175" t="s">
        <v>332</v>
      </c>
      <c r="BM15" s="175" t="s">
        <v>323</v>
      </c>
      <c r="BN15" s="174">
        <f>BD28</f>
        <v>0.22500000000000001</v>
      </c>
      <c r="BO15" s="175" t="s">
        <v>322</v>
      </c>
      <c r="BQ15" s="81" t="s">
        <v>398</v>
      </c>
      <c r="BR15" s="167">
        <v>0.11799999999999999</v>
      </c>
      <c r="BS15" s="167">
        <v>5.9500000000000004E-4</v>
      </c>
      <c r="BT15" s="81">
        <v>198</v>
      </c>
      <c r="BU15" s="81" t="s">
        <v>422</v>
      </c>
      <c r="BV15" s="167">
        <v>2E-16</v>
      </c>
      <c r="BW15" s="81" t="s">
        <v>389</v>
      </c>
      <c r="BY15" s="178"/>
      <c r="BZ15" s="178"/>
      <c r="CA15" s="178"/>
      <c r="CB15" s="178"/>
      <c r="CC15" s="179"/>
      <c r="CD15" s="178"/>
      <c r="CJ15" s="81" t="s">
        <v>333</v>
      </c>
      <c r="CK15" s="254">
        <f>AZ16</f>
        <v>0.70968168625279782</v>
      </c>
      <c r="CL15" s="254">
        <f>BN16</f>
        <v>0.46500000000000002</v>
      </c>
      <c r="CM15" s="254">
        <f>CC18</f>
        <v>0.76900000000000002</v>
      </c>
      <c r="CP15" s="258" t="s">
        <v>442</v>
      </c>
      <c r="CQ15" s="258" t="s">
        <v>446</v>
      </c>
      <c r="CR15" s="259">
        <v>0.109</v>
      </c>
      <c r="CS15" s="259">
        <v>2.3999999999999998E-3</v>
      </c>
      <c r="CT15" s="258">
        <v>45.63</v>
      </c>
      <c r="CU15" s="258" t="s">
        <v>422</v>
      </c>
      <c r="CV15" s="167">
        <v>2E-16</v>
      </c>
      <c r="CW15" s="81" t="s">
        <v>389</v>
      </c>
      <c r="CX15" s="260" t="s">
        <v>467</v>
      </c>
      <c r="CY15" s="265" t="s">
        <v>478</v>
      </c>
      <c r="CZ15" s="261" t="s">
        <v>323</v>
      </c>
      <c r="DA15" s="262">
        <f t="shared" si="7"/>
        <v>4.9599999999999998E-2</v>
      </c>
      <c r="DB15" s="260" t="s">
        <v>322</v>
      </c>
      <c r="DD15" s="170" t="s">
        <v>467</v>
      </c>
      <c r="DE15" s="294" t="s">
        <v>478</v>
      </c>
      <c r="DF15" s="291" t="s">
        <v>323</v>
      </c>
      <c r="DG15" s="170">
        <f>O12*Z37*AP6</f>
        <v>4.4745526631680646E-2</v>
      </c>
      <c r="DH15" s="170" t="s">
        <v>322</v>
      </c>
    </row>
    <row r="16" spans="1:112" ht="15" customHeight="1" thickTop="1" thickBot="1" x14ac:dyDescent="0.3">
      <c r="A16" s="205"/>
      <c r="B16" s="187"/>
      <c r="C16" s="187"/>
      <c r="D16" s="194" t="s">
        <v>69</v>
      </c>
      <c r="E16" s="189"/>
      <c r="F16" s="206">
        <f>B4/B26</f>
        <v>1.8014791747761778</v>
      </c>
      <c r="G16" s="199" t="s">
        <v>70</v>
      </c>
      <c r="H16" s="190"/>
      <c r="I16" s="189"/>
      <c r="K16" s="81" t="s">
        <v>67</v>
      </c>
      <c r="L16" s="218">
        <v>0</v>
      </c>
      <c r="M16" s="219">
        <v>1</v>
      </c>
      <c r="N16" s="219" t="s">
        <v>68</v>
      </c>
      <c r="O16" s="220">
        <f>'Tabula data'!B20</f>
        <v>9.5</v>
      </c>
      <c r="P16" s="221"/>
      <c r="Q16" s="30">
        <f t="shared" si="2"/>
        <v>4</v>
      </c>
      <c r="R16" s="30">
        <f t="shared" si="3"/>
        <v>38</v>
      </c>
      <c r="S16" s="30">
        <f t="shared" ref="S16:S27" si="11">VLOOKUP(N16,$X$5:$AE$391,8,0)*O16</f>
        <v>346940</v>
      </c>
      <c r="T16" s="30">
        <f t="shared" ref="T16:T27" si="12">S16/O16</f>
        <v>36520</v>
      </c>
      <c r="U16" s="30">
        <f t="shared" ref="U16:U27" si="13">VLOOKUP(N16,$X$5:$AG$391,10,0)*O16</f>
        <v>0</v>
      </c>
      <c r="V16" s="31"/>
      <c r="W16" s="153"/>
      <c r="X16" s="188"/>
      <c r="Y16" s="189" t="s">
        <v>272</v>
      </c>
      <c r="Z16" s="189">
        <v>0</v>
      </c>
      <c r="AA16" s="189">
        <v>1</v>
      </c>
      <c r="AB16" s="189">
        <v>1800</v>
      </c>
      <c r="AC16" s="189">
        <v>1000</v>
      </c>
      <c r="AD16" s="236">
        <v>0</v>
      </c>
      <c r="AE16" s="190">
        <f>Z16*AB16*AC16</f>
        <v>0</v>
      </c>
      <c r="AF16" s="14"/>
      <c r="AG16" s="14"/>
      <c r="AH16" s="14"/>
      <c r="AM16" s="159" t="s">
        <v>319</v>
      </c>
      <c r="AN16" s="81" t="s">
        <v>320</v>
      </c>
      <c r="AO16" s="81" t="s">
        <v>333</v>
      </c>
      <c r="AP16" s="81">
        <f>AP6*0.3+0.7</f>
        <v>0.70968168625279782</v>
      </c>
      <c r="AQ16" s="81" t="s">
        <v>322</v>
      </c>
      <c r="AR16" s="167">
        <v>0.64236059999999995</v>
      </c>
      <c r="AV16" s="168" t="s">
        <v>319</v>
      </c>
      <c r="AW16" s="168" t="s">
        <v>320</v>
      </c>
      <c r="AX16" s="168" t="s">
        <v>333</v>
      </c>
      <c r="AY16" s="169" t="s">
        <v>323</v>
      </c>
      <c r="AZ16" s="162">
        <f>AZ6*0.3+0.7</f>
        <v>0.70968168625279782</v>
      </c>
      <c r="BA16" s="168" t="s">
        <v>322</v>
      </c>
      <c r="BC16" s="81" t="s">
        <v>308</v>
      </c>
      <c r="BD16" s="167">
        <v>13100000</v>
      </c>
      <c r="BE16" s="167">
        <v>252000</v>
      </c>
      <c r="BF16" s="81">
        <v>51.84</v>
      </c>
      <c r="BG16" s="81" t="s">
        <v>388</v>
      </c>
      <c r="BJ16" s="175" t="s">
        <v>319</v>
      </c>
      <c r="BK16" s="175" t="s">
        <v>320</v>
      </c>
      <c r="BL16" s="175" t="s">
        <v>333</v>
      </c>
      <c r="BM16" s="175" t="s">
        <v>323</v>
      </c>
      <c r="BN16" s="174">
        <f>BD29</f>
        <v>0.46500000000000002</v>
      </c>
      <c r="BO16" s="175" t="s">
        <v>322</v>
      </c>
      <c r="BQ16" s="81" t="s">
        <v>308</v>
      </c>
      <c r="BR16" s="167">
        <v>812000000</v>
      </c>
      <c r="BS16" s="167">
        <v>25300000</v>
      </c>
      <c r="BT16" s="81">
        <v>32.119999999999997</v>
      </c>
      <c r="BU16" s="81" t="s">
        <v>422</v>
      </c>
      <c r="BV16" s="167">
        <v>2E-16</v>
      </c>
      <c r="BW16" s="81" t="s">
        <v>389</v>
      </c>
      <c r="BY16" s="178" t="s">
        <v>319</v>
      </c>
      <c r="BZ16" s="178" t="s">
        <v>320</v>
      </c>
      <c r="CA16" s="178" t="s">
        <v>331</v>
      </c>
      <c r="CB16" s="178" t="s">
        <v>323</v>
      </c>
      <c r="CC16" s="177">
        <f>BR27</f>
        <v>7.0400000000000004E-2</v>
      </c>
      <c r="CD16" s="178" t="s">
        <v>322</v>
      </c>
      <c r="CJ16" s="81" t="s">
        <v>334</v>
      </c>
      <c r="CK16" s="254">
        <f>AZ17</f>
        <v>4.920201210438243E-2</v>
      </c>
      <c r="CL16" s="254">
        <f>BN17</f>
        <v>0.11</v>
      </c>
      <c r="CM16" s="254">
        <f>CC19</f>
        <v>7.2499999999999995E-2</v>
      </c>
      <c r="CP16" s="258" t="s">
        <v>442</v>
      </c>
      <c r="CQ16" s="258" t="s">
        <v>447</v>
      </c>
      <c r="CR16" s="259">
        <v>0.89200000000000002</v>
      </c>
      <c r="CS16" s="259">
        <v>1.06E-2</v>
      </c>
      <c r="CT16" s="258">
        <v>84.42</v>
      </c>
      <c r="CU16" s="258" t="s">
        <v>422</v>
      </c>
      <c r="CV16" s="167">
        <v>2E-16</v>
      </c>
      <c r="CW16" s="81" t="s">
        <v>389</v>
      </c>
      <c r="CX16" s="260" t="s">
        <v>467</v>
      </c>
      <c r="CY16" s="265" t="s">
        <v>479</v>
      </c>
      <c r="CZ16" s="261" t="s">
        <v>323</v>
      </c>
      <c r="DA16" s="262">
        <f>CR23</f>
        <v>4.7199999999999999E-7</v>
      </c>
      <c r="DB16" s="260" t="s">
        <v>322</v>
      </c>
      <c r="DD16" s="170" t="s">
        <v>467</v>
      </c>
      <c r="DE16" s="294" t="s">
        <v>479</v>
      </c>
      <c r="DF16" s="291" t="s">
        <v>323</v>
      </c>
      <c r="DG16" s="170">
        <f>O13*Z37*AP6</f>
        <v>4.9295919170495625E-2</v>
      </c>
      <c r="DH16" s="170" t="s">
        <v>322</v>
      </c>
    </row>
    <row r="17" spans="1:112" ht="15" customHeight="1" thickTop="1" thickBot="1" x14ac:dyDescent="0.3">
      <c r="A17" s="191" t="s">
        <v>73</v>
      </c>
      <c r="B17" s="192">
        <v>0</v>
      </c>
      <c r="C17" s="202" t="s">
        <v>9</v>
      </c>
      <c r="D17" s="194" t="s">
        <v>74</v>
      </c>
      <c r="E17" s="189"/>
      <c r="F17" s="206">
        <f>B26/B23</f>
        <v>1.5264408793820556</v>
      </c>
      <c r="G17" s="199"/>
      <c r="H17" s="190"/>
      <c r="I17" s="189"/>
      <c r="K17" s="81" t="s">
        <v>71</v>
      </c>
      <c r="L17" s="218">
        <v>0</v>
      </c>
      <c r="M17" s="219">
        <v>2</v>
      </c>
      <c r="N17" s="219" t="s">
        <v>25</v>
      </c>
      <c r="O17" s="220">
        <f>'Tabula data'!B10*'Tabula RefULG 2'!C42/2*(1-'Tabula RefULG 2'!C43)</f>
        <v>26.085502079619726</v>
      </c>
      <c r="P17" s="221" t="s">
        <v>26</v>
      </c>
      <c r="Q17" s="30">
        <f t="shared" si="2"/>
        <v>0.31684206193169995</v>
      </c>
      <c r="R17" s="30">
        <f t="shared" si="3"/>
        <v>8.2649842654303605</v>
      </c>
      <c r="S17" s="30">
        <f t="shared" si="11"/>
        <v>8847582.7747326195</v>
      </c>
      <c r="T17" s="30">
        <f t="shared" si="12"/>
        <v>339176.25</v>
      </c>
      <c r="U17" s="30">
        <f t="shared" si="13"/>
        <v>4721997.5864527635</v>
      </c>
      <c r="V17" s="31"/>
      <c r="W17" s="153"/>
      <c r="X17" s="188"/>
      <c r="Y17" s="189" t="s">
        <v>273</v>
      </c>
      <c r="Z17" s="189">
        <v>6.25E-2</v>
      </c>
      <c r="AA17" s="189">
        <v>2.4E-2</v>
      </c>
      <c r="AB17" s="189">
        <v>30</v>
      </c>
      <c r="AC17" s="189">
        <v>1470</v>
      </c>
      <c r="AD17" s="236">
        <f>Z17/AA17</f>
        <v>2.6041666666666665</v>
      </c>
      <c r="AE17" s="190">
        <f>Z17*AB17*AC17</f>
        <v>2756.25</v>
      </c>
      <c r="AF17" s="149" t="s">
        <v>274</v>
      </c>
      <c r="AG17" s="14"/>
      <c r="AH17" s="14"/>
      <c r="AM17" s="159" t="s">
        <v>319</v>
      </c>
      <c r="AN17" s="81" t="s">
        <v>320</v>
      </c>
      <c r="AO17" s="81" t="s">
        <v>334</v>
      </c>
      <c r="AP17" s="81">
        <f>AP7*0.3</f>
        <v>4.920201210438243E-2</v>
      </c>
      <c r="AQ17" s="81" t="s">
        <v>322</v>
      </c>
      <c r="AR17" s="167">
        <v>6.4977720000000003E-2</v>
      </c>
      <c r="AV17" s="168" t="s">
        <v>319</v>
      </c>
      <c r="AW17" s="168" t="s">
        <v>320</v>
      </c>
      <c r="AX17" s="168" t="s">
        <v>334</v>
      </c>
      <c r="AY17" s="169" t="s">
        <v>323</v>
      </c>
      <c r="AZ17" s="162">
        <f>AZ7*0.3</f>
        <v>4.920201210438243E-2</v>
      </c>
      <c r="BA17" s="168" t="s">
        <v>322</v>
      </c>
      <c r="BJ17" s="175" t="s">
        <v>319</v>
      </c>
      <c r="BK17" s="175" t="s">
        <v>320</v>
      </c>
      <c r="BL17" s="175" t="s">
        <v>334</v>
      </c>
      <c r="BM17" s="175" t="s">
        <v>323</v>
      </c>
      <c r="BN17" s="174">
        <f>BD30</f>
        <v>0.11</v>
      </c>
      <c r="BO17" s="175" t="s">
        <v>322</v>
      </c>
      <c r="BY17" s="178" t="s">
        <v>319</v>
      </c>
      <c r="BZ17" s="178" t="s">
        <v>320</v>
      </c>
      <c r="CA17" s="178" t="s">
        <v>332</v>
      </c>
      <c r="CB17" s="178" t="s">
        <v>323</v>
      </c>
      <c r="CC17" s="177">
        <f t="shared" ref="CC17:CC19" si="14">BR28</f>
        <v>0.13700000000000001</v>
      </c>
      <c r="CD17" s="178" t="s">
        <v>322</v>
      </c>
      <c r="CK17" s="255"/>
      <c r="CL17" s="255"/>
      <c r="CM17" s="255"/>
      <c r="CP17" s="258" t="s">
        <v>442</v>
      </c>
      <c r="CQ17" s="258" t="s">
        <v>342</v>
      </c>
      <c r="CR17" s="259">
        <v>0.72299999999999998</v>
      </c>
      <c r="CS17" s="259">
        <v>3.5499999999999997E-2</v>
      </c>
      <c r="CT17" s="258">
        <v>20.36</v>
      </c>
      <c r="CU17" s="258" t="s">
        <v>422</v>
      </c>
      <c r="CV17" s="167">
        <v>2E-16</v>
      </c>
      <c r="CW17" s="81" t="s">
        <v>389</v>
      </c>
      <c r="CX17" s="260" t="s">
        <v>467</v>
      </c>
      <c r="CY17" s="265" t="s">
        <v>480</v>
      </c>
      <c r="CZ17" s="261" t="s">
        <v>323</v>
      </c>
      <c r="DA17" s="262">
        <f t="shared" si="7"/>
        <v>0.3</v>
      </c>
      <c r="DB17" s="260" t="s">
        <v>322</v>
      </c>
      <c r="DD17" s="170" t="s">
        <v>467</v>
      </c>
      <c r="DE17" s="294" t="s">
        <v>480</v>
      </c>
      <c r="DF17" s="291" t="s">
        <v>323</v>
      </c>
      <c r="DG17" s="170">
        <f>O11*Z37*AP7</f>
        <v>0.24281192973512727</v>
      </c>
      <c r="DH17" s="170" t="s">
        <v>322</v>
      </c>
    </row>
    <row r="18" spans="1:112" ht="15" customHeight="1" thickTop="1" thickBot="1" x14ac:dyDescent="0.3">
      <c r="A18" s="188" t="s">
        <v>77</v>
      </c>
      <c r="B18" s="189">
        <v>0</v>
      </c>
      <c r="C18" s="189"/>
      <c r="D18" s="194" t="s">
        <v>78</v>
      </c>
      <c r="E18" s="189"/>
      <c r="F18" s="206">
        <f>B26/B6</f>
        <v>1.5264408793820556</v>
      </c>
      <c r="G18" s="199"/>
      <c r="H18" s="190"/>
      <c r="I18" s="189"/>
      <c r="K18" s="81" t="s">
        <v>75</v>
      </c>
      <c r="L18" s="218">
        <v>0</v>
      </c>
      <c r="M18" s="219">
        <v>2</v>
      </c>
      <c r="N18" s="219" t="s">
        <v>25</v>
      </c>
      <c r="O18" s="220">
        <f>'Tabula data'!B10*(1-'Tabula RefULG 2'!C42)/2*(1-'Tabula RefULG 2'!C44)</f>
        <v>0</v>
      </c>
      <c r="P18" s="221" t="s">
        <v>39</v>
      </c>
      <c r="Q18" s="30">
        <f t="shared" si="2"/>
        <v>0.31684206193169995</v>
      </c>
      <c r="R18" s="30">
        <f t="shared" si="3"/>
        <v>0</v>
      </c>
      <c r="S18" s="30">
        <f t="shared" si="11"/>
        <v>0</v>
      </c>
      <c r="T18" s="30" t="e">
        <f t="shared" si="12"/>
        <v>#DIV/0!</v>
      </c>
      <c r="U18" s="30">
        <f t="shared" si="13"/>
        <v>0</v>
      </c>
      <c r="V18" s="31"/>
      <c r="W18" s="153"/>
      <c r="X18" s="188"/>
      <c r="Y18" s="199" t="s">
        <v>275</v>
      </c>
      <c r="Z18" s="189">
        <v>0.14000000000000001</v>
      </c>
      <c r="AA18" s="189">
        <v>0.54</v>
      </c>
      <c r="AB18" s="189">
        <v>1400</v>
      </c>
      <c r="AC18" s="199">
        <v>840</v>
      </c>
      <c r="AD18" s="236">
        <f>Z18/AA18</f>
        <v>0.25925925925925924</v>
      </c>
      <c r="AE18" s="190">
        <f>Z18*AB18*AC18</f>
        <v>164640.00000000003</v>
      </c>
      <c r="AF18" s="14" t="s">
        <v>276</v>
      </c>
      <c r="AG18" s="14"/>
      <c r="AH18" s="14"/>
      <c r="AQ18" s="81" t="s">
        <v>322</v>
      </c>
      <c r="AR18" s="167"/>
      <c r="AV18" s="168"/>
      <c r="AW18" s="168"/>
      <c r="AX18" s="168"/>
      <c r="AY18" s="169"/>
      <c r="BA18" s="168"/>
      <c r="BC18" s="81" t="s">
        <v>304</v>
      </c>
      <c r="BD18" s="167">
        <v>15600000</v>
      </c>
      <c r="BE18" s="167">
        <v>67000</v>
      </c>
      <c r="BF18" s="81">
        <v>232.84</v>
      </c>
      <c r="BG18" s="81" t="s">
        <v>388</v>
      </c>
      <c r="BJ18" s="175"/>
      <c r="BK18" s="175"/>
      <c r="BL18" s="175"/>
      <c r="BM18" s="175"/>
      <c r="BN18" s="174"/>
      <c r="BO18" s="175"/>
      <c r="BQ18" s="81" t="s">
        <v>304</v>
      </c>
      <c r="BR18" s="167">
        <v>15000000</v>
      </c>
      <c r="BS18" s="167">
        <v>733000</v>
      </c>
      <c r="BT18" s="81">
        <v>20.420000000000002</v>
      </c>
      <c r="BU18" s="81" t="s">
        <v>422</v>
      </c>
      <c r="BV18" s="167">
        <v>2E-16</v>
      </c>
      <c r="BW18" s="81" t="s">
        <v>389</v>
      </c>
      <c r="BY18" s="178" t="s">
        <v>319</v>
      </c>
      <c r="BZ18" s="178" t="s">
        <v>320</v>
      </c>
      <c r="CA18" s="178" t="s">
        <v>333</v>
      </c>
      <c r="CB18" s="178" t="s">
        <v>323</v>
      </c>
      <c r="CC18" s="177">
        <f t="shared" si="14"/>
        <v>0.76900000000000002</v>
      </c>
      <c r="CD18" s="178" t="s">
        <v>322</v>
      </c>
      <c r="CJ18" s="81" t="s">
        <v>335</v>
      </c>
      <c r="CK18" s="257">
        <f t="shared" ref="CK18:CK23" si="15">AZ19</f>
        <v>56.080743187749825</v>
      </c>
      <c r="CL18" s="257">
        <f t="shared" ref="CL18:CL23" si="16">BN19</f>
        <v>637</v>
      </c>
      <c r="CM18" s="257">
        <f t="shared" ref="CM18:CM23" si="17">CC21</f>
        <v>278</v>
      </c>
      <c r="CP18" s="258" t="s">
        <v>442</v>
      </c>
      <c r="CQ18" s="258" t="s">
        <v>448</v>
      </c>
      <c r="CR18" s="259">
        <v>0.76300000000000001</v>
      </c>
      <c r="CS18" s="259">
        <v>6.0699999999999999E-3</v>
      </c>
      <c r="CT18" s="258">
        <v>125.73</v>
      </c>
      <c r="CU18" s="258" t="s">
        <v>422</v>
      </c>
      <c r="CV18" s="167">
        <v>2E-16</v>
      </c>
      <c r="CW18" s="81" t="s">
        <v>389</v>
      </c>
      <c r="CX18" s="260" t="s">
        <v>467</v>
      </c>
      <c r="CY18" s="265" t="s">
        <v>481</v>
      </c>
      <c r="CZ18" s="261" t="s">
        <v>323</v>
      </c>
      <c r="DA18" s="262">
        <f t="shared" si="7"/>
        <v>0.13600000000000001</v>
      </c>
      <c r="DB18" s="260" t="s">
        <v>322</v>
      </c>
      <c r="DD18" s="170" t="s">
        <v>467</v>
      </c>
      <c r="DE18" s="294" t="s">
        <v>481</v>
      </c>
      <c r="DF18" s="291" t="s">
        <v>323</v>
      </c>
      <c r="DG18" s="170">
        <f>O10*Z37*AP7</f>
        <v>0.21968698404606754</v>
      </c>
      <c r="DH18" s="170" t="s">
        <v>322</v>
      </c>
    </row>
    <row r="19" spans="1:112" ht="15" customHeight="1" thickTop="1" thickBot="1" x14ac:dyDescent="0.3">
      <c r="A19" s="188" t="s">
        <v>81</v>
      </c>
      <c r="B19" s="197">
        <f>B17-B18</f>
        <v>0</v>
      </c>
      <c r="C19" s="189"/>
      <c r="D19" s="204"/>
      <c r="E19" s="199"/>
      <c r="F19" s="199"/>
      <c r="G19" s="199"/>
      <c r="H19" s="198"/>
      <c r="I19" s="199"/>
      <c r="K19" s="81" t="s">
        <v>79</v>
      </c>
      <c r="L19" s="218">
        <v>0</v>
      </c>
      <c r="M19" s="219">
        <v>2</v>
      </c>
      <c r="N19" s="219" t="s">
        <v>25</v>
      </c>
      <c r="O19" s="220">
        <f>'Tabula data'!B10*'Tabula RefULG 2'!C42/2*(1-'Tabula RefULG 2'!C43)</f>
        <v>26.085502079619726</v>
      </c>
      <c r="P19" s="221" t="s">
        <v>45</v>
      </c>
      <c r="Q19" s="30">
        <f t="shared" si="2"/>
        <v>0.31684206193169995</v>
      </c>
      <c r="R19" s="30">
        <f t="shared" si="3"/>
        <v>8.2649842654303605</v>
      </c>
      <c r="S19" s="30">
        <f t="shared" si="11"/>
        <v>8847582.7747326195</v>
      </c>
      <c r="T19" s="30">
        <f t="shared" si="12"/>
        <v>339176.25</v>
      </c>
      <c r="U19" s="30">
        <f t="shared" si="13"/>
        <v>4721997.5864527635</v>
      </c>
      <c r="V19" s="31"/>
      <c r="W19" s="153"/>
      <c r="X19" s="205"/>
      <c r="Y19" s="187" t="s">
        <v>277</v>
      </c>
      <c r="Z19" s="187">
        <v>0.02</v>
      </c>
      <c r="AA19" s="187">
        <v>0.6</v>
      </c>
      <c r="AB19" s="187">
        <v>975</v>
      </c>
      <c r="AC19" s="187">
        <v>840</v>
      </c>
      <c r="AD19" s="237">
        <f>Z19/AA19</f>
        <v>3.3333333333333333E-2</v>
      </c>
      <c r="AE19" s="210">
        <f>Z19*AB19*AC19</f>
        <v>16380</v>
      </c>
      <c r="AF19" s="14"/>
      <c r="AG19" s="14"/>
      <c r="AH19" s="14"/>
      <c r="AM19" s="159" t="s">
        <v>319</v>
      </c>
      <c r="AN19" s="81" t="s">
        <v>320</v>
      </c>
      <c r="AO19" s="81" t="s">
        <v>335</v>
      </c>
      <c r="AP19" s="81">
        <f>SUM(O6:O9)*(1/(SUM(AD18:AD19)+1/4))</f>
        <v>56.080743187749825</v>
      </c>
      <c r="AQ19" s="81" t="s">
        <v>322</v>
      </c>
      <c r="AR19" s="167">
        <v>298.59179999999998</v>
      </c>
      <c r="AV19" s="168" t="s">
        <v>319</v>
      </c>
      <c r="AW19" s="168" t="s">
        <v>320</v>
      </c>
      <c r="AX19" s="168" t="s">
        <v>335</v>
      </c>
      <c r="AY19" s="169" t="s">
        <v>323</v>
      </c>
      <c r="AZ19" s="162">
        <f>AP19</f>
        <v>56.080743187749825</v>
      </c>
      <c r="BA19" s="168" t="s">
        <v>322</v>
      </c>
      <c r="BC19" s="81" t="s">
        <v>399</v>
      </c>
      <c r="BD19" s="167">
        <v>2950000</v>
      </c>
      <c r="BE19" s="167">
        <v>42900</v>
      </c>
      <c r="BF19" s="81">
        <v>68.739999999999995</v>
      </c>
      <c r="BG19" s="81" t="s">
        <v>388</v>
      </c>
      <c r="BJ19" s="175" t="s">
        <v>319</v>
      </c>
      <c r="BK19" s="175" t="s">
        <v>320</v>
      </c>
      <c r="BL19" s="175" t="s">
        <v>335</v>
      </c>
      <c r="BM19" s="175" t="s">
        <v>323</v>
      </c>
      <c r="BN19" s="181">
        <f>BD32</f>
        <v>637</v>
      </c>
      <c r="BO19" s="175" t="s">
        <v>322</v>
      </c>
      <c r="BQ19" s="81" t="s">
        <v>399</v>
      </c>
      <c r="BR19" s="167">
        <v>3560000</v>
      </c>
      <c r="BS19" s="167">
        <v>405000</v>
      </c>
      <c r="BT19" s="81">
        <v>8.81</v>
      </c>
      <c r="BU19" s="81" t="s">
        <v>422</v>
      </c>
      <c r="BV19" s="167">
        <v>2E-16</v>
      </c>
      <c r="BW19" s="81" t="s">
        <v>389</v>
      </c>
      <c r="BY19" s="178" t="s">
        <v>319</v>
      </c>
      <c r="BZ19" s="178" t="s">
        <v>320</v>
      </c>
      <c r="CA19" s="178" t="s">
        <v>334</v>
      </c>
      <c r="CB19" s="178" t="s">
        <v>323</v>
      </c>
      <c r="CC19" s="177">
        <f t="shared" si="14"/>
        <v>7.2499999999999995E-2</v>
      </c>
      <c r="CD19" s="178" t="s">
        <v>322</v>
      </c>
      <c r="CJ19" s="81" t="s">
        <v>336</v>
      </c>
      <c r="CK19" s="257">
        <f t="shared" si="15"/>
        <v>128.91089108910893</v>
      </c>
      <c r="CL19" s="257">
        <f t="shared" si="16"/>
        <v>795</v>
      </c>
      <c r="CM19" s="257">
        <f t="shared" si="17"/>
        <v>215</v>
      </c>
      <c r="CP19" s="258" t="s">
        <v>442</v>
      </c>
      <c r="CQ19" s="258" t="s">
        <v>449</v>
      </c>
      <c r="CR19" s="259">
        <v>0.82799999999999996</v>
      </c>
      <c r="CS19" s="259">
        <v>1.0500000000000001E-2</v>
      </c>
      <c r="CT19" s="258">
        <v>78.540000000000006</v>
      </c>
      <c r="CU19" s="258" t="s">
        <v>422</v>
      </c>
      <c r="CV19" s="167">
        <v>2E-16</v>
      </c>
      <c r="CW19" s="81" t="s">
        <v>389</v>
      </c>
      <c r="CX19" s="260" t="s">
        <v>467</v>
      </c>
      <c r="CY19" s="263" t="s">
        <v>482</v>
      </c>
      <c r="CZ19" s="261" t="s">
        <v>323</v>
      </c>
      <c r="DA19" s="262">
        <f t="shared" si="7"/>
        <v>0.252</v>
      </c>
      <c r="DB19" s="260" t="s">
        <v>322</v>
      </c>
      <c r="DD19" s="170" t="s">
        <v>467</v>
      </c>
      <c r="DE19" s="292" t="s">
        <v>482</v>
      </c>
      <c r="DF19" s="291" t="s">
        <v>323</v>
      </c>
      <c r="DG19" s="170">
        <f>O12*Z37*AP7</f>
        <v>0.22739529927575414</v>
      </c>
      <c r="DH19" s="170" t="s">
        <v>322</v>
      </c>
    </row>
    <row r="20" spans="1:112" ht="15" customHeight="1" thickTop="1" thickBot="1" x14ac:dyDescent="0.3">
      <c r="A20" s="188"/>
      <c r="B20" s="189"/>
      <c r="C20" s="189"/>
      <c r="D20" s="194" t="s">
        <v>83</v>
      </c>
      <c r="E20" s="199"/>
      <c r="F20" s="207">
        <f>G4/B23</f>
        <v>0.14497920380273319</v>
      </c>
      <c r="G20" s="199"/>
      <c r="H20" s="190"/>
      <c r="I20" s="189"/>
      <c r="K20" s="81" t="s">
        <v>82</v>
      </c>
      <c r="L20" s="218">
        <v>0</v>
      </c>
      <c r="M20" s="219">
        <v>2</v>
      </c>
      <c r="N20" s="219" t="s">
        <v>25</v>
      </c>
      <c r="O20" s="220">
        <f>'Tabula data'!B10*(1-'Tabula RefULG 2'!C42)/2*(1-'Tabula RefULG 2'!C44)</f>
        <v>0</v>
      </c>
      <c r="P20" s="221" t="s">
        <v>50</v>
      </c>
      <c r="Q20" s="30">
        <f t="shared" si="2"/>
        <v>0.31684206193169995</v>
      </c>
      <c r="R20" s="30">
        <f t="shared" si="3"/>
        <v>0</v>
      </c>
      <c r="S20" s="30">
        <f t="shared" si="11"/>
        <v>0</v>
      </c>
      <c r="T20" s="30" t="e">
        <f t="shared" si="12"/>
        <v>#DIV/0!</v>
      </c>
      <c r="U20" s="30">
        <f t="shared" si="13"/>
        <v>0</v>
      </c>
      <c r="V20" s="31"/>
      <c r="W20" s="153"/>
      <c r="X20" s="226"/>
      <c r="Y20" s="226"/>
      <c r="Z20" s="226"/>
      <c r="AA20" s="226"/>
      <c r="AB20" s="226"/>
      <c r="AC20" s="226"/>
      <c r="AD20" s="226"/>
      <c r="AE20" s="226"/>
      <c r="AF20" s="14"/>
      <c r="AG20" s="14"/>
      <c r="AH20" s="14"/>
      <c r="AM20" s="159" t="s">
        <v>319</v>
      </c>
      <c r="AN20" s="81" t="s">
        <v>320</v>
      </c>
      <c r="AO20" s="81" t="s">
        <v>336</v>
      </c>
      <c r="AP20" s="81">
        <f>SUM(O14)*1/(SUM(AD42:AD43)+1/3)</f>
        <v>128.91089108910893</v>
      </c>
      <c r="AQ20" s="81" t="s">
        <v>322</v>
      </c>
      <c r="AR20" s="167">
        <v>278.86439999999999</v>
      </c>
      <c r="AV20" s="168" t="s">
        <v>319</v>
      </c>
      <c r="AW20" s="168" t="s">
        <v>320</v>
      </c>
      <c r="AX20" s="168" t="s">
        <v>336</v>
      </c>
      <c r="AY20" s="169" t="s">
        <v>323</v>
      </c>
      <c r="AZ20" s="162">
        <f t="shared" ref="AZ20:AZ24" si="18">AP20</f>
        <v>128.91089108910893</v>
      </c>
      <c r="BA20" s="168" t="s">
        <v>322</v>
      </c>
      <c r="BC20" s="81" t="s">
        <v>301</v>
      </c>
      <c r="BD20" s="167">
        <v>23100000</v>
      </c>
      <c r="BE20" s="167">
        <v>232000</v>
      </c>
      <c r="BF20" s="81">
        <v>99.92</v>
      </c>
      <c r="BG20" s="81" t="s">
        <v>388</v>
      </c>
      <c r="BJ20" s="175" t="s">
        <v>319</v>
      </c>
      <c r="BK20" s="175" t="s">
        <v>320</v>
      </c>
      <c r="BL20" s="175" t="s">
        <v>336</v>
      </c>
      <c r="BM20" s="175" t="s">
        <v>323</v>
      </c>
      <c r="BN20" s="181">
        <f>BD33</f>
        <v>795</v>
      </c>
      <c r="BO20" s="175" t="s">
        <v>322</v>
      </c>
      <c r="BQ20" s="81" t="s">
        <v>301</v>
      </c>
      <c r="BR20" s="167">
        <v>32200000</v>
      </c>
      <c r="BS20" s="167">
        <v>1890000</v>
      </c>
      <c r="BT20" s="81">
        <v>17.04</v>
      </c>
      <c r="BU20" s="81" t="s">
        <v>422</v>
      </c>
      <c r="BV20" s="167">
        <v>2E-16</v>
      </c>
      <c r="BW20" s="81" t="s">
        <v>389</v>
      </c>
      <c r="BY20" s="178"/>
      <c r="BZ20" s="178"/>
      <c r="CA20" s="178"/>
      <c r="CB20" s="178"/>
      <c r="CC20" s="177"/>
      <c r="CD20" s="178"/>
      <c r="CJ20" s="81" t="s">
        <v>337</v>
      </c>
      <c r="CK20" s="257">
        <f t="shared" si="15"/>
        <v>259.79329575601236</v>
      </c>
      <c r="CL20" s="257">
        <f t="shared" si="16"/>
        <v>1310</v>
      </c>
      <c r="CM20" s="257">
        <f t="shared" si="17"/>
        <v>457</v>
      </c>
      <c r="CP20" s="258" t="s">
        <v>442</v>
      </c>
      <c r="CQ20" s="258" t="s">
        <v>450</v>
      </c>
      <c r="CR20" s="259">
        <v>0.27300000000000002</v>
      </c>
      <c r="CS20" s="259">
        <v>8.1199999999999994E-2</v>
      </c>
      <c r="CT20" s="258">
        <v>3.37</v>
      </c>
      <c r="CU20" s="258">
        <v>7.6000000000000004E-4</v>
      </c>
      <c r="CV20" s="81" t="s">
        <v>389</v>
      </c>
      <c r="CX20" s="260" t="s">
        <v>467</v>
      </c>
      <c r="CY20" s="264" t="s">
        <v>483</v>
      </c>
      <c r="CZ20" s="261" t="s">
        <v>323</v>
      </c>
      <c r="DA20" s="262">
        <f t="shared" si="7"/>
        <v>0.27900000000000003</v>
      </c>
      <c r="DB20" s="260" t="s">
        <v>322</v>
      </c>
      <c r="DD20" s="170" t="s">
        <v>467</v>
      </c>
      <c r="DE20" s="293" t="s">
        <v>483</v>
      </c>
      <c r="DF20" s="291" t="s">
        <v>323</v>
      </c>
      <c r="DG20" s="170">
        <f>O13*Z37*AP7</f>
        <v>0.25052024496481384</v>
      </c>
      <c r="DH20" s="170" t="s">
        <v>322</v>
      </c>
    </row>
    <row r="21" spans="1:112" ht="15" customHeight="1" thickTop="1" thickBot="1" x14ac:dyDescent="0.3">
      <c r="A21" s="188"/>
      <c r="B21" s="189"/>
      <c r="C21" s="189"/>
      <c r="D21" s="194" t="s">
        <v>86</v>
      </c>
      <c r="E21" s="199"/>
      <c r="F21" s="207">
        <f>G4/B6</f>
        <v>0.14497920380273319</v>
      </c>
      <c r="G21" s="199"/>
      <c r="H21" s="190"/>
      <c r="I21" s="189"/>
      <c r="K21" s="81" t="s">
        <v>84</v>
      </c>
      <c r="L21" s="218">
        <v>0</v>
      </c>
      <c r="M21" s="219">
        <v>2</v>
      </c>
      <c r="N21" s="219" t="s">
        <v>54</v>
      </c>
      <c r="O21" s="220">
        <f>H10</f>
        <v>2.85</v>
      </c>
      <c r="P21" s="221" t="s">
        <v>26</v>
      </c>
      <c r="Q21" s="30">
        <f t="shared" si="2"/>
        <v>2</v>
      </c>
      <c r="R21" s="30">
        <f t="shared" si="3"/>
        <v>5.7</v>
      </c>
      <c r="S21" s="30">
        <f t="shared" si="11"/>
        <v>0</v>
      </c>
      <c r="T21" s="30">
        <f t="shared" si="12"/>
        <v>0</v>
      </c>
      <c r="U21" s="30">
        <f t="shared" si="13"/>
        <v>0</v>
      </c>
      <c r="V21" s="31"/>
      <c r="W21" s="153"/>
      <c r="X21" s="228" t="s">
        <v>85</v>
      </c>
      <c r="Y21" s="229"/>
      <c r="Z21" s="230" t="s">
        <v>21</v>
      </c>
      <c r="AA21" s="231">
        <f>(1/(1/4+SUM(AD23:AD25)+1/4))</f>
        <v>1.210762331838565</v>
      </c>
      <c r="AB21" s="229" t="s">
        <v>5</v>
      </c>
      <c r="AC21" s="229"/>
      <c r="AD21" s="229" t="s">
        <v>22</v>
      </c>
      <c r="AE21" s="232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9" t="s">
        <v>319</v>
      </c>
      <c r="AN21" s="81" t="s">
        <v>320</v>
      </c>
      <c r="AO21" s="81" t="s">
        <v>337</v>
      </c>
      <c r="AP21" s="81">
        <f>2*AA21*O27+O30*1*AA53</f>
        <v>259.79329575601236</v>
      </c>
      <c r="AQ21" s="81" t="s">
        <v>322</v>
      </c>
      <c r="AR21" s="167">
        <v>721.00049999999999</v>
      </c>
      <c r="AV21" s="168" t="s">
        <v>319</v>
      </c>
      <c r="AW21" s="168" t="s">
        <v>320</v>
      </c>
      <c r="AX21" s="168" t="s">
        <v>337</v>
      </c>
      <c r="AY21" s="169" t="s">
        <v>323</v>
      </c>
      <c r="AZ21" s="162">
        <f t="shared" si="18"/>
        <v>259.79329575601236</v>
      </c>
      <c r="BA21" s="168" t="s">
        <v>322</v>
      </c>
      <c r="BC21" s="81" t="s">
        <v>303</v>
      </c>
      <c r="BD21" s="167">
        <v>30400000</v>
      </c>
      <c r="BE21" s="167">
        <v>78800</v>
      </c>
      <c r="BF21" s="81">
        <v>386.04</v>
      </c>
      <c r="BG21" s="81" t="s">
        <v>388</v>
      </c>
      <c r="BJ21" s="175" t="s">
        <v>319</v>
      </c>
      <c r="BK21" s="175" t="s">
        <v>320</v>
      </c>
      <c r="BL21" s="175" t="s">
        <v>337</v>
      </c>
      <c r="BM21" s="175" t="s">
        <v>323</v>
      </c>
      <c r="BN21" s="181">
        <f>BD34</f>
        <v>1310</v>
      </c>
      <c r="BO21" s="175" t="s">
        <v>322</v>
      </c>
      <c r="BQ21" s="81" t="s">
        <v>303</v>
      </c>
      <c r="BR21" s="167">
        <v>25400000</v>
      </c>
      <c r="BS21" s="167">
        <v>316000</v>
      </c>
      <c r="BT21" s="81">
        <v>80.53</v>
      </c>
      <c r="BU21" s="81" t="s">
        <v>422</v>
      </c>
      <c r="BV21" s="167">
        <v>2E-16</v>
      </c>
      <c r="BW21" s="81" t="s">
        <v>389</v>
      </c>
      <c r="BY21" s="178" t="s">
        <v>319</v>
      </c>
      <c r="BZ21" s="178" t="s">
        <v>320</v>
      </c>
      <c r="CA21" s="178" t="s">
        <v>335</v>
      </c>
      <c r="CB21" s="178" t="s">
        <v>323</v>
      </c>
      <c r="CC21" s="180">
        <f>BR32</f>
        <v>278</v>
      </c>
      <c r="CD21" s="178" t="s">
        <v>322</v>
      </c>
      <c r="CE21" s="167">
        <f>BS32</f>
        <v>2.25</v>
      </c>
      <c r="CJ21" s="81" t="s">
        <v>338</v>
      </c>
      <c r="CK21" s="257">
        <f t="shared" si="15"/>
        <v>74.992456689190959</v>
      </c>
      <c r="CL21" s="257">
        <f t="shared" si="16"/>
        <v>253</v>
      </c>
      <c r="CM21" s="257">
        <f t="shared" si="17"/>
        <v>272</v>
      </c>
      <c r="CP21" s="258" t="s">
        <v>442</v>
      </c>
      <c r="CQ21" s="258" t="s">
        <v>343</v>
      </c>
      <c r="CR21" s="259">
        <v>3.0199999999999998E-7</v>
      </c>
      <c r="CS21" s="259">
        <v>1.0900000000000001E-5</v>
      </c>
      <c r="CT21" s="258">
        <v>0.03</v>
      </c>
      <c r="CU21" s="258">
        <v>0.97789999999999999</v>
      </c>
      <c r="CX21" s="260" t="s">
        <v>467</v>
      </c>
      <c r="CY21" s="264" t="s">
        <v>484</v>
      </c>
      <c r="CZ21" s="261" t="s">
        <v>323</v>
      </c>
      <c r="DA21" s="262">
        <f t="shared" si="7"/>
        <v>0.20200000000000001</v>
      </c>
      <c r="DB21" s="260" t="s">
        <v>322</v>
      </c>
      <c r="DD21" s="170" t="s">
        <v>467</v>
      </c>
      <c r="DE21" s="293" t="s">
        <v>484</v>
      </c>
      <c r="DF21" s="291" t="s">
        <v>323</v>
      </c>
      <c r="DG21" s="170">
        <f>O11*Z37*AP42</f>
        <v>0.24281192973512727</v>
      </c>
      <c r="DH21" s="170" t="s">
        <v>322</v>
      </c>
    </row>
    <row r="22" spans="1:112" ht="15" customHeight="1" thickTop="1" thickBot="1" x14ac:dyDescent="0.3">
      <c r="A22" s="205"/>
      <c r="B22" s="187"/>
      <c r="C22" s="187"/>
      <c r="D22" s="188" t="s">
        <v>88</v>
      </c>
      <c r="E22" s="189"/>
      <c r="F22" s="195">
        <f>G4/B26</f>
        <v>9.497859089139743E-2</v>
      </c>
      <c r="G22" s="189"/>
      <c r="H22" s="190"/>
      <c r="I22" s="189"/>
      <c r="K22" s="81" t="s">
        <v>87</v>
      </c>
      <c r="L22" s="218">
        <v>0</v>
      </c>
      <c r="M22" s="219">
        <v>2</v>
      </c>
      <c r="N22" s="219" t="s">
        <v>54</v>
      </c>
      <c r="O22" s="220">
        <f>H11</f>
        <v>3.15</v>
      </c>
      <c r="P22" s="221" t="s">
        <v>39</v>
      </c>
      <c r="Q22" s="30">
        <f t="shared" si="2"/>
        <v>2</v>
      </c>
      <c r="R22" s="30">
        <f t="shared" si="3"/>
        <v>6.3</v>
      </c>
      <c r="S22" s="30">
        <f t="shared" si="11"/>
        <v>0</v>
      </c>
      <c r="T22" s="30">
        <f t="shared" si="12"/>
        <v>0</v>
      </c>
      <c r="U22" s="30">
        <f t="shared" si="13"/>
        <v>0</v>
      </c>
      <c r="V22" s="31"/>
      <c r="W22" s="153"/>
      <c r="X22" s="233"/>
      <c r="Y22" s="234" t="s">
        <v>27</v>
      </c>
      <c r="Z22" s="234" t="s">
        <v>28</v>
      </c>
      <c r="AA22" s="234" t="s">
        <v>29</v>
      </c>
      <c r="AB22" s="234" t="s">
        <v>30</v>
      </c>
      <c r="AC22" s="234" t="s">
        <v>31</v>
      </c>
      <c r="AD22" s="234" t="s">
        <v>32</v>
      </c>
      <c r="AE22" s="235" t="s">
        <v>33</v>
      </c>
      <c r="AF22" s="14"/>
      <c r="AG22" s="14"/>
      <c r="AH22" s="14"/>
      <c r="AM22" s="159" t="s">
        <v>319</v>
      </c>
      <c r="AN22" s="81" t="s">
        <v>320</v>
      </c>
      <c r="AO22" s="81" t="s">
        <v>338</v>
      </c>
      <c r="AP22" s="153">
        <f>'Verwarming Tabula 2zone Ref1'!B60+SUM(R10:R13)+R16</f>
        <v>74.992456689190959</v>
      </c>
      <c r="AQ22" s="81" t="s">
        <v>322</v>
      </c>
      <c r="AR22" s="167">
        <v>110.5333</v>
      </c>
      <c r="AV22" s="168" t="s">
        <v>319</v>
      </c>
      <c r="AW22" s="168" t="s">
        <v>320</v>
      </c>
      <c r="AX22" s="168" t="s">
        <v>338</v>
      </c>
      <c r="AY22" s="169" t="s">
        <v>323</v>
      </c>
      <c r="AZ22" s="162">
        <f t="shared" si="18"/>
        <v>74.992456689190959</v>
      </c>
      <c r="BA22" s="168" t="s">
        <v>322</v>
      </c>
      <c r="BC22" s="81" t="s">
        <v>400</v>
      </c>
      <c r="BD22" s="167">
        <v>-5.92</v>
      </c>
      <c r="BE22" s="167">
        <v>5.1700000000000003E-2</v>
      </c>
      <c r="BF22" s="81">
        <v>-114.57</v>
      </c>
      <c r="BG22" s="81" t="s">
        <v>388</v>
      </c>
      <c r="BJ22" s="175" t="s">
        <v>319</v>
      </c>
      <c r="BK22" s="175" t="s">
        <v>320</v>
      </c>
      <c r="BL22" s="175" t="s">
        <v>338</v>
      </c>
      <c r="BM22" s="175" t="s">
        <v>323</v>
      </c>
      <c r="BN22" s="181">
        <f>BD35</f>
        <v>253</v>
      </c>
      <c r="BO22" s="175" t="s">
        <v>322</v>
      </c>
      <c r="BQ22" s="81" t="s">
        <v>400</v>
      </c>
      <c r="BR22" s="167">
        <v>-6.08</v>
      </c>
      <c r="BS22" s="167">
        <v>0.23</v>
      </c>
      <c r="BT22" s="81">
        <v>-26.41</v>
      </c>
      <c r="BU22" s="81" t="s">
        <v>422</v>
      </c>
      <c r="BV22" s="167">
        <v>2E-16</v>
      </c>
      <c r="BW22" s="81" t="s">
        <v>389</v>
      </c>
      <c r="BY22" s="178" t="s">
        <v>319</v>
      </c>
      <c r="BZ22" s="178" t="s">
        <v>320</v>
      </c>
      <c r="CA22" s="178" t="s">
        <v>336</v>
      </c>
      <c r="CB22" s="178" t="s">
        <v>323</v>
      </c>
      <c r="CC22" s="180">
        <f t="shared" ref="CC22:CC24" si="19">BR33</f>
        <v>215</v>
      </c>
      <c r="CD22" s="178" t="s">
        <v>322</v>
      </c>
      <c r="CE22" s="167">
        <f t="shared" ref="CE22:CE24" si="20">BS33</f>
        <v>1.54</v>
      </c>
      <c r="CJ22" s="81" t="s">
        <v>339</v>
      </c>
      <c r="CK22" s="257">
        <f t="shared" si="15"/>
        <v>11.111336725807982</v>
      </c>
      <c r="CL22" s="257">
        <f t="shared" si="16"/>
        <v>217.39130434782609</v>
      </c>
      <c r="CM22" s="257">
        <f t="shared" si="17"/>
        <v>326.79738562091507</v>
      </c>
      <c r="CP22" s="258" t="s">
        <v>442</v>
      </c>
      <c r="CQ22" s="258" t="s">
        <v>451</v>
      </c>
      <c r="CR22" s="259">
        <v>4.9599999999999998E-2</v>
      </c>
      <c r="CS22" s="259">
        <v>3.3099999999999997E-2</v>
      </c>
      <c r="CT22" s="258">
        <v>1.5</v>
      </c>
      <c r="CU22" s="258">
        <v>0.13417999999999999</v>
      </c>
      <c r="CX22" s="260" t="s">
        <v>467</v>
      </c>
      <c r="CY22" s="264" t="s">
        <v>485</v>
      </c>
      <c r="CZ22" s="261" t="s">
        <v>323</v>
      </c>
      <c r="DA22" s="262">
        <f t="shared" si="7"/>
        <v>2.4699999999999998E-7</v>
      </c>
      <c r="DB22" s="260" t="s">
        <v>322</v>
      </c>
      <c r="DD22" s="170" t="s">
        <v>467</v>
      </c>
      <c r="DE22" s="293" t="s">
        <v>485</v>
      </c>
      <c r="DF22" s="291" t="s">
        <v>323</v>
      </c>
      <c r="DG22" s="170">
        <f>O10*Z37*AP42</f>
        <v>0.21968698404606754</v>
      </c>
      <c r="DH22" s="170" t="s">
        <v>322</v>
      </c>
    </row>
    <row r="23" spans="1:112" ht="15" customHeight="1" thickTop="1" thickBot="1" x14ac:dyDescent="0.3">
      <c r="A23" s="191" t="s">
        <v>91</v>
      </c>
      <c r="B23" s="192">
        <f>B17+B6</f>
        <v>168.3</v>
      </c>
      <c r="C23" s="202" t="s">
        <v>9</v>
      </c>
      <c r="D23" s="188"/>
      <c r="E23" s="189"/>
      <c r="F23" s="189"/>
      <c r="G23" s="189"/>
      <c r="H23" s="190"/>
      <c r="I23" s="189"/>
      <c r="K23" s="81" t="s">
        <v>89</v>
      </c>
      <c r="L23" s="218">
        <v>0</v>
      </c>
      <c r="M23" s="219">
        <v>2</v>
      </c>
      <c r="N23" s="219" t="s">
        <v>54</v>
      </c>
      <c r="O23" s="220">
        <f>H12</f>
        <v>2.95</v>
      </c>
      <c r="P23" s="221" t="s">
        <v>45</v>
      </c>
      <c r="Q23" s="30">
        <f t="shared" si="2"/>
        <v>2</v>
      </c>
      <c r="R23" s="30">
        <f t="shared" si="3"/>
        <v>5.9</v>
      </c>
      <c r="S23" s="30">
        <f t="shared" si="11"/>
        <v>0</v>
      </c>
      <c r="T23" s="30">
        <f t="shared" si="12"/>
        <v>0</v>
      </c>
      <c r="U23" s="30">
        <f t="shared" si="13"/>
        <v>0</v>
      </c>
      <c r="V23" s="31"/>
      <c r="W23" s="153"/>
      <c r="X23" s="188"/>
      <c r="Y23" s="189" t="s">
        <v>90</v>
      </c>
      <c r="Z23" s="189">
        <v>0.02</v>
      </c>
      <c r="AA23" s="189">
        <v>0.6</v>
      </c>
      <c r="AB23" s="189">
        <v>975</v>
      </c>
      <c r="AC23" s="189">
        <v>840</v>
      </c>
      <c r="AD23" s="236">
        <f>Z23/AA23</f>
        <v>3.3333333333333333E-2</v>
      </c>
      <c r="AE23" s="190">
        <f>Z23*AB23*AC23</f>
        <v>16380</v>
      </c>
      <c r="AF23" s="14"/>
      <c r="AG23" s="14"/>
      <c r="AH23" s="14"/>
      <c r="AM23" s="159" t="s">
        <v>319</v>
      </c>
      <c r="AN23" s="81" t="s">
        <v>320</v>
      </c>
      <c r="AO23" s="81" t="s">
        <v>339</v>
      </c>
      <c r="AP23" s="81">
        <f>SUM(O6:O9)*1/(SUM(AD15:AD17)+1/23)</f>
        <v>11.111336725807982</v>
      </c>
      <c r="AQ23" s="81" t="s">
        <v>322</v>
      </c>
      <c r="AR23" s="81">
        <f>1/0.01496205</f>
        <v>66.83576114235683</v>
      </c>
      <c r="AV23" s="168" t="s">
        <v>319</v>
      </c>
      <c r="AW23" s="168" t="s">
        <v>320</v>
      </c>
      <c r="AX23" s="168" t="s">
        <v>339</v>
      </c>
      <c r="AY23" s="169" t="s">
        <v>323</v>
      </c>
      <c r="AZ23" s="162">
        <f t="shared" si="18"/>
        <v>11.111336725807982</v>
      </c>
      <c r="BA23" s="168" t="s">
        <v>322</v>
      </c>
      <c r="BC23" s="81" t="s">
        <v>401</v>
      </c>
      <c r="BD23" s="167">
        <v>-13.3</v>
      </c>
      <c r="BE23" s="167">
        <v>65</v>
      </c>
      <c r="BF23" s="81">
        <v>-0.2</v>
      </c>
      <c r="BG23" s="81">
        <v>0.84</v>
      </c>
      <c r="BJ23" s="175" t="s">
        <v>319</v>
      </c>
      <c r="BK23" s="175" t="s">
        <v>320</v>
      </c>
      <c r="BL23" s="175" t="s">
        <v>339</v>
      </c>
      <c r="BM23" s="175" t="s">
        <v>323</v>
      </c>
      <c r="BN23" s="181">
        <f>1/BD41</f>
        <v>217.39130434782609</v>
      </c>
      <c r="BO23" s="175" t="s">
        <v>322</v>
      </c>
      <c r="BQ23" s="81" t="s">
        <v>401</v>
      </c>
      <c r="BR23" s="167">
        <v>-27.7</v>
      </c>
      <c r="BS23" s="167">
        <v>2.08</v>
      </c>
      <c r="BT23" s="81">
        <v>-13.34</v>
      </c>
      <c r="BU23" s="81" t="s">
        <v>422</v>
      </c>
      <c r="BV23" s="167">
        <v>2E-16</v>
      </c>
      <c r="BW23" s="81" t="s">
        <v>389</v>
      </c>
      <c r="BY23" s="178" t="s">
        <v>319</v>
      </c>
      <c r="BZ23" s="178" t="s">
        <v>320</v>
      </c>
      <c r="CA23" s="178" t="s">
        <v>337</v>
      </c>
      <c r="CB23" s="178" t="s">
        <v>323</v>
      </c>
      <c r="CC23" s="180">
        <f t="shared" si="19"/>
        <v>457</v>
      </c>
      <c r="CD23" s="178" t="s">
        <v>322</v>
      </c>
      <c r="CE23" s="167">
        <f t="shared" si="20"/>
        <v>3.7</v>
      </c>
      <c r="CJ23" s="81" t="s">
        <v>340</v>
      </c>
      <c r="CK23" s="257">
        <f t="shared" si="15"/>
        <v>20.503937007874015</v>
      </c>
      <c r="CL23" s="257">
        <f t="shared" si="16"/>
        <v>81.900000000000006</v>
      </c>
      <c r="CM23" s="257">
        <f t="shared" si="17"/>
        <v>75.900000000000006</v>
      </c>
      <c r="CP23" s="258" t="s">
        <v>442</v>
      </c>
      <c r="CQ23" s="258" t="s">
        <v>452</v>
      </c>
      <c r="CR23" s="259">
        <v>4.7199999999999999E-7</v>
      </c>
      <c r="CS23" s="259">
        <v>3.5700000000000001E-6</v>
      </c>
      <c r="CT23" s="258">
        <v>0.13</v>
      </c>
      <c r="CU23" s="258">
        <v>0.89485999999999999</v>
      </c>
      <c r="CX23" s="260" t="s">
        <v>467</v>
      </c>
      <c r="CY23" s="263" t="s">
        <v>486</v>
      </c>
      <c r="CZ23" s="261" t="s">
        <v>323</v>
      </c>
      <c r="DA23" s="262">
        <f t="shared" si="7"/>
        <v>0.19</v>
      </c>
      <c r="DB23" s="260" t="s">
        <v>322</v>
      </c>
      <c r="DD23" s="170" t="s">
        <v>467</v>
      </c>
      <c r="DE23" s="292" t="s">
        <v>486</v>
      </c>
      <c r="DF23" s="291" t="s">
        <v>323</v>
      </c>
      <c r="DG23" s="170">
        <f>O12*Z37*AP42</f>
        <v>0.22739529927575414</v>
      </c>
      <c r="DH23" s="170" t="s">
        <v>322</v>
      </c>
    </row>
    <row r="24" spans="1:112" ht="15" customHeight="1" thickTop="1" thickBot="1" x14ac:dyDescent="0.3">
      <c r="A24" s="188" t="s">
        <v>94</v>
      </c>
      <c r="B24" s="208">
        <f>B23/B6</f>
        <v>1</v>
      </c>
      <c r="C24" s="189"/>
      <c r="D24" s="188" t="s">
        <v>95</v>
      </c>
      <c r="E24" s="189"/>
      <c r="F24" s="208">
        <f>B8/B6</f>
        <v>0.63161021984551402</v>
      </c>
      <c r="G24" s="189"/>
      <c r="H24" s="190"/>
      <c r="I24" s="189"/>
      <c r="K24" s="81" t="s">
        <v>92</v>
      </c>
      <c r="L24" s="218">
        <v>0</v>
      </c>
      <c r="M24" s="219">
        <v>2</v>
      </c>
      <c r="N24" s="219" t="s">
        <v>54</v>
      </c>
      <c r="O24" s="220">
        <f>H13</f>
        <v>3.25</v>
      </c>
      <c r="P24" s="221" t="s">
        <v>50</v>
      </c>
      <c r="Q24" s="30">
        <f t="shared" si="2"/>
        <v>2</v>
      </c>
      <c r="R24" s="30">
        <f t="shared" si="3"/>
        <v>6.5</v>
      </c>
      <c r="S24" s="30">
        <f t="shared" si="11"/>
        <v>0</v>
      </c>
      <c r="T24" s="30">
        <f t="shared" si="12"/>
        <v>0</v>
      </c>
      <c r="U24" s="30">
        <f t="shared" si="13"/>
        <v>0</v>
      </c>
      <c r="V24" s="31"/>
      <c r="W24" s="153"/>
      <c r="X24" s="188"/>
      <c r="Y24" s="189" t="s">
        <v>93</v>
      </c>
      <c r="Z24" s="189">
        <v>0.14000000000000001</v>
      </c>
      <c r="AA24" s="189">
        <v>0.54</v>
      </c>
      <c r="AB24" s="189">
        <v>1400</v>
      </c>
      <c r="AC24" s="189">
        <v>840</v>
      </c>
      <c r="AD24" s="236">
        <f>Z24/AA24</f>
        <v>0.25925925925925924</v>
      </c>
      <c r="AE24" s="190">
        <f>Z24*AB24*AC24</f>
        <v>164640.00000000003</v>
      </c>
      <c r="AF24" s="14"/>
      <c r="AG24" s="14"/>
      <c r="AH24" s="14"/>
      <c r="AM24" s="159" t="s">
        <v>319</v>
      </c>
      <c r="AN24" s="81" t="s">
        <v>320</v>
      </c>
      <c r="AO24" s="81" t="s">
        <v>340</v>
      </c>
      <c r="AP24" s="81">
        <f>SUM(O14)*1/(SUM(AD44:AD46))</f>
        <v>20.503937007874015</v>
      </c>
      <c r="AQ24" s="81" t="s">
        <v>322</v>
      </c>
      <c r="AR24" s="167">
        <v>43.800190000000001</v>
      </c>
      <c r="AV24" s="168" t="s">
        <v>319</v>
      </c>
      <c r="AW24" s="168" t="s">
        <v>320</v>
      </c>
      <c r="AX24" s="168" t="s">
        <v>340</v>
      </c>
      <c r="AY24" s="169" t="s">
        <v>323</v>
      </c>
      <c r="AZ24" s="162">
        <f t="shared" si="18"/>
        <v>20.503937007874015</v>
      </c>
      <c r="BA24" s="168" t="s">
        <v>322</v>
      </c>
      <c r="BC24" s="81" t="s">
        <v>402</v>
      </c>
      <c r="BD24" s="167">
        <v>-15.6</v>
      </c>
      <c r="BE24" s="167">
        <v>83.5</v>
      </c>
      <c r="BF24" s="81">
        <v>-0.19</v>
      </c>
      <c r="BG24" s="81">
        <v>0.85</v>
      </c>
      <c r="BJ24" s="175" t="s">
        <v>319</v>
      </c>
      <c r="BK24" s="175" t="s">
        <v>320</v>
      </c>
      <c r="BL24" s="175" t="s">
        <v>340</v>
      </c>
      <c r="BM24" s="175" t="s">
        <v>323</v>
      </c>
      <c r="BN24" s="181">
        <f>BD44</f>
        <v>81.900000000000006</v>
      </c>
      <c r="BO24" s="175" t="s">
        <v>322</v>
      </c>
      <c r="BQ24" s="81" t="s">
        <v>402</v>
      </c>
      <c r="BR24" s="167">
        <v>-23.8</v>
      </c>
      <c r="BS24" s="167">
        <v>9</v>
      </c>
      <c r="BT24" s="81">
        <v>-2.65</v>
      </c>
      <c r="BU24" s="81">
        <v>8.0999999999999996E-3</v>
      </c>
      <c r="BV24" s="81" t="s">
        <v>425</v>
      </c>
      <c r="BY24" s="178" t="s">
        <v>319</v>
      </c>
      <c r="BZ24" s="178" t="s">
        <v>320</v>
      </c>
      <c r="CA24" s="178" t="s">
        <v>338</v>
      </c>
      <c r="CB24" s="178" t="s">
        <v>323</v>
      </c>
      <c r="CC24" s="180">
        <f t="shared" si="19"/>
        <v>272</v>
      </c>
      <c r="CD24" s="178" t="s">
        <v>322</v>
      </c>
      <c r="CE24" s="167">
        <f t="shared" si="20"/>
        <v>18.2</v>
      </c>
      <c r="CK24" s="255"/>
      <c r="CL24" s="255"/>
      <c r="CM24" s="255"/>
      <c r="CP24" s="258" t="s">
        <v>442</v>
      </c>
      <c r="CQ24" s="258" t="s">
        <v>453</v>
      </c>
      <c r="CR24" s="259">
        <v>0.3</v>
      </c>
      <c r="CS24" s="259">
        <v>3.46E-3</v>
      </c>
      <c r="CT24" s="258">
        <v>86.73</v>
      </c>
      <c r="CU24" s="258" t="s">
        <v>422</v>
      </c>
      <c r="CV24" s="167">
        <v>2E-16</v>
      </c>
      <c r="CW24" s="81" t="s">
        <v>389</v>
      </c>
      <c r="CX24" s="260" t="s">
        <v>467</v>
      </c>
      <c r="CY24" s="261" t="s">
        <v>487</v>
      </c>
      <c r="CZ24" s="261" t="s">
        <v>323</v>
      </c>
      <c r="DA24" s="262">
        <f t="shared" si="7"/>
        <v>0.19800000000000001</v>
      </c>
      <c r="DB24" s="260" t="s">
        <v>322</v>
      </c>
      <c r="DD24" s="170" t="s">
        <v>467</v>
      </c>
      <c r="DE24" s="291" t="s">
        <v>487</v>
      </c>
      <c r="DF24" s="291" t="s">
        <v>323</v>
      </c>
      <c r="DG24" s="170">
        <f>O13*Z37*AP42</f>
        <v>0.25052024496481384</v>
      </c>
      <c r="DH24" s="170" t="s">
        <v>322</v>
      </c>
    </row>
    <row r="25" spans="1:112" ht="15" customHeight="1" thickTop="1" thickBot="1" x14ac:dyDescent="0.3">
      <c r="A25" s="205"/>
      <c r="B25" s="187"/>
      <c r="C25" s="187"/>
      <c r="D25" s="188"/>
      <c r="E25" s="189"/>
      <c r="F25" s="189"/>
      <c r="G25" s="189"/>
      <c r="H25" s="190"/>
      <c r="I25" s="189"/>
      <c r="K25" s="81" t="s">
        <v>96</v>
      </c>
      <c r="L25" s="218">
        <v>0</v>
      </c>
      <c r="M25" s="219">
        <v>2</v>
      </c>
      <c r="N25" s="219" t="s">
        <v>20</v>
      </c>
      <c r="O25" s="220">
        <f>'Tabula data'!B7</f>
        <v>78.599999999999994</v>
      </c>
      <c r="P25" s="221" t="s">
        <v>97</v>
      </c>
      <c r="Q25" s="30">
        <f t="shared" si="2"/>
        <v>0.3127301569316186</v>
      </c>
      <c r="R25" s="30">
        <f t="shared" si="3"/>
        <v>24.580590334825221</v>
      </c>
      <c r="S25" s="30">
        <f t="shared" si="11"/>
        <v>4476427.1999999993</v>
      </c>
      <c r="T25" s="30">
        <f t="shared" si="12"/>
        <v>56951.999999999993</v>
      </c>
      <c r="U25" s="30">
        <f t="shared" si="13"/>
        <v>1287468</v>
      </c>
      <c r="V25" s="31"/>
      <c r="W25" s="153"/>
      <c r="X25" s="205"/>
      <c r="Y25" s="187" t="s">
        <v>90</v>
      </c>
      <c r="Z25" s="187">
        <v>0.02</v>
      </c>
      <c r="AA25" s="187">
        <v>0.6</v>
      </c>
      <c r="AB25" s="187">
        <v>975</v>
      </c>
      <c r="AC25" s="187">
        <v>840</v>
      </c>
      <c r="AD25" s="237">
        <f>Z25/AA25</f>
        <v>3.3333333333333333E-2</v>
      </c>
      <c r="AE25" s="210">
        <f>Z25*AB25*AC25</f>
        <v>16380</v>
      </c>
      <c r="AF25" s="14"/>
      <c r="AG25" s="14"/>
      <c r="AH25" s="14"/>
      <c r="AQ25" s="81" t="s">
        <v>322</v>
      </c>
      <c r="AV25" s="168"/>
      <c r="AW25" s="168"/>
      <c r="AX25" s="168"/>
      <c r="AY25" s="169"/>
      <c r="BA25" s="168"/>
      <c r="BC25" s="81" t="s">
        <v>403</v>
      </c>
      <c r="BD25" s="167">
        <v>-11.3</v>
      </c>
      <c r="BE25" s="167">
        <v>53</v>
      </c>
      <c r="BF25" s="81">
        <v>-0.21</v>
      </c>
      <c r="BG25" s="81">
        <v>0.83</v>
      </c>
      <c r="BJ25" s="175"/>
      <c r="BK25" s="175"/>
      <c r="BL25" s="175"/>
      <c r="BM25" s="175"/>
      <c r="BN25" s="174"/>
      <c r="BO25" s="175"/>
      <c r="BQ25" s="81" t="s">
        <v>403</v>
      </c>
      <c r="BR25" s="167">
        <v>-16.399999999999999</v>
      </c>
      <c r="BS25" s="167">
        <v>1.69</v>
      </c>
      <c r="BT25" s="81">
        <v>-9.69</v>
      </c>
      <c r="BU25" s="81" t="s">
        <v>422</v>
      </c>
      <c r="BV25" s="167">
        <v>2E-16</v>
      </c>
      <c r="BW25" s="81" t="s">
        <v>389</v>
      </c>
      <c r="BY25" s="178" t="s">
        <v>319</v>
      </c>
      <c r="BZ25" s="178" t="s">
        <v>320</v>
      </c>
      <c r="CA25" s="178" t="s">
        <v>339</v>
      </c>
      <c r="CB25" s="178" t="s">
        <v>323</v>
      </c>
      <c r="CC25" s="180">
        <f>1/BR41</f>
        <v>326.79738562091507</v>
      </c>
      <c r="CD25" s="178" t="s">
        <v>322</v>
      </c>
      <c r="CE25" s="167">
        <f>CC25/50</f>
        <v>6.5359477124183014</v>
      </c>
      <c r="CJ25" s="81" t="s">
        <v>341</v>
      </c>
      <c r="CK25" s="254">
        <f>AZ26</f>
        <v>0.19933779953344727</v>
      </c>
      <c r="CL25" s="254">
        <f>BN26</f>
        <v>0.44900000000000001</v>
      </c>
      <c r="CM25" s="254">
        <f>CC28</f>
        <v>0.46800000000000003</v>
      </c>
      <c r="CP25" s="258" t="s">
        <v>442</v>
      </c>
      <c r="CQ25" s="258" t="s">
        <v>454</v>
      </c>
      <c r="CR25" s="259">
        <v>0.13600000000000001</v>
      </c>
      <c r="CS25" s="259">
        <v>1.12E-2</v>
      </c>
      <c r="CT25" s="258">
        <v>12.13</v>
      </c>
      <c r="CU25" s="258" t="s">
        <v>422</v>
      </c>
      <c r="CV25" s="167">
        <v>2E-16</v>
      </c>
      <c r="CW25" s="81" t="s">
        <v>389</v>
      </c>
      <c r="CZ25" s="261"/>
      <c r="DF25" s="291"/>
    </row>
    <row r="26" spans="1:112" ht="15" customHeight="1" thickTop="1" thickBot="1" x14ac:dyDescent="0.3">
      <c r="A26" s="191" t="s">
        <v>100</v>
      </c>
      <c r="B26" s="209">
        <f>'Tabula data'!B6</f>
        <v>256.89999999999998</v>
      </c>
      <c r="C26" s="203" t="s">
        <v>9</v>
      </c>
      <c r="D26" s="188"/>
      <c r="E26" s="189"/>
      <c r="F26" s="189"/>
      <c r="G26" s="189"/>
      <c r="H26" s="190"/>
      <c r="I26" s="189"/>
      <c r="K26" s="81" t="s">
        <v>98</v>
      </c>
      <c r="L26" s="218">
        <v>1</v>
      </c>
      <c r="M26" s="219">
        <v>2</v>
      </c>
      <c r="N26" s="219" t="s">
        <v>99</v>
      </c>
      <c r="O26" s="220">
        <f>O14</f>
        <v>62</v>
      </c>
      <c r="P26" s="221"/>
      <c r="Q26" s="30">
        <f t="shared" si="2"/>
        <v>1.0668924640135478</v>
      </c>
      <c r="R26" s="30">
        <f t="shared" si="3"/>
        <v>66.147332768839959</v>
      </c>
      <c r="S26" s="30">
        <f t="shared" si="11"/>
        <v>28355700</v>
      </c>
      <c r="T26" s="30">
        <f t="shared" si="12"/>
        <v>457350</v>
      </c>
      <c r="U26" s="30">
        <f t="shared" si="13"/>
        <v>28355700</v>
      </c>
      <c r="V26" s="31"/>
      <c r="W26" s="153"/>
      <c r="X26" s="226"/>
      <c r="Y26" s="226"/>
      <c r="Z26" s="226"/>
      <c r="AA26" s="226"/>
      <c r="AB26" s="226"/>
      <c r="AC26" s="226"/>
      <c r="AD26" s="226"/>
      <c r="AE26" s="226"/>
      <c r="AF26" s="14"/>
      <c r="AG26" s="14"/>
      <c r="AH26" s="14"/>
      <c r="AM26" s="159" t="s">
        <v>319</v>
      </c>
      <c r="AN26" s="81" t="s">
        <v>320</v>
      </c>
      <c r="AO26" s="81" t="s">
        <v>341</v>
      </c>
      <c r="AP26" s="81">
        <f>SUM(O17:O20,O25)/SUM(O$17:O$25,2*O$28,O$26,O31,2*O29)</f>
        <v>0.19933779953344727</v>
      </c>
      <c r="AQ26" s="81" t="s">
        <v>322</v>
      </c>
      <c r="AR26" s="167">
        <v>0.44339849999999997</v>
      </c>
      <c r="AV26" s="168" t="s">
        <v>319</v>
      </c>
      <c r="AW26" s="168" t="s">
        <v>320</v>
      </c>
      <c r="AX26" s="168" t="s">
        <v>341</v>
      </c>
      <c r="AY26" s="169" t="s">
        <v>323</v>
      </c>
      <c r="AZ26" s="162">
        <f>AP26</f>
        <v>0.19933779953344727</v>
      </c>
      <c r="BA26" s="168" t="s">
        <v>322</v>
      </c>
      <c r="BC26" s="81" t="s">
        <v>404</v>
      </c>
      <c r="BD26" s="167">
        <v>-14.8</v>
      </c>
      <c r="BE26" s="167">
        <v>69.3</v>
      </c>
      <c r="BF26" s="81">
        <v>-0.21</v>
      </c>
      <c r="BG26" s="81">
        <v>0.83</v>
      </c>
      <c r="BJ26" s="175" t="s">
        <v>319</v>
      </c>
      <c r="BK26" s="175" t="s">
        <v>320</v>
      </c>
      <c r="BL26" s="175" t="s">
        <v>341</v>
      </c>
      <c r="BM26" s="175" t="s">
        <v>323</v>
      </c>
      <c r="BN26" s="174">
        <f>BD54</f>
        <v>0.44900000000000001</v>
      </c>
      <c r="BO26" s="175" t="s">
        <v>322</v>
      </c>
      <c r="BQ26" s="81" t="s">
        <v>404</v>
      </c>
      <c r="BR26" s="167">
        <v>-21.6</v>
      </c>
      <c r="BS26" s="167">
        <v>1.83E-2</v>
      </c>
      <c r="BT26" s="81">
        <v>-1183.33</v>
      </c>
      <c r="BU26" s="81" t="s">
        <v>422</v>
      </c>
      <c r="BV26" s="167">
        <v>2E-16</v>
      </c>
      <c r="BW26" s="81" t="s">
        <v>389</v>
      </c>
      <c r="BY26" s="178" t="s">
        <v>319</v>
      </c>
      <c r="BZ26" s="178" t="s">
        <v>320</v>
      </c>
      <c r="CA26" s="178" t="s">
        <v>340</v>
      </c>
      <c r="CB26" s="178" t="s">
        <v>323</v>
      </c>
      <c r="CC26" s="180">
        <f>BR44</f>
        <v>75.900000000000006</v>
      </c>
      <c r="CD26" s="178" t="s">
        <v>322</v>
      </c>
      <c r="CJ26" s="81" t="s">
        <v>342</v>
      </c>
      <c r="CK26" s="254">
        <f>AZ27</f>
        <v>0.68755712170328964</v>
      </c>
      <c r="CL26" s="254">
        <f>BN27</f>
        <v>0.111</v>
      </c>
      <c r="CM26" s="254">
        <f>CC29</f>
        <v>0.14099999999999999</v>
      </c>
      <c r="CP26" s="258" t="s">
        <v>442</v>
      </c>
      <c r="CQ26" s="258" t="s">
        <v>455</v>
      </c>
      <c r="CR26" s="259">
        <v>0.252</v>
      </c>
      <c r="CS26" s="259">
        <v>1.97E-3</v>
      </c>
      <c r="CT26" s="258">
        <v>127.58</v>
      </c>
      <c r="CU26" s="258" t="s">
        <v>422</v>
      </c>
      <c r="CV26" s="167">
        <v>2E-16</v>
      </c>
      <c r="CW26" s="81" t="s">
        <v>389</v>
      </c>
      <c r="CY26" s="261"/>
      <c r="CZ26" s="261"/>
      <c r="DA26" s="262"/>
      <c r="DE26" s="291"/>
      <c r="DF26" s="291"/>
    </row>
    <row r="27" spans="1:112" ht="15" customHeight="1" thickTop="1" thickBot="1" x14ac:dyDescent="0.3">
      <c r="A27" s="188"/>
      <c r="B27" s="208">
        <f>SUM(O6:O25)</f>
        <v>257.09999999999997</v>
      </c>
      <c r="C27" s="190" t="s">
        <v>9</v>
      </c>
      <c r="D27" s="188"/>
      <c r="E27" s="189"/>
      <c r="F27" s="189"/>
      <c r="G27" s="189"/>
      <c r="H27" s="190"/>
      <c r="I27" s="189"/>
      <c r="K27" s="81" t="s">
        <v>101</v>
      </c>
      <c r="L27" s="218">
        <v>1</v>
      </c>
      <c r="M27" s="219">
        <v>1</v>
      </c>
      <c r="N27" s="219" t="s">
        <v>85</v>
      </c>
      <c r="O27" s="220">
        <f>SUM(O6:O9)+O30/2</f>
        <v>68.065579028785521</v>
      </c>
      <c r="P27" s="221"/>
      <c r="Q27" s="30">
        <f t="shared" si="2"/>
        <v>1.210762331838565</v>
      </c>
      <c r="R27" s="30">
        <f t="shared" si="3"/>
        <v>82.411239182834478</v>
      </c>
      <c r="S27" s="30">
        <f t="shared" si="11"/>
        <v>13436145.300282264</v>
      </c>
      <c r="T27" s="30">
        <f t="shared" si="12"/>
        <v>197400.00000000003</v>
      </c>
      <c r="U27" s="30">
        <f t="shared" si="13"/>
        <v>13436145.300282264</v>
      </c>
      <c r="V27" s="31"/>
      <c r="W27" s="153"/>
      <c r="X27" s="228" t="s">
        <v>99</v>
      </c>
      <c r="Y27" s="229"/>
      <c r="Z27" s="230" t="s">
        <v>21</v>
      </c>
      <c r="AA27" s="231">
        <f>1/(1/5+SUM(AD29:AD32)+1/3)</f>
        <v>1.0668924640135478</v>
      </c>
      <c r="AB27" s="229" t="s">
        <v>5</v>
      </c>
      <c r="AC27" s="229"/>
      <c r="AD27" s="229" t="s">
        <v>22</v>
      </c>
      <c r="AE27" s="232">
        <f>SUM(AE29:AE33)</f>
        <v>457350</v>
      </c>
      <c r="AF27" s="14" t="s">
        <v>23</v>
      </c>
      <c r="AG27" s="14">
        <f>SUM(AE29:AE32)</f>
        <v>457350</v>
      </c>
      <c r="AH27" s="14"/>
      <c r="AM27" s="159" t="s">
        <v>319</v>
      </c>
      <c r="AN27" s="81" t="s">
        <v>320</v>
      </c>
      <c r="AO27" s="81" t="s">
        <v>342</v>
      </c>
      <c r="AP27" s="81">
        <f>SUM(2*O28,2*O29,O31)/SUM(O$17:O$25,2*O$28,O$26,O31,2*O29)</f>
        <v>0.68755712170328964</v>
      </c>
      <c r="AQ27" s="81" t="s">
        <v>322</v>
      </c>
      <c r="AR27" s="167">
        <v>0.14522370000000001</v>
      </c>
      <c r="AV27" s="168" t="s">
        <v>319</v>
      </c>
      <c r="AW27" s="168" t="s">
        <v>320</v>
      </c>
      <c r="AX27" s="168" t="s">
        <v>342</v>
      </c>
      <c r="AY27" s="169" t="s">
        <v>323</v>
      </c>
      <c r="AZ27" s="162">
        <f t="shared" ref="AZ27:AZ28" si="21">AP27</f>
        <v>0.68755712170328964</v>
      </c>
      <c r="BA27" s="168" t="s">
        <v>322</v>
      </c>
      <c r="BC27" s="81" t="s">
        <v>405</v>
      </c>
      <c r="BD27" s="167">
        <v>0.11700000000000001</v>
      </c>
      <c r="BE27" s="167">
        <v>5.5000000000000003E-4</v>
      </c>
      <c r="BF27" s="81">
        <v>212.4</v>
      </c>
      <c r="BG27" s="81" t="s">
        <v>388</v>
      </c>
      <c r="BJ27" s="175" t="s">
        <v>319</v>
      </c>
      <c r="BK27" s="175" t="s">
        <v>320</v>
      </c>
      <c r="BL27" s="175" t="s">
        <v>342</v>
      </c>
      <c r="BM27" s="175" t="s">
        <v>323</v>
      </c>
      <c r="BN27" s="174">
        <f>BD55</f>
        <v>0.111</v>
      </c>
      <c r="BO27" s="175" t="s">
        <v>322</v>
      </c>
      <c r="BQ27" s="81" t="s">
        <v>405</v>
      </c>
      <c r="BR27" s="167">
        <v>7.0400000000000004E-2</v>
      </c>
      <c r="BS27" s="167">
        <v>1.0300000000000001E-3</v>
      </c>
      <c r="BT27" s="81">
        <v>68.37</v>
      </c>
      <c r="BU27" s="81" t="s">
        <v>422</v>
      </c>
      <c r="BV27" s="167">
        <v>2E-16</v>
      </c>
      <c r="BW27" s="81" t="s">
        <v>389</v>
      </c>
      <c r="BY27" s="178"/>
      <c r="BZ27" s="178"/>
      <c r="CA27" s="178"/>
      <c r="CB27" s="178"/>
      <c r="CC27" s="177"/>
      <c r="CD27" s="178"/>
      <c r="CJ27" s="81" t="s">
        <v>343</v>
      </c>
      <c r="CK27" s="254">
        <f>AZ28</f>
        <v>1.8596791926035174E-2</v>
      </c>
      <c r="CL27" s="254">
        <f>BN28</f>
        <v>0.255</v>
      </c>
      <c r="CM27" s="254">
        <f>CC30</f>
        <v>0.108</v>
      </c>
      <c r="CP27" s="258" t="s">
        <v>442</v>
      </c>
      <c r="CQ27" s="258" t="s">
        <v>456</v>
      </c>
      <c r="CR27" s="259">
        <v>0.27900000000000003</v>
      </c>
      <c r="CS27" s="259">
        <v>3.49E-3</v>
      </c>
      <c r="CT27" s="258">
        <v>80.040000000000006</v>
      </c>
      <c r="CU27" s="258" t="s">
        <v>422</v>
      </c>
      <c r="CV27" s="167">
        <v>2E-16</v>
      </c>
      <c r="CW27" s="81" t="s">
        <v>389</v>
      </c>
      <c r="CX27" s="260" t="s">
        <v>467</v>
      </c>
      <c r="CY27" s="261" t="s">
        <v>330</v>
      </c>
      <c r="CZ27" s="261" t="s">
        <v>323</v>
      </c>
      <c r="DA27" s="262">
        <f>CR33</f>
        <v>6110000</v>
      </c>
      <c r="DB27" s="260" t="s">
        <v>322</v>
      </c>
      <c r="DD27" s="170" t="s">
        <v>467</v>
      </c>
      <c r="DE27" s="291" t="s">
        <v>330</v>
      </c>
      <c r="DF27" s="291" t="s">
        <v>323</v>
      </c>
      <c r="DG27" s="295">
        <f>AP12</f>
        <v>6879520</v>
      </c>
      <c r="DH27" s="170" t="s">
        <v>322</v>
      </c>
    </row>
    <row r="28" spans="1:112" ht="15" customHeight="1" thickTop="1" thickBot="1" x14ac:dyDescent="0.3">
      <c r="A28" s="188"/>
      <c r="B28" s="189"/>
      <c r="C28" s="190"/>
      <c r="D28" s="188"/>
      <c r="E28" s="189"/>
      <c r="F28" s="189"/>
      <c r="G28" s="189"/>
      <c r="H28" s="190"/>
      <c r="I28" s="189"/>
      <c r="K28" s="81" t="s">
        <v>102</v>
      </c>
      <c r="L28" s="218">
        <v>2</v>
      </c>
      <c r="M28" s="219">
        <v>2</v>
      </c>
      <c r="N28" s="219" t="s">
        <v>85</v>
      </c>
      <c r="O28" s="220">
        <f>SUM(O17:O20)+O31/2</f>
        <v>116.69953307677261</v>
      </c>
      <c r="P28" s="221"/>
      <c r="Q28" s="30">
        <f>VLOOKUP(N28,$X$5:$AA$391,4,0)</f>
        <v>1.210762331838565</v>
      </c>
      <c r="R28" s="30">
        <f>Q28*O28</f>
        <v>141.29539879250495</v>
      </c>
      <c r="S28" s="30">
        <f>VLOOKUP(N28,$X$5:$AE$391,8,0)*O28</f>
        <v>23036487.829354916</v>
      </c>
      <c r="T28" s="30">
        <f>S28/O28</f>
        <v>197400.00000000003</v>
      </c>
      <c r="U28" s="30">
        <f>VLOOKUP(N28,$X$5:$AG$391,10,0)*O28</f>
        <v>23036487.829354916</v>
      </c>
      <c r="V28" s="31"/>
      <c r="X28" s="233"/>
      <c r="Y28" s="234" t="s">
        <v>27</v>
      </c>
      <c r="Z28" s="234" t="s">
        <v>28</v>
      </c>
      <c r="AA28" s="234" t="s">
        <v>29</v>
      </c>
      <c r="AB28" s="234" t="s">
        <v>30</v>
      </c>
      <c r="AC28" s="234" t="s">
        <v>31</v>
      </c>
      <c r="AD28" s="234" t="s">
        <v>32</v>
      </c>
      <c r="AE28" s="235" t="s">
        <v>33</v>
      </c>
      <c r="AF28" s="14"/>
      <c r="AG28" s="14"/>
      <c r="AH28" s="14"/>
      <c r="AM28" s="159" t="s">
        <v>319</v>
      </c>
      <c r="AN28" s="81" t="s">
        <v>320</v>
      </c>
      <c r="AO28" s="81" t="s">
        <v>343</v>
      </c>
      <c r="AP28" s="81">
        <f>SUM(O21:O24)/SUM(O$17:O$25,2*O$28,O$26,O31,2*O29)</f>
        <v>1.8596791926035174E-2</v>
      </c>
      <c r="AQ28" s="81" t="s">
        <v>322</v>
      </c>
      <c r="AR28" s="167">
        <v>0.13569049999999999</v>
      </c>
      <c r="AV28" s="168" t="s">
        <v>319</v>
      </c>
      <c r="AW28" s="168" t="s">
        <v>320</v>
      </c>
      <c r="AX28" s="168" t="s">
        <v>343</v>
      </c>
      <c r="AY28" s="169" t="s">
        <v>323</v>
      </c>
      <c r="AZ28" s="162">
        <f t="shared" si="21"/>
        <v>1.8596791926035174E-2</v>
      </c>
      <c r="BA28" s="168" t="s">
        <v>322</v>
      </c>
      <c r="BC28" s="81" t="s">
        <v>406</v>
      </c>
      <c r="BD28" s="167">
        <v>0.22500000000000001</v>
      </c>
      <c r="BE28" s="167">
        <v>9.9500000000000001E-4</v>
      </c>
      <c r="BF28" s="81">
        <v>225.89</v>
      </c>
      <c r="BG28" s="81" t="s">
        <v>388</v>
      </c>
      <c r="BJ28" s="175" t="s">
        <v>319</v>
      </c>
      <c r="BK28" s="175" t="s">
        <v>320</v>
      </c>
      <c r="BL28" s="175" t="s">
        <v>343</v>
      </c>
      <c r="BM28" s="175" t="s">
        <v>323</v>
      </c>
      <c r="BN28" s="174">
        <f>BD56</f>
        <v>0.255</v>
      </c>
      <c r="BO28" s="175" t="s">
        <v>322</v>
      </c>
      <c r="BQ28" s="81" t="s">
        <v>406</v>
      </c>
      <c r="BR28" s="167">
        <v>0.13700000000000001</v>
      </c>
      <c r="BS28" s="167">
        <v>1.8699999999999999E-3</v>
      </c>
      <c r="BT28" s="81">
        <v>73.45</v>
      </c>
      <c r="BU28" s="81" t="s">
        <v>422</v>
      </c>
      <c r="BV28" s="167">
        <v>2E-16</v>
      </c>
      <c r="BW28" s="81" t="s">
        <v>389</v>
      </c>
      <c r="BY28" s="178" t="s">
        <v>319</v>
      </c>
      <c r="BZ28" s="178" t="s">
        <v>320</v>
      </c>
      <c r="CA28" s="178" t="s">
        <v>341</v>
      </c>
      <c r="CB28" s="178" t="s">
        <v>323</v>
      </c>
      <c r="CC28" s="177">
        <f>BR53</f>
        <v>0.46800000000000003</v>
      </c>
      <c r="CD28" s="178" t="s">
        <v>322</v>
      </c>
      <c r="CK28" s="255"/>
      <c r="CL28" s="255"/>
      <c r="CM28" s="255"/>
      <c r="CP28" s="258" t="s">
        <v>442</v>
      </c>
      <c r="CQ28" s="258" t="s">
        <v>457</v>
      </c>
      <c r="CR28" s="259">
        <v>0.20200000000000001</v>
      </c>
      <c r="CS28" s="259">
        <v>3.4199999999999999E-3</v>
      </c>
      <c r="CT28" s="258">
        <v>58.97</v>
      </c>
      <c r="CU28" s="258" t="s">
        <v>422</v>
      </c>
      <c r="CV28" s="167">
        <v>2E-16</v>
      </c>
      <c r="CW28" s="81" t="s">
        <v>389</v>
      </c>
      <c r="CX28" s="260" t="s">
        <v>467</v>
      </c>
      <c r="CY28" s="264" t="s">
        <v>327</v>
      </c>
      <c r="CZ28" s="261" t="s">
        <v>323</v>
      </c>
      <c r="DA28" s="262">
        <f t="shared" ref="DA28:DA30" si="22">CR34</f>
        <v>1270000</v>
      </c>
      <c r="DB28" s="260" t="s">
        <v>322</v>
      </c>
      <c r="DD28" s="170" t="s">
        <v>467</v>
      </c>
      <c r="DE28" s="293" t="s">
        <v>327</v>
      </c>
      <c r="DF28" s="291" t="s">
        <v>323</v>
      </c>
      <c r="DG28" s="295">
        <f>AP9</f>
        <v>897190.73464052298</v>
      </c>
      <c r="DH28" s="170" t="s">
        <v>322</v>
      </c>
    </row>
    <row r="29" spans="1:112" ht="15" customHeight="1" thickTop="1" thickBot="1" x14ac:dyDescent="0.3">
      <c r="A29" s="188"/>
      <c r="B29" s="189"/>
      <c r="C29" s="190"/>
      <c r="D29" s="188"/>
      <c r="E29" s="189"/>
      <c r="F29" s="189"/>
      <c r="G29" s="189"/>
      <c r="H29" s="190"/>
      <c r="I29" s="189"/>
      <c r="L29" s="218">
        <v>2</v>
      </c>
      <c r="M29" s="219">
        <v>2</v>
      </c>
      <c r="N29" s="219" t="s">
        <v>99</v>
      </c>
      <c r="O29" s="220">
        <f>B8-B7</f>
        <v>44.300000000000011</v>
      </c>
      <c r="P29" s="221"/>
      <c r="Q29" s="30">
        <f t="shared" ref="Q29:Q31" si="23">VLOOKUP(N29,$X$5:$AA$391,4,0)</f>
        <v>1.0668924640135478</v>
      </c>
      <c r="R29" s="30">
        <f t="shared" ref="R29:R31" si="24">Q29*O29</f>
        <v>47.263336155800175</v>
      </c>
      <c r="S29" s="30">
        <f t="shared" ref="S29:S31" si="25">VLOOKUP(N29,$X$5:$AE$391,8,0)*O29</f>
        <v>20260605.000000004</v>
      </c>
      <c r="T29" s="30">
        <f t="shared" ref="T29:T31" si="26">S29/O29</f>
        <v>457349.99999999994</v>
      </c>
      <c r="U29" s="30">
        <f t="shared" ref="U29:U31" si="27">VLOOKUP(N29,$X$5:$AG$391,10,0)*O29</f>
        <v>20260605.000000004</v>
      </c>
      <c r="X29" s="239"/>
      <c r="Y29" s="240" t="s">
        <v>103</v>
      </c>
      <c r="Z29" s="240">
        <v>0.02</v>
      </c>
      <c r="AA29" s="240">
        <v>0.18</v>
      </c>
      <c r="AB29" s="240">
        <v>550</v>
      </c>
      <c r="AC29" s="240">
        <v>1880</v>
      </c>
      <c r="AD29" s="241">
        <f>Z29/AA29</f>
        <v>0.11111111111111112</v>
      </c>
      <c r="AE29" s="242">
        <f>Z29*AB29*AC29</f>
        <v>20680</v>
      </c>
      <c r="AF29" s="14" t="s">
        <v>104</v>
      </c>
      <c r="AG29" s="14"/>
      <c r="AH29" s="14"/>
      <c r="AQ29" s="81" t="s">
        <v>322</v>
      </c>
      <c r="AV29" s="168"/>
      <c r="AW29" s="168"/>
      <c r="AX29" s="168"/>
      <c r="AY29" s="169"/>
      <c r="BA29" s="168"/>
      <c r="BC29" s="81" t="s">
        <v>407</v>
      </c>
      <c r="BD29" s="167">
        <v>0.46500000000000002</v>
      </c>
      <c r="BE29" s="167">
        <v>2.8900000000000002E-3</v>
      </c>
      <c r="BF29" s="81">
        <v>161.16999999999999</v>
      </c>
      <c r="BG29" s="81" t="s">
        <v>388</v>
      </c>
      <c r="BJ29" s="175"/>
      <c r="BK29" s="175"/>
      <c r="BL29" s="175"/>
      <c r="BM29" s="175"/>
      <c r="BN29" s="174"/>
      <c r="BO29" s="175"/>
      <c r="BQ29" s="81" t="s">
        <v>407</v>
      </c>
      <c r="BR29" s="167">
        <v>0.76900000000000002</v>
      </c>
      <c r="BS29" s="167">
        <v>3.4299999999999997E-2</v>
      </c>
      <c r="BT29" s="81">
        <v>22.44</v>
      </c>
      <c r="BU29" s="81" t="s">
        <v>422</v>
      </c>
      <c r="BV29" s="167">
        <v>2E-16</v>
      </c>
      <c r="BW29" s="81" t="s">
        <v>389</v>
      </c>
      <c r="BY29" s="178" t="s">
        <v>319</v>
      </c>
      <c r="BZ29" s="178" t="s">
        <v>320</v>
      </c>
      <c r="CA29" s="178" t="s">
        <v>342</v>
      </c>
      <c r="CB29" s="178" t="s">
        <v>323</v>
      </c>
      <c r="CC29" s="177">
        <f t="shared" ref="CC29:CC30" si="28">BR54</f>
        <v>0.14099999999999999</v>
      </c>
      <c r="CD29" s="178" t="s">
        <v>322</v>
      </c>
      <c r="CJ29" s="81" t="s">
        <v>344</v>
      </c>
      <c r="CK29" s="256">
        <f t="shared" ref="CK29:CK34" si="29">AZ30</f>
        <v>1538247.9853594769</v>
      </c>
      <c r="CL29" s="256">
        <f t="shared" ref="CL29:CL34" si="30">BN30</f>
        <v>858000</v>
      </c>
      <c r="CM29" s="256">
        <f t="shared" ref="CM29:CM34" si="31">CC32</f>
        <v>752000</v>
      </c>
      <c r="CP29" s="258" t="s">
        <v>442</v>
      </c>
      <c r="CQ29" s="258" t="s">
        <v>360</v>
      </c>
      <c r="CR29" s="259">
        <v>2.4699999999999998E-7</v>
      </c>
      <c r="CS29" s="259">
        <v>9.0699999999999996E-6</v>
      </c>
      <c r="CT29" s="258">
        <v>0.03</v>
      </c>
      <c r="CU29" s="258">
        <v>0.97824</v>
      </c>
      <c r="CX29" s="260" t="s">
        <v>467</v>
      </c>
      <c r="CY29" s="264" t="s">
        <v>328</v>
      </c>
      <c r="CZ29" s="261" t="s">
        <v>323</v>
      </c>
      <c r="DA29" s="262">
        <f t="shared" si="22"/>
        <v>5460000</v>
      </c>
      <c r="DB29" s="260" t="s">
        <v>322</v>
      </c>
      <c r="DD29" s="170" t="s">
        <v>467</v>
      </c>
      <c r="DE29" s="293" t="s">
        <v>328</v>
      </c>
      <c r="DF29" s="291" t="s">
        <v>323</v>
      </c>
      <c r="DG29" s="295">
        <f>AP10</f>
        <v>5508256.8270944748</v>
      </c>
      <c r="DH29" s="170" t="s">
        <v>322</v>
      </c>
    </row>
    <row r="30" spans="1:112" ht="15" customHeight="1" thickTop="1" thickBot="1" x14ac:dyDescent="0.3">
      <c r="A30" s="205"/>
      <c r="B30" s="187"/>
      <c r="C30" s="210"/>
      <c r="D30" s="205"/>
      <c r="E30" s="187"/>
      <c r="F30" s="187"/>
      <c r="G30" s="187"/>
      <c r="H30" s="210"/>
      <c r="I30" s="189"/>
      <c r="L30" s="218" t="s">
        <v>511</v>
      </c>
      <c r="M30" s="219">
        <v>1</v>
      </c>
      <c r="N30" s="219" t="s">
        <v>512</v>
      </c>
      <c r="O30" s="220">
        <f>'Tabula data'!B$19*C$43</f>
        <v>75.273166376049957</v>
      </c>
      <c r="P30" s="221"/>
      <c r="Q30" s="30">
        <f t="shared" si="23"/>
        <v>1.2616822429906542</v>
      </c>
      <c r="R30" s="30">
        <f t="shared" si="24"/>
        <v>94.970817390343413</v>
      </c>
      <c r="S30" s="30">
        <f t="shared" si="25"/>
        <v>13625948.577392565</v>
      </c>
      <c r="T30" s="30">
        <f t="shared" si="26"/>
        <v>181020.00000000003</v>
      </c>
      <c r="U30" s="30">
        <f t="shared" si="27"/>
        <v>13625948.577392565</v>
      </c>
      <c r="X30" s="188"/>
      <c r="Y30" s="189" t="s">
        <v>129</v>
      </c>
      <c r="Z30" s="189">
        <v>0.08</v>
      </c>
      <c r="AA30" s="189">
        <v>0.6</v>
      </c>
      <c r="AB30" s="189">
        <v>1100</v>
      </c>
      <c r="AC30" s="189">
        <v>860</v>
      </c>
      <c r="AD30" s="236">
        <f>Z30/AA30</f>
        <v>0.13333333333333333</v>
      </c>
      <c r="AE30" s="190">
        <f>Z30*AB30*AC30</f>
        <v>75680</v>
      </c>
      <c r="AF30" s="14"/>
      <c r="AG30" s="14"/>
      <c r="AH30" s="14"/>
      <c r="AM30" s="159" t="s">
        <v>319</v>
      </c>
      <c r="AN30" s="81" t="s">
        <v>320</v>
      </c>
      <c r="AO30" s="81" t="s">
        <v>344</v>
      </c>
      <c r="AP30" s="167">
        <f>B35*1.04*1012*5</f>
        <v>1538247.9853594769</v>
      </c>
      <c r="AQ30" s="81" t="s">
        <v>322</v>
      </c>
      <c r="AR30" s="167">
        <v>1612741</v>
      </c>
      <c r="AV30" s="168" t="s">
        <v>319</v>
      </c>
      <c r="AW30" s="168" t="s">
        <v>320</v>
      </c>
      <c r="AX30" s="168" t="s">
        <v>344</v>
      </c>
      <c r="AY30" s="169" t="s">
        <v>323</v>
      </c>
      <c r="AZ30" s="162">
        <f>AP30</f>
        <v>1538247.9853594769</v>
      </c>
      <c r="BA30" s="168" t="s">
        <v>322</v>
      </c>
      <c r="BC30" s="81" t="s">
        <v>408</v>
      </c>
      <c r="BD30" s="167">
        <v>0.11</v>
      </c>
      <c r="BE30" s="167">
        <v>6.3400000000000001E-4</v>
      </c>
      <c r="BF30" s="81">
        <v>173.77</v>
      </c>
      <c r="BG30" s="81" t="s">
        <v>388</v>
      </c>
      <c r="BJ30" s="175" t="s">
        <v>319</v>
      </c>
      <c r="BK30" s="175" t="s">
        <v>320</v>
      </c>
      <c r="BL30" s="175" t="s">
        <v>344</v>
      </c>
      <c r="BM30" s="175" t="s">
        <v>323</v>
      </c>
      <c r="BN30" s="174">
        <f>BD59</f>
        <v>858000</v>
      </c>
      <c r="BO30" s="175" t="s">
        <v>322</v>
      </c>
      <c r="BQ30" s="81" t="s">
        <v>408</v>
      </c>
      <c r="BR30" s="167">
        <v>7.2499999999999995E-2</v>
      </c>
      <c r="BS30" s="167">
        <v>7.0500000000000001E-4</v>
      </c>
      <c r="BT30" s="81">
        <v>102.71</v>
      </c>
      <c r="BU30" s="81" t="s">
        <v>422</v>
      </c>
      <c r="BV30" s="167">
        <v>2E-16</v>
      </c>
      <c r="BW30" s="81" t="s">
        <v>389</v>
      </c>
      <c r="BY30" s="178" t="s">
        <v>319</v>
      </c>
      <c r="BZ30" s="178" t="s">
        <v>320</v>
      </c>
      <c r="CA30" s="178" t="s">
        <v>343</v>
      </c>
      <c r="CB30" s="178" t="s">
        <v>323</v>
      </c>
      <c r="CC30" s="177">
        <f t="shared" si="28"/>
        <v>0.108</v>
      </c>
      <c r="CD30" s="178" t="s">
        <v>322</v>
      </c>
      <c r="CJ30" s="81" t="s">
        <v>345</v>
      </c>
      <c r="CK30" s="256">
        <f t="shared" si="29"/>
        <v>10731463.172905527</v>
      </c>
      <c r="CL30" s="256">
        <f t="shared" si="30"/>
        <v>2990000</v>
      </c>
      <c r="CM30" s="256">
        <f t="shared" si="31"/>
        <v>8650000</v>
      </c>
      <c r="CP30" s="258" t="s">
        <v>442</v>
      </c>
      <c r="CQ30" s="258" t="s">
        <v>458</v>
      </c>
      <c r="CR30" s="259">
        <v>0.19</v>
      </c>
      <c r="CS30" s="259">
        <v>1.7799999999999999E-3</v>
      </c>
      <c r="CT30" s="258">
        <v>106.54</v>
      </c>
      <c r="CU30" s="258" t="s">
        <v>422</v>
      </c>
      <c r="CV30" s="167">
        <v>2E-16</v>
      </c>
      <c r="CW30" s="81" t="s">
        <v>389</v>
      </c>
      <c r="CX30" s="260" t="s">
        <v>467</v>
      </c>
      <c r="CY30" s="264" t="s">
        <v>329</v>
      </c>
      <c r="CZ30" s="261" t="s">
        <v>323</v>
      </c>
      <c r="DA30" s="262">
        <f t="shared" si="22"/>
        <v>22000000</v>
      </c>
      <c r="DB30" s="260" t="s">
        <v>322</v>
      </c>
      <c r="DD30" s="170" t="s">
        <v>467</v>
      </c>
      <c r="DE30" s="293" t="s">
        <v>329</v>
      </c>
      <c r="DF30" s="291" t="s">
        <v>323</v>
      </c>
      <c r="DG30" s="295">
        <f>AP11</f>
        <v>13531046.938837415</v>
      </c>
      <c r="DH30" s="170" t="s">
        <v>322</v>
      </c>
    </row>
    <row r="31" spans="1:112" ht="15" customHeight="1" thickTop="1" thickBot="1" x14ac:dyDescent="0.3">
      <c r="L31" s="223" t="s">
        <v>511</v>
      </c>
      <c r="M31" s="224">
        <v>2</v>
      </c>
      <c r="N31" s="224" t="s">
        <v>512</v>
      </c>
      <c r="O31" s="220">
        <f>'Tabula data'!B$19*(1-C$43)</f>
        <v>129.05705783506633</v>
      </c>
      <c r="P31" s="225"/>
      <c r="Q31" s="30">
        <f t="shared" si="23"/>
        <v>1.2616822429906542</v>
      </c>
      <c r="R31" s="30">
        <f t="shared" si="24"/>
        <v>162.82899820312107</v>
      </c>
      <c r="S31" s="30">
        <f t="shared" si="25"/>
        <v>23361908.609303713</v>
      </c>
      <c r="T31" s="30">
        <f t="shared" si="26"/>
        <v>181020.00000000003</v>
      </c>
      <c r="U31" s="30">
        <f t="shared" si="27"/>
        <v>23361908.609303713</v>
      </c>
      <c r="X31" s="188"/>
      <c r="Y31" s="189" t="s">
        <v>278</v>
      </c>
      <c r="Z31" s="189">
        <v>0.2</v>
      </c>
      <c r="AA31" s="189">
        <v>1.4</v>
      </c>
      <c r="AB31" s="189">
        <v>2100</v>
      </c>
      <c r="AC31" s="189">
        <v>840</v>
      </c>
      <c r="AD31" s="236">
        <f>Z31/AA31</f>
        <v>0.14285714285714288</v>
      </c>
      <c r="AE31" s="190">
        <f>Z31*AB31*AC31</f>
        <v>352800</v>
      </c>
      <c r="AF31" s="14"/>
      <c r="AG31" s="14"/>
      <c r="AH31" s="14"/>
      <c r="AM31" s="159" t="s">
        <v>319</v>
      </c>
      <c r="AN31" s="81" t="s">
        <v>320</v>
      </c>
      <c r="AO31" s="81" t="s">
        <v>345</v>
      </c>
      <c r="AP31" s="167">
        <f>U25+SUM(U17:U20)</f>
        <v>10731463.172905527</v>
      </c>
      <c r="AQ31" s="81" t="s">
        <v>322</v>
      </c>
      <c r="AR31" s="167">
        <v>6867267</v>
      </c>
      <c r="AV31" s="168" t="s">
        <v>319</v>
      </c>
      <c r="AW31" s="168" t="s">
        <v>320</v>
      </c>
      <c r="AX31" s="168" t="s">
        <v>345</v>
      </c>
      <c r="AY31" s="169" t="s">
        <v>323</v>
      </c>
      <c r="AZ31" s="162">
        <f t="shared" ref="AZ31:AZ35" si="32">AP31</f>
        <v>10731463.172905527</v>
      </c>
      <c r="BA31" s="168" t="s">
        <v>322</v>
      </c>
      <c r="BC31" s="81" t="s">
        <v>409</v>
      </c>
      <c r="BD31" s="167">
        <v>7.3400000000000007E-2</v>
      </c>
      <c r="BE31" s="167">
        <v>4.9700000000000005E-4</v>
      </c>
      <c r="BF31" s="81">
        <v>147.68</v>
      </c>
      <c r="BG31" s="81" t="s">
        <v>388</v>
      </c>
      <c r="BJ31" s="175" t="s">
        <v>319</v>
      </c>
      <c r="BK31" s="175" t="s">
        <v>320</v>
      </c>
      <c r="BL31" s="175" t="s">
        <v>345</v>
      </c>
      <c r="BM31" s="175" t="s">
        <v>323</v>
      </c>
      <c r="BN31" s="174">
        <f>BD60</f>
        <v>2990000</v>
      </c>
      <c r="BO31" s="175" t="s">
        <v>322</v>
      </c>
      <c r="BQ31" s="81" t="s">
        <v>409</v>
      </c>
      <c r="BR31" s="167">
        <v>4.4299999999999999E-2</v>
      </c>
      <c r="BS31" s="167">
        <v>3.0499999999999999E-4</v>
      </c>
      <c r="BT31" s="81">
        <v>145.31</v>
      </c>
      <c r="BU31" s="81" t="s">
        <v>422</v>
      </c>
      <c r="BV31" s="167">
        <v>2E-16</v>
      </c>
      <c r="BW31" s="81" t="s">
        <v>389</v>
      </c>
      <c r="BY31" s="178"/>
      <c r="BZ31" s="178"/>
      <c r="CA31" s="178"/>
      <c r="CB31" s="178"/>
      <c r="CC31" s="177"/>
      <c r="CD31" s="178"/>
      <c r="CJ31" s="81" t="s">
        <v>346</v>
      </c>
      <c r="CK31" s="256">
        <f t="shared" si="29"/>
        <v>66659001.438658625</v>
      </c>
      <c r="CL31" s="256">
        <f t="shared" si="30"/>
        <v>5280000</v>
      </c>
      <c r="CM31" s="256">
        <f t="shared" si="31"/>
        <v>17100000</v>
      </c>
      <c r="CP31" s="258" t="s">
        <v>442</v>
      </c>
      <c r="CQ31" s="258" t="s">
        <v>459</v>
      </c>
      <c r="CR31" s="259">
        <v>0.19800000000000001</v>
      </c>
      <c r="CS31" s="259">
        <v>3.32E-3</v>
      </c>
      <c r="CT31" s="258">
        <v>59.76</v>
      </c>
      <c r="CU31" s="258" t="s">
        <v>422</v>
      </c>
      <c r="CV31" s="167">
        <v>2E-16</v>
      </c>
      <c r="CW31" s="81" t="s">
        <v>389</v>
      </c>
      <c r="CZ31" s="261"/>
      <c r="DF31" s="291"/>
    </row>
    <row r="32" spans="1:112" ht="15" customHeight="1" thickTop="1" thickBot="1" x14ac:dyDescent="0.3">
      <c r="L32" s="218"/>
      <c r="M32" s="219"/>
      <c r="N32" s="219"/>
      <c r="O32" s="220"/>
      <c r="P32" s="221"/>
      <c r="Q32" s="81"/>
      <c r="R32" s="81"/>
      <c r="X32" s="205"/>
      <c r="Y32" s="187" t="s">
        <v>80</v>
      </c>
      <c r="Z32" s="187">
        <v>0.01</v>
      </c>
      <c r="AA32" s="187">
        <v>0.6</v>
      </c>
      <c r="AB32" s="187">
        <v>975</v>
      </c>
      <c r="AC32" s="187">
        <v>840</v>
      </c>
      <c r="AD32" s="237">
        <f>Z32/AA32</f>
        <v>1.6666666666666666E-2</v>
      </c>
      <c r="AE32" s="210">
        <f>Z32*AB32*AC32</f>
        <v>8190</v>
      </c>
      <c r="AF32" s="14"/>
      <c r="AG32" s="14"/>
      <c r="AH32" s="14"/>
      <c r="AM32" s="159" t="s">
        <v>319</v>
      </c>
      <c r="AN32" s="81" t="s">
        <v>320</v>
      </c>
      <c r="AO32" s="81" t="s">
        <v>346</v>
      </c>
      <c r="AP32" s="167">
        <f>SUM(U28,U31,U29)</f>
        <v>66659001.438658625</v>
      </c>
      <c r="AQ32" s="81" t="s">
        <v>322</v>
      </c>
      <c r="AR32" s="167">
        <v>4590824</v>
      </c>
      <c r="AV32" s="168" t="s">
        <v>319</v>
      </c>
      <c r="AW32" s="168" t="s">
        <v>320</v>
      </c>
      <c r="AX32" s="168" t="s">
        <v>346</v>
      </c>
      <c r="AY32" s="169" t="s">
        <v>323</v>
      </c>
      <c r="AZ32" s="162">
        <f t="shared" si="32"/>
        <v>66659001.438658625</v>
      </c>
      <c r="BA32" s="168" t="s">
        <v>322</v>
      </c>
      <c r="BC32" s="81" t="s">
        <v>410</v>
      </c>
      <c r="BD32" s="167">
        <v>637</v>
      </c>
      <c r="BE32" s="167">
        <v>4.58</v>
      </c>
      <c r="BF32" s="81">
        <v>139.22</v>
      </c>
      <c r="BG32" s="81" t="s">
        <v>388</v>
      </c>
      <c r="BJ32" s="175" t="s">
        <v>319</v>
      </c>
      <c r="BK32" s="175" t="s">
        <v>320</v>
      </c>
      <c r="BL32" s="175" t="s">
        <v>346</v>
      </c>
      <c r="BM32" s="175" t="s">
        <v>323</v>
      </c>
      <c r="BN32" s="174">
        <f>BD61</f>
        <v>5280000</v>
      </c>
      <c r="BO32" s="175" t="s">
        <v>322</v>
      </c>
      <c r="BQ32" s="81" t="s">
        <v>410</v>
      </c>
      <c r="BR32" s="167">
        <v>278</v>
      </c>
      <c r="BS32" s="167">
        <v>2.25</v>
      </c>
      <c r="BT32" s="81">
        <v>123.56</v>
      </c>
      <c r="BU32" s="81" t="s">
        <v>422</v>
      </c>
      <c r="BV32" s="167">
        <v>2E-16</v>
      </c>
      <c r="BW32" s="81" t="s">
        <v>389</v>
      </c>
      <c r="BY32" s="178" t="s">
        <v>319</v>
      </c>
      <c r="BZ32" s="178" t="s">
        <v>320</v>
      </c>
      <c r="CA32" s="178" t="s">
        <v>344</v>
      </c>
      <c r="CB32" s="178" t="s">
        <v>323</v>
      </c>
      <c r="CC32" s="177">
        <f>BR58</f>
        <v>752000</v>
      </c>
      <c r="CD32" s="178" t="s">
        <v>322</v>
      </c>
      <c r="CJ32" s="81" t="s">
        <v>347</v>
      </c>
      <c r="CK32" s="254">
        <f t="shared" si="29"/>
        <v>5.9801339860034178E-2</v>
      </c>
      <c r="CL32" s="254">
        <f t="shared" si="30"/>
        <v>0.38</v>
      </c>
      <c r="CM32" s="254">
        <f t="shared" si="31"/>
        <v>0.23</v>
      </c>
      <c r="CP32" s="258" t="s">
        <v>442</v>
      </c>
      <c r="CQ32" s="258" t="s">
        <v>308</v>
      </c>
      <c r="CR32" s="259">
        <v>988000000</v>
      </c>
      <c r="CS32" s="259">
        <v>77700000</v>
      </c>
      <c r="CT32" s="258">
        <v>12.72</v>
      </c>
      <c r="CU32" s="258" t="s">
        <v>422</v>
      </c>
      <c r="CV32" s="167">
        <v>2E-16</v>
      </c>
      <c r="CW32" s="81" t="s">
        <v>389</v>
      </c>
      <c r="CX32" s="260" t="s">
        <v>467</v>
      </c>
      <c r="CY32" s="264" t="s">
        <v>335</v>
      </c>
      <c r="CZ32" s="261" t="s">
        <v>323</v>
      </c>
      <c r="DA32" s="262">
        <f>CR47</f>
        <v>56.7</v>
      </c>
      <c r="DB32" s="260" t="s">
        <v>322</v>
      </c>
      <c r="DD32" s="170" t="s">
        <v>467</v>
      </c>
      <c r="DE32" s="293" t="s">
        <v>335</v>
      </c>
      <c r="DF32" s="291" t="s">
        <v>323</v>
      </c>
      <c r="DG32" s="170">
        <f>AP19</f>
        <v>56.080743187749825</v>
      </c>
      <c r="DH32" s="170" t="s">
        <v>322</v>
      </c>
    </row>
    <row r="33" spans="1:112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7" t="s">
        <v>112</v>
      </c>
      <c r="F33" s="317"/>
      <c r="G33" s="72" t="s">
        <v>113</v>
      </c>
      <c r="L33" s="223"/>
      <c r="M33" s="224"/>
      <c r="N33" s="224"/>
      <c r="O33" s="224"/>
      <c r="P33" s="225"/>
      <c r="Q33" s="81"/>
      <c r="R33" s="81"/>
      <c r="X33" s="189"/>
      <c r="Y33" s="189"/>
      <c r="Z33" s="189"/>
      <c r="AA33" s="189"/>
      <c r="AB33" s="189"/>
      <c r="AC33" s="189"/>
      <c r="AD33" s="236"/>
      <c r="AE33" s="189"/>
      <c r="AF33" s="14"/>
      <c r="AG33" s="14"/>
      <c r="AH33" s="14"/>
      <c r="AM33" s="159" t="s">
        <v>319</v>
      </c>
      <c r="AN33" s="81" t="s">
        <v>320</v>
      </c>
      <c r="AO33" s="81" t="s">
        <v>347</v>
      </c>
      <c r="AP33" s="81">
        <f>AP26*0.3</f>
        <v>5.9801339860034178E-2</v>
      </c>
      <c r="AQ33" s="81" t="s">
        <v>322</v>
      </c>
      <c r="AR33" s="167">
        <v>0.1616958</v>
      </c>
      <c r="AV33" s="168" t="s">
        <v>319</v>
      </c>
      <c r="AW33" s="168" t="s">
        <v>320</v>
      </c>
      <c r="AX33" s="168" t="s">
        <v>347</v>
      </c>
      <c r="AY33" s="169" t="s">
        <v>323</v>
      </c>
      <c r="AZ33" s="162">
        <f t="shared" si="32"/>
        <v>5.9801339860034178E-2</v>
      </c>
      <c r="BA33" s="168" t="s">
        <v>322</v>
      </c>
      <c r="BC33" s="81" t="s">
        <v>411</v>
      </c>
      <c r="BD33" s="167">
        <v>795</v>
      </c>
      <c r="BE33" s="167">
        <v>5.28</v>
      </c>
      <c r="BF33" s="81">
        <v>150.51</v>
      </c>
      <c r="BG33" s="81" t="s">
        <v>388</v>
      </c>
      <c r="BJ33" s="175" t="s">
        <v>319</v>
      </c>
      <c r="BK33" s="175" t="s">
        <v>320</v>
      </c>
      <c r="BL33" s="175" t="s">
        <v>347</v>
      </c>
      <c r="BM33" s="175" t="s">
        <v>323</v>
      </c>
      <c r="BN33" s="174">
        <f>BD66</f>
        <v>0.38</v>
      </c>
      <c r="BO33" s="175" t="s">
        <v>322</v>
      </c>
      <c r="BQ33" s="81" t="s">
        <v>411</v>
      </c>
      <c r="BR33" s="167">
        <v>215</v>
      </c>
      <c r="BS33" s="167">
        <v>1.54</v>
      </c>
      <c r="BT33" s="81">
        <v>139.77000000000001</v>
      </c>
      <c r="BU33" s="81" t="s">
        <v>422</v>
      </c>
      <c r="BV33" s="167">
        <v>2E-16</v>
      </c>
      <c r="BW33" s="81" t="s">
        <v>389</v>
      </c>
      <c r="BY33" s="178" t="s">
        <v>319</v>
      </c>
      <c r="BZ33" s="178" t="s">
        <v>320</v>
      </c>
      <c r="CA33" s="178" t="s">
        <v>345</v>
      </c>
      <c r="CB33" s="178" t="s">
        <v>323</v>
      </c>
      <c r="CC33" s="177">
        <f t="shared" ref="CC33:CC34" si="33">BR59</f>
        <v>8650000</v>
      </c>
      <c r="CD33" s="178" t="s">
        <v>322</v>
      </c>
      <c r="CJ33" s="81" t="s">
        <v>348</v>
      </c>
      <c r="CK33" s="254">
        <f t="shared" si="29"/>
        <v>0.20626713651098688</v>
      </c>
      <c r="CL33" s="254">
        <f t="shared" si="30"/>
        <v>7.2800000000000004E-2</v>
      </c>
      <c r="CM33" s="254">
        <f t="shared" si="31"/>
        <v>4.8599999999999997E-2</v>
      </c>
      <c r="CP33" s="258" t="s">
        <v>442</v>
      </c>
      <c r="CQ33" s="258" t="s">
        <v>304</v>
      </c>
      <c r="CR33" s="259">
        <v>6110000</v>
      </c>
      <c r="CS33" s="259">
        <v>92200</v>
      </c>
      <c r="CT33" s="258">
        <v>66.31</v>
      </c>
      <c r="CU33" s="258" t="s">
        <v>422</v>
      </c>
      <c r="CV33" s="167">
        <v>2E-16</v>
      </c>
      <c r="CW33" s="81" t="s">
        <v>389</v>
      </c>
      <c r="CX33" s="260" t="s">
        <v>467</v>
      </c>
      <c r="CY33" s="264" t="s">
        <v>336</v>
      </c>
      <c r="CZ33" s="261" t="s">
        <v>323</v>
      </c>
      <c r="DA33" s="262">
        <f t="shared" ref="DA33:DA35" si="34">CR48</f>
        <v>88.7</v>
      </c>
      <c r="DB33" s="260" t="s">
        <v>322</v>
      </c>
      <c r="DD33" s="170" t="s">
        <v>467</v>
      </c>
      <c r="DE33" s="293" t="s">
        <v>336</v>
      </c>
      <c r="DF33" s="291" t="s">
        <v>323</v>
      </c>
      <c r="DG33" s="170">
        <f>AP20</f>
        <v>128.91089108910893</v>
      </c>
      <c r="DH33" s="170" t="s">
        <v>322</v>
      </c>
    </row>
    <row r="34" spans="1:112" ht="15" customHeight="1" thickTop="1" thickBot="1" x14ac:dyDescent="0.3">
      <c r="A34" s="73">
        <v>1</v>
      </c>
      <c r="B34" s="74">
        <f>B7*'Tabula data'!B16</f>
        <v>170.49079025549614</v>
      </c>
      <c r="C34" s="73"/>
      <c r="D34" s="73" t="s">
        <v>42</v>
      </c>
      <c r="E34" s="318">
        <v>21</v>
      </c>
      <c r="F34" s="318"/>
      <c r="G34" s="76">
        <f>VLOOKUP(D34,A6:B22,2,0)</f>
        <v>62</v>
      </c>
      <c r="L34" s="81"/>
      <c r="M34" s="81"/>
      <c r="N34" s="81"/>
      <c r="Q34" s="69" t="s">
        <v>106</v>
      </c>
      <c r="R34" s="70">
        <f>SUM(R6:R25)</f>
        <v>156.5037097158858</v>
      </c>
      <c r="S34" s="69" t="s">
        <v>107</v>
      </c>
      <c r="X34" s="226"/>
      <c r="Y34" s="226"/>
      <c r="Z34" s="227" t="s">
        <v>437</v>
      </c>
      <c r="AA34" s="227">
        <v>2.8</v>
      </c>
      <c r="AB34" s="227" t="s">
        <v>5</v>
      </c>
      <c r="AC34" s="226"/>
      <c r="AD34" s="226"/>
      <c r="AE34" s="226"/>
      <c r="AF34" s="14"/>
      <c r="AG34" s="14"/>
      <c r="AH34" s="14"/>
      <c r="AM34" s="159" t="s">
        <v>319</v>
      </c>
      <c r="AN34" s="81" t="s">
        <v>320</v>
      </c>
      <c r="AO34" s="81" t="s">
        <v>348</v>
      </c>
      <c r="AP34" s="81">
        <f>AP27*0.3</f>
        <v>0.20626713651098688</v>
      </c>
      <c r="AQ34" s="81" t="s">
        <v>322</v>
      </c>
      <c r="AR34" s="81" t="s">
        <v>349</v>
      </c>
      <c r="AV34" s="168" t="s">
        <v>319</v>
      </c>
      <c r="AW34" s="168" t="s">
        <v>320</v>
      </c>
      <c r="AX34" s="168" t="s">
        <v>348</v>
      </c>
      <c r="AY34" s="169" t="s">
        <v>323</v>
      </c>
      <c r="AZ34" s="162">
        <f t="shared" si="32"/>
        <v>0.20626713651098688</v>
      </c>
      <c r="BA34" s="168" t="s">
        <v>322</v>
      </c>
      <c r="BC34" s="81" t="s">
        <v>295</v>
      </c>
      <c r="BD34" s="167">
        <v>1310</v>
      </c>
      <c r="BE34" s="167">
        <v>8.17</v>
      </c>
      <c r="BF34" s="81">
        <v>160.79</v>
      </c>
      <c r="BG34" s="81" t="s">
        <v>388</v>
      </c>
      <c r="BJ34" s="175" t="s">
        <v>319</v>
      </c>
      <c r="BK34" s="175" t="s">
        <v>320</v>
      </c>
      <c r="BL34" s="175" t="s">
        <v>348</v>
      </c>
      <c r="BM34" s="175" t="s">
        <v>323</v>
      </c>
      <c r="BN34" s="174">
        <f>BD67</f>
        <v>7.2800000000000004E-2</v>
      </c>
      <c r="BO34" s="175" t="s">
        <v>322</v>
      </c>
      <c r="BQ34" s="81" t="s">
        <v>295</v>
      </c>
      <c r="BR34" s="167">
        <v>457</v>
      </c>
      <c r="BS34" s="167">
        <v>3.7</v>
      </c>
      <c r="BT34" s="81">
        <v>123.52</v>
      </c>
      <c r="BU34" s="81" t="s">
        <v>422</v>
      </c>
      <c r="BV34" s="167">
        <v>2E-16</v>
      </c>
      <c r="BW34" s="81" t="s">
        <v>389</v>
      </c>
      <c r="BY34" s="178" t="s">
        <v>319</v>
      </c>
      <c r="BZ34" s="178" t="s">
        <v>320</v>
      </c>
      <c r="CA34" s="178" t="s">
        <v>346</v>
      </c>
      <c r="CB34" s="178" t="s">
        <v>323</v>
      </c>
      <c r="CC34" s="177">
        <f t="shared" si="33"/>
        <v>17100000</v>
      </c>
      <c r="CD34" s="178" t="s">
        <v>322</v>
      </c>
      <c r="CJ34" s="81" t="s">
        <v>350</v>
      </c>
      <c r="CK34" s="254">
        <f t="shared" si="29"/>
        <v>0.70557903757781049</v>
      </c>
      <c r="CL34" s="254">
        <f t="shared" si="30"/>
        <v>0.41799999999999998</v>
      </c>
      <c r="CM34" s="254">
        <f t="shared" si="31"/>
        <v>0.63200000000000001</v>
      </c>
      <c r="CP34" s="258" t="s">
        <v>442</v>
      </c>
      <c r="CQ34" s="258" t="s">
        <v>399</v>
      </c>
      <c r="CR34" s="259">
        <v>1270000</v>
      </c>
      <c r="CS34" s="259">
        <v>22800</v>
      </c>
      <c r="CT34" s="258">
        <v>55.71</v>
      </c>
      <c r="CU34" s="258" t="s">
        <v>422</v>
      </c>
      <c r="CV34" s="167">
        <v>2E-16</v>
      </c>
      <c r="CW34" s="81" t="s">
        <v>389</v>
      </c>
      <c r="CX34" s="260" t="s">
        <v>467</v>
      </c>
      <c r="CY34" s="265" t="s">
        <v>337</v>
      </c>
      <c r="CZ34" s="261" t="s">
        <v>323</v>
      </c>
      <c r="DA34" s="262">
        <f t="shared" si="34"/>
        <v>299</v>
      </c>
      <c r="DB34" s="260" t="s">
        <v>322</v>
      </c>
      <c r="DD34" s="170" t="s">
        <v>467</v>
      </c>
      <c r="DE34" s="294" t="s">
        <v>337</v>
      </c>
      <c r="DF34" s="291" t="s">
        <v>323</v>
      </c>
      <c r="DG34" s="170">
        <f>AP21</f>
        <v>259.79329575601236</v>
      </c>
      <c r="DH34" s="170" t="s">
        <v>322</v>
      </c>
    </row>
    <row r="35" spans="1:112" ht="15" customHeight="1" thickTop="1" thickBot="1" x14ac:dyDescent="0.3">
      <c r="A35" s="73">
        <v>2</v>
      </c>
      <c r="B35" s="74">
        <f>B4-B34</f>
        <v>292.30920974450385</v>
      </c>
      <c r="C35" s="73"/>
      <c r="D35" s="73" t="s">
        <v>116</v>
      </c>
      <c r="E35" s="77">
        <v>16</v>
      </c>
      <c r="F35" s="77"/>
      <c r="G35" s="76">
        <f>VLOOKUP(D35,A7:B23,2,0)</f>
        <v>106.30000000000001</v>
      </c>
      <c r="L35" s="81"/>
      <c r="M35" s="81"/>
      <c r="N35" s="81"/>
      <c r="Q35" s="81" t="s">
        <v>514</v>
      </c>
      <c r="R35" s="81">
        <f>G4*Z37</f>
        <v>11.467999999999998</v>
      </c>
      <c r="X35" s="228" t="s">
        <v>115</v>
      </c>
      <c r="Y35" s="229"/>
      <c r="Z35" s="230" t="s">
        <v>21</v>
      </c>
      <c r="AA35" s="243">
        <v>2</v>
      </c>
      <c r="AB35" s="229" t="s">
        <v>5</v>
      </c>
      <c r="AC35" s="229"/>
      <c r="AD35" s="229" t="s">
        <v>22</v>
      </c>
      <c r="AE35" s="232">
        <f>SUM(AE36:AE37)</f>
        <v>0</v>
      </c>
      <c r="AF35" s="14" t="s">
        <v>23</v>
      </c>
      <c r="AG35" s="14">
        <f>SUM(AE37:AE38)</f>
        <v>0</v>
      </c>
      <c r="AH35" s="14"/>
      <c r="AM35" s="159" t="s">
        <v>319</v>
      </c>
      <c r="AN35" s="81" t="s">
        <v>320</v>
      </c>
      <c r="AO35" s="81" t="s">
        <v>350</v>
      </c>
      <c r="AP35" s="81">
        <f>AP28*0.3+0.7</f>
        <v>0.70557903757781049</v>
      </c>
      <c r="AQ35" s="81" t="s">
        <v>322</v>
      </c>
      <c r="AR35" s="81" t="s">
        <v>351</v>
      </c>
      <c r="AV35" s="168" t="s">
        <v>319</v>
      </c>
      <c r="AW35" s="168" t="s">
        <v>320</v>
      </c>
      <c r="AX35" s="168" t="s">
        <v>350</v>
      </c>
      <c r="AY35" s="169" t="s">
        <v>323</v>
      </c>
      <c r="AZ35" s="162">
        <f t="shared" si="32"/>
        <v>0.70557903757781049</v>
      </c>
      <c r="BA35" s="168" t="s">
        <v>322</v>
      </c>
      <c r="BC35" s="81" t="s">
        <v>120</v>
      </c>
      <c r="BD35" s="167">
        <v>253</v>
      </c>
      <c r="BE35" s="167">
        <v>0.97099999999999997</v>
      </c>
      <c r="BF35" s="81">
        <v>260.89</v>
      </c>
      <c r="BG35" s="81" t="s">
        <v>388</v>
      </c>
      <c r="BJ35" s="175" t="s">
        <v>319</v>
      </c>
      <c r="BK35" s="175" t="s">
        <v>320</v>
      </c>
      <c r="BL35" s="175" t="s">
        <v>350</v>
      </c>
      <c r="BM35" s="175" t="s">
        <v>323</v>
      </c>
      <c r="BN35" s="174">
        <f>BD68</f>
        <v>0.41799999999999998</v>
      </c>
      <c r="BO35" s="175" t="s">
        <v>322</v>
      </c>
      <c r="BQ35" s="81" t="s">
        <v>120</v>
      </c>
      <c r="BR35" s="167">
        <v>272</v>
      </c>
      <c r="BS35" s="167">
        <v>18.2</v>
      </c>
      <c r="BT35" s="81">
        <v>14.96</v>
      </c>
      <c r="BU35" s="81" t="s">
        <v>422</v>
      </c>
      <c r="BV35" s="167">
        <v>2E-16</v>
      </c>
      <c r="BW35" s="81" t="s">
        <v>389</v>
      </c>
      <c r="BY35" s="178" t="s">
        <v>319</v>
      </c>
      <c r="BZ35" s="178" t="s">
        <v>320</v>
      </c>
      <c r="CA35" s="178" t="s">
        <v>347</v>
      </c>
      <c r="CB35" s="178" t="s">
        <v>323</v>
      </c>
      <c r="CC35" s="177">
        <f>BR65</f>
        <v>0.23</v>
      </c>
      <c r="CD35" s="178" t="s">
        <v>322</v>
      </c>
      <c r="CK35" s="255"/>
      <c r="CL35" s="255"/>
      <c r="CM35" s="255"/>
      <c r="CP35" s="258" t="s">
        <v>442</v>
      </c>
      <c r="CQ35" s="258" t="s">
        <v>301</v>
      </c>
      <c r="CR35" s="259">
        <v>5460000</v>
      </c>
      <c r="CS35" s="259">
        <v>97300</v>
      </c>
      <c r="CT35" s="258">
        <v>56.13</v>
      </c>
      <c r="CU35" s="258" t="s">
        <v>422</v>
      </c>
      <c r="CV35" s="167">
        <v>2E-16</v>
      </c>
      <c r="CW35" s="81" t="s">
        <v>389</v>
      </c>
      <c r="CX35" s="260" t="s">
        <v>467</v>
      </c>
      <c r="CY35" s="265" t="s">
        <v>338</v>
      </c>
      <c r="CZ35" s="261" t="s">
        <v>323</v>
      </c>
      <c r="DA35" s="262">
        <f t="shared" si="34"/>
        <v>100</v>
      </c>
      <c r="DB35" s="260" t="s">
        <v>322</v>
      </c>
      <c r="DD35" s="170" t="s">
        <v>467</v>
      </c>
      <c r="DE35" s="294" t="s">
        <v>338</v>
      </c>
      <c r="DF35" s="291" t="s">
        <v>323</v>
      </c>
      <c r="DG35" s="170">
        <f>AP22</f>
        <v>74.992456689190959</v>
      </c>
      <c r="DH35" s="170" t="s">
        <v>322</v>
      </c>
    </row>
    <row r="36" spans="1:112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9" t="s">
        <v>119</v>
      </c>
      <c r="F36" s="319"/>
      <c r="G36" s="76">
        <f>B17</f>
        <v>0</v>
      </c>
      <c r="L36" s="81"/>
      <c r="M36" s="81"/>
      <c r="N36" s="81"/>
      <c r="Q36" s="81"/>
      <c r="R36" s="81"/>
      <c r="X36" s="239"/>
      <c r="Y36" s="240" t="s">
        <v>16</v>
      </c>
      <c r="Z36" s="240">
        <v>1.361</v>
      </c>
      <c r="AA36" s="240" t="s">
        <v>5</v>
      </c>
      <c r="AB36" s="240"/>
      <c r="AC36" s="240" t="s">
        <v>515</v>
      </c>
      <c r="AD36" s="240">
        <f>(AA35-(1-AD37)*Z36)/AD37</f>
        <v>3.9169999999999998</v>
      </c>
      <c r="AE36" s="244"/>
      <c r="AF36" s="14"/>
      <c r="AG36" s="14"/>
      <c r="AH36" s="14"/>
      <c r="AQ36" s="81" t="s">
        <v>322</v>
      </c>
      <c r="AV36" s="168"/>
      <c r="AW36" s="168"/>
      <c r="AX36" s="168"/>
      <c r="AY36" s="169"/>
      <c r="BA36" s="168"/>
      <c r="BC36" s="81" t="s">
        <v>412</v>
      </c>
      <c r="BD36" s="167">
        <v>-5.43</v>
      </c>
      <c r="BE36" s="167">
        <v>2.2100000000000002E-2</v>
      </c>
      <c r="BF36" s="81">
        <v>-245.28</v>
      </c>
      <c r="BG36" s="81" t="s">
        <v>388</v>
      </c>
      <c r="BJ36" s="175"/>
      <c r="BK36" s="175"/>
      <c r="BL36" s="175"/>
      <c r="BM36" s="175"/>
      <c r="BN36" s="174"/>
      <c r="BO36" s="175"/>
      <c r="BQ36" s="81" t="s">
        <v>412</v>
      </c>
      <c r="BR36" s="167">
        <v>-5.48</v>
      </c>
      <c r="BS36" s="167">
        <v>7.46E-2</v>
      </c>
      <c r="BT36" s="81">
        <v>-73.489999999999995</v>
      </c>
      <c r="BU36" s="81" t="s">
        <v>422</v>
      </c>
      <c r="BV36" s="167">
        <v>2E-16</v>
      </c>
      <c r="BW36" s="81" t="s">
        <v>389</v>
      </c>
      <c r="BY36" s="178" t="s">
        <v>319</v>
      </c>
      <c r="BZ36" s="178" t="s">
        <v>320</v>
      </c>
      <c r="CA36" s="178" t="s">
        <v>348</v>
      </c>
      <c r="CB36" s="178" t="s">
        <v>323</v>
      </c>
      <c r="CC36" s="177">
        <f t="shared" ref="CC36:CC37" si="35">BR66</f>
        <v>4.8599999999999997E-2</v>
      </c>
      <c r="CD36" s="178" t="s">
        <v>322</v>
      </c>
      <c r="CJ36" s="81" t="s">
        <v>352</v>
      </c>
      <c r="CK36" s="257">
        <f>AZ37</f>
        <v>172.50907413856567</v>
      </c>
      <c r="CL36" s="257">
        <f>BN37</f>
        <v>568</v>
      </c>
      <c r="CM36" s="257">
        <f>CC39</f>
        <v>219</v>
      </c>
      <c r="CP36" s="258" t="s">
        <v>442</v>
      </c>
      <c r="CQ36" s="258" t="s">
        <v>303</v>
      </c>
      <c r="CR36" s="259">
        <v>22000000</v>
      </c>
      <c r="CS36" s="259">
        <v>303000</v>
      </c>
      <c r="CT36" s="258">
        <v>72.739999999999995</v>
      </c>
      <c r="CU36" s="258" t="s">
        <v>422</v>
      </c>
      <c r="CV36" s="167">
        <v>2E-16</v>
      </c>
      <c r="CW36" s="81" t="s">
        <v>389</v>
      </c>
      <c r="CX36" s="260" t="s">
        <v>467</v>
      </c>
      <c r="CY36" s="266" t="s">
        <v>340</v>
      </c>
      <c r="CZ36" s="261" t="s">
        <v>323</v>
      </c>
      <c r="DA36" s="262">
        <f>CR59</f>
        <v>52.9</v>
      </c>
      <c r="DB36" s="260" t="s">
        <v>322</v>
      </c>
      <c r="DD36" s="170" t="s">
        <v>467</v>
      </c>
      <c r="DE36" s="296" t="s">
        <v>340</v>
      </c>
      <c r="DF36" s="291" t="s">
        <v>323</v>
      </c>
      <c r="DG36" s="170">
        <f>AP24</f>
        <v>20.503937007874015</v>
      </c>
      <c r="DH36" s="170" t="s">
        <v>322</v>
      </c>
    </row>
    <row r="37" spans="1:112" ht="15" customHeight="1" thickTop="1" thickBot="1" x14ac:dyDescent="0.3">
      <c r="L37" s="81"/>
      <c r="M37" s="81"/>
      <c r="N37" s="81"/>
      <c r="Q37" s="81"/>
      <c r="R37" s="81"/>
      <c r="X37" s="205"/>
      <c r="Y37" s="187" t="s">
        <v>121</v>
      </c>
      <c r="Z37" s="187">
        <v>0.47</v>
      </c>
      <c r="AA37" s="187"/>
      <c r="AB37" s="187"/>
      <c r="AC37" s="187" t="s">
        <v>516</v>
      </c>
      <c r="AD37" s="187">
        <v>0.25</v>
      </c>
      <c r="AE37" s="210"/>
      <c r="AF37" s="149" t="s">
        <v>279</v>
      </c>
      <c r="AG37" s="14"/>
      <c r="AH37" s="14"/>
      <c r="AM37" s="159" t="s">
        <v>319</v>
      </c>
      <c r="AN37" s="81" t="s">
        <v>320</v>
      </c>
      <c r="AO37" s="81" t="s">
        <v>352</v>
      </c>
      <c r="AP37" s="81">
        <f>SUM(O17:O20)*(1/(SUM(AD18:AD19)+1/8))+O25*(1/(SUM(AD9:AD10)/2+1/8))</f>
        <v>172.50907413856567</v>
      </c>
      <c r="AQ37" s="81" t="s">
        <v>322</v>
      </c>
      <c r="AR37" s="81" t="s">
        <v>353</v>
      </c>
      <c r="AV37" s="168" t="s">
        <v>319</v>
      </c>
      <c r="AW37" s="168" t="s">
        <v>320</v>
      </c>
      <c r="AX37" s="168" t="s">
        <v>352</v>
      </c>
      <c r="AY37" s="169" t="s">
        <v>323</v>
      </c>
      <c r="AZ37" s="162">
        <f>AP37</f>
        <v>172.50907413856567</v>
      </c>
      <c r="BA37" s="168" t="s">
        <v>322</v>
      </c>
      <c r="BC37" s="81" t="s">
        <v>413</v>
      </c>
      <c r="BD37" s="167">
        <v>-6.85</v>
      </c>
      <c r="BE37" s="167">
        <v>1.8800000000000001E-2</v>
      </c>
      <c r="BF37" s="81">
        <v>-364.7</v>
      </c>
      <c r="BG37" s="81" t="s">
        <v>388</v>
      </c>
      <c r="BJ37" s="175" t="s">
        <v>319</v>
      </c>
      <c r="BK37" s="175" t="s">
        <v>320</v>
      </c>
      <c r="BL37" s="175" t="s">
        <v>352</v>
      </c>
      <c r="BM37" s="175" t="s">
        <v>323</v>
      </c>
      <c r="BN37" s="174">
        <f>BD70</f>
        <v>568</v>
      </c>
      <c r="BO37" s="175" t="s">
        <v>322</v>
      </c>
      <c r="BQ37" s="81" t="s">
        <v>413</v>
      </c>
      <c r="BR37" s="167">
        <v>-6.06</v>
      </c>
      <c r="BS37" s="167">
        <v>4.41E-2</v>
      </c>
      <c r="BT37" s="81">
        <v>-137.35</v>
      </c>
      <c r="BU37" s="81" t="s">
        <v>422</v>
      </c>
      <c r="BV37" s="167">
        <v>2E-16</v>
      </c>
      <c r="BW37" s="81" t="s">
        <v>389</v>
      </c>
      <c r="BY37" s="178" t="s">
        <v>319</v>
      </c>
      <c r="BZ37" s="178" t="s">
        <v>320</v>
      </c>
      <c r="CA37" s="178" t="s">
        <v>350</v>
      </c>
      <c r="CB37" s="178" t="s">
        <v>323</v>
      </c>
      <c r="CC37" s="177">
        <f t="shared" si="35"/>
        <v>0.63200000000000001</v>
      </c>
      <c r="CD37" s="178" t="s">
        <v>322</v>
      </c>
      <c r="CJ37" s="81" t="s">
        <v>354</v>
      </c>
      <c r="CK37" s="257">
        <f>AZ38</f>
        <v>539.94646809973131</v>
      </c>
      <c r="CL37" s="257">
        <f>BN38</f>
        <v>238</v>
      </c>
      <c r="CM37" s="257">
        <f>CC40</f>
        <v>85.9</v>
      </c>
      <c r="CP37" s="258" t="s">
        <v>442</v>
      </c>
      <c r="CQ37" s="258" t="s">
        <v>400</v>
      </c>
      <c r="CR37" s="259">
        <v>-6.38</v>
      </c>
      <c r="CS37" s="259">
        <v>5.7599999999999998E-2</v>
      </c>
      <c r="CT37" s="258">
        <v>-110.76</v>
      </c>
      <c r="CU37" s="258" t="s">
        <v>422</v>
      </c>
      <c r="CV37" s="167">
        <v>2E-16</v>
      </c>
      <c r="CW37" s="81" t="s">
        <v>389</v>
      </c>
      <c r="CX37" s="260" t="s">
        <v>467</v>
      </c>
      <c r="CY37" s="266" t="s">
        <v>339</v>
      </c>
      <c r="CZ37" s="261" t="s">
        <v>323</v>
      </c>
      <c r="DA37" s="262">
        <f>1/CR56</f>
        <v>62.111801242236027</v>
      </c>
      <c r="DB37" s="260" t="s">
        <v>322</v>
      </c>
      <c r="DD37" s="170" t="s">
        <v>467</v>
      </c>
      <c r="DE37" s="296" t="s">
        <v>339</v>
      </c>
      <c r="DF37" s="291" t="s">
        <v>323</v>
      </c>
      <c r="DG37" s="170">
        <f>AP23</f>
        <v>11.111336725807982</v>
      </c>
      <c r="DH37" s="170" t="s">
        <v>322</v>
      </c>
    </row>
    <row r="38" spans="1:112" ht="15" customHeight="1" thickTop="1" thickBot="1" x14ac:dyDescent="0.3">
      <c r="B38" s="153"/>
      <c r="L38" s="81"/>
      <c r="M38" s="81"/>
      <c r="N38" s="81"/>
      <c r="Q38" s="81"/>
      <c r="R38" s="81"/>
      <c r="X38" s="226"/>
      <c r="Y38" s="226"/>
      <c r="Z38" s="226"/>
      <c r="AA38" s="226"/>
      <c r="AB38" s="226"/>
      <c r="AC38" s="226"/>
      <c r="AD38" s="226"/>
      <c r="AE38" s="226"/>
      <c r="AF38" s="14"/>
      <c r="AG38" s="14"/>
      <c r="AH38" s="14"/>
      <c r="AM38" s="159" t="s">
        <v>319</v>
      </c>
      <c r="AN38" s="81" t="s">
        <v>320</v>
      </c>
      <c r="AO38" s="81" t="s">
        <v>354</v>
      </c>
      <c r="AP38" s="81">
        <f>2*AA21*O28+1*O31*AA53+2*O29*AA27</f>
        <v>539.94646809973131</v>
      </c>
      <c r="AQ38" s="81" t="s">
        <v>322</v>
      </c>
      <c r="AR38" s="167">
        <v>85.692350000000005</v>
      </c>
      <c r="AV38" s="168" t="s">
        <v>319</v>
      </c>
      <c r="AW38" s="168" t="s">
        <v>320</v>
      </c>
      <c r="AX38" s="168" t="s">
        <v>354</v>
      </c>
      <c r="AY38" s="169" t="s">
        <v>323</v>
      </c>
      <c r="AZ38" s="162">
        <f t="shared" ref="AZ38:AZ40" si="36">AP38</f>
        <v>539.94646809973131</v>
      </c>
      <c r="BA38" s="168" t="s">
        <v>322</v>
      </c>
      <c r="BC38" s="81" t="s">
        <v>414</v>
      </c>
      <c r="BD38" s="167">
        <v>-8.6300000000000008</v>
      </c>
      <c r="BE38" s="167">
        <v>5.8999999999999997E-2</v>
      </c>
      <c r="BF38" s="81">
        <v>-146.31</v>
      </c>
      <c r="BG38" s="81" t="s">
        <v>388</v>
      </c>
      <c r="BJ38" s="175" t="s">
        <v>319</v>
      </c>
      <c r="BK38" s="175" t="s">
        <v>320</v>
      </c>
      <c r="BL38" s="175" t="s">
        <v>354</v>
      </c>
      <c r="BM38" s="175" t="s">
        <v>323</v>
      </c>
      <c r="BN38" s="174">
        <f>BD71</f>
        <v>238</v>
      </c>
      <c r="BO38" s="175" t="s">
        <v>322</v>
      </c>
      <c r="BQ38" s="81" t="s">
        <v>414</v>
      </c>
      <c r="BR38" s="167">
        <v>-6.9</v>
      </c>
      <c r="BS38" s="167">
        <v>0.127</v>
      </c>
      <c r="BT38" s="81">
        <v>-54.4</v>
      </c>
      <c r="BU38" s="81" t="s">
        <v>422</v>
      </c>
      <c r="BV38" s="167">
        <v>2E-16</v>
      </c>
      <c r="BW38" s="81" t="s">
        <v>389</v>
      </c>
      <c r="BY38" s="178"/>
      <c r="BZ38" s="178"/>
      <c r="CA38" s="178"/>
      <c r="CB38" s="178"/>
      <c r="CC38" s="177"/>
      <c r="CD38" s="178"/>
      <c r="CJ38" s="81" t="s">
        <v>355</v>
      </c>
      <c r="CK38" s="257">
        <f>AZ39</f>
        <v>50.307964117309652</v>
      </c>
      <c r="CL38" s="257">
        <f>BN39</f>
        <v>58</v>
      </c>
      <c r="CM38" s="257">
        <f>CC41</f>
        <v>49.4</v>
      </c>
      <c r="CP38" s="258" t="s">
        <v>442</v>
      </c>
      <c r="CQ38" s="258" t="s">
        <v>401</v>
      </c>
      <c r="CR38" s="259">
        <v>-20.6</v>
      </c>
      <c r="CS38" s="259">
        <v>14.8</v>
      </c>
      <c r="CT38" s="258">
        <v>-1.39</v>
      </c>
      <c r="CU38" s="258">
        <v>0.16419</v>
      </c>
      <c r="CX38" s="260" t="s">
        <v>467</v>
      </c>
      <c r="CY38" s="263" t="s">
        <v>331</v>
      </c>
      <c r="CZ38" s="261" t="s">
        <v>323</v>
      </c>
      <c r="DA38" s="262">
        <f>CR42</f>
        <v>3.0300000000000001E-2</v>
      </c>
      <c r="DB38" s="260" t="s">
        <v>322</v>
      </c>
      <c r="DD38" s="170" t="s">
        <v>467</v>
      </c>
      <c r="DE38" s="292" t="s">
        <v>331</v>
      </c>
      <c r="DF38" s="291" t="s">
        <v>323</v>
      </c>
      <c r="DG38" s="170">
        <f>AP14</f>
        <v>2.4147868091633919E-2</v>
      </c>
      <c r="DH38" s="170" t="s">
        <v>322</v>
      </c>
    </row>
    <row r="39" spans="1:112" ht="15" customHeight="1" thickTop="1" thickBot="1" x14ac:dyDescent="0.3">
      <c r="L39" s="81"/>
      <c r="M39" s="81"/>
      <c r="N39" s="81" t="s">
        <v>114</v>
      </c>
      <c r="O39" s="153">
        <f>SUM(R6:R9,R15,R17:R20,R25)</f>
        <v>50.751744650383635</v>
      </c>
      <c r="P39" s="153"/>
      <c r="R39" s="81"/>
      <c r="X39" s="226"/>
      <c r="Y39" s="226"/>
      <c r="Z39" s="227" t="s">
        <v>4</v>
      </c>
      <c r="AA39" s="227">
        <v>0.85</v>
      </c>
      <c r="AB39" s="227" t="s">
        <v>5</v>
      </c>
      <c r="AC39" s="226"/>
      <c r="AD39" s="226"/>
      <c r="AE39" s="226"/>
      <c r="AF39" s="14"/>
      <c r="AG39" s="14"/>
      <c r="AH39" s="14"/>
      <c r="AM39" s="159" t="s">
        <v>319</v>
      </c>
      <c r="AN39" s="81" t="s">
        <v>320</v>
      </c>
      <c r="AO39" s="81" t="s">
        <v>355</v>
      </c>
      <c r="AP39" s="153">
        <f>'Verwarming Tabula 2zone Ref1'!B139+SUM(R21:R24)</f>
        <v>50.307964117309652</v>
      </c>
      <c r="AQ39" s="81" t="s">
        <v>322</v>
      </c>
      <c r="AR39" s="81" t="s">
        <v>356</v>
      </c>
      <c r="AV39" s="168" t="s">
        <v>319</v>
      </c>
      <c r="AW39" s="168" t="s">
        <v>320</v>
      </c>
      <c r="AX39" s="168" t="s">
        <v>355</v>
      </c>
      <c r="AY39" s="169" t="s">
        <v>323</v>
      </c>
      <c r="AZ39" s="162">
        <f t="shared" si="36"/>
        <v>50.307964117309652</v>
      </c>
      <c r="BA39" s="168" t="s">
        <v>322</v>
      </c>
      <c r="BC39" s="81" t="s">
        <v>415</v>
      </c>
      <c r="BD39" s="167">
        <v>-6.14</v>
      </c>
      <c r="BE39" s="167">
        <v>2.1399999999999999E-2</v>
      </c>
      <c r="BF39" s="81">
        <v>-287.01</v>
      </c>
      <c r="BG39" s="81" t="s">
        <v>388</v>
      </c>
      <c r="BJ39" s="175" t="s">
        <v>319</v>
      </c>
      <c r="BK39" s="175" t="s">
        <v>320</v>
      </c>
      <c r="BL39" s="175" t="s">
        <v>355</v>
      </c>
      <c r="BM39" s="175" t="s">
        <v>323</v>
      </c>
      <c r="BN39" s="174">
        <f>BD72</f>
        <v>58</v>
      </c>
      <c r="BO39" s="175" t="s">
        <v>322</v>
      </c>
      <c r="BQ39" s="81" t="s">
        <v>415</v>
      </c>
      <c r="BR39" s="167">
        <v>-6.05</v>
      </c>
      <c r="BS39" s="167">
        <v>2.2700000000000001E-2</v>
      </c>
      <c r="BT39" s="81">
        <v>-266.10000000000002</v>
      </c>
      <c r="BU39" s="81" t="s">
        <v>422</v>
      </c>
      <c r="BV39" s="167">
        <v>2E-16</v>
      </c>
      <c r="BW39" s="81" t="s">
        <v>389</v>
      </c>
      <c r="BY39" s="178" t="s">
        <v>319</v>
      </c>
      <c r="BZ39" s="178" t="s">
        <v>320</v>
      </c>
      <c r="CA39" s="178" t="s">
        <v>352</v>
      </c>
      <c r="CB39" s="178" t="s">
        <v>323</v>
      </c>
      <c r="CC39" s="177">
        <f>BR69</f>
        <v>219</v>
      </c>
      <c r="CD39" s="178" t="s">
        <v>322</v>
      </c>
      <c r="CJ39" s="81" t="s">
        <v>357</v>
      </c>
      <c r="CK39" s="257">
        <f>AZ40</f>
        <v>63.462555609483644</v>
      </c>
      <c r="CL39" s="257">
        <f>BN40</f>
        <v>215.51724137931035</v>
      </c>
      <c r="CM39" s="257">
        <f>CC42</f>
        <v>350.87719298245611</v>
      </c>
      <c r="CP39" s="258" t="s">
        <v>442</v>
      </c>
      <c r="CQ39" s="258" t="s">
        <v>402</v>
      </c>
      <c r="CR39" s="259">
        <v>-16.100000000000001</v>
      </c>
      <c r="CS39" s="259">
        <v>31.3</v>
      </c>
      <c r="CT39" s="258">
        <v>-0.51</v>
      </c>
      <c r="CU39" s="258">
        <v>0.60804000000000002</v>
      </c>
      <c r="CX39" s="260" t="s">
        <v>467</v>
      </c>
      <c r="CY39" s="264" t="s">
        <v>332</v>
      </c>
      <c r="CZ39" s="261" t="s">
        <v>323</v>
      </c>
      <c r="DA39" s="262">
        <f t="shared" ref="DA39:DA42" si="37">CR43</f>
        <v>0.20699999999999999</v>
      </c>
      <c r="DB39" s="260" t="s">
        <v>322</v>
      </c>
      <c r="DD39" s="170" t="s">
        <v>467</v>
      </c>
      <c r="DE39" s="293" t="s">
        <v>332</v>
      </c>
      <c r="DF39" s="291" t="s">
        <v>323</v>
      </c>
      <c r="DG39" s="170">
        <f>AP15</f>
        <v>0.1677664214468034</v>
      </c>
      <c r="DH39" s="170" t="s">
        <v>322</v>
      </c>
    </row>
    <row r="40" spans="1:112" ht="15" customHeight="1" thickTop="1" thickBot="1" x14ac:dyDescent="0.3">
      <c r="A40" s="81" t="s">
        <v>280</v>
      </c>
      <c r="L40" s="81"/>
      <c r="M40" s="81"/>
      <c r="N40" s="81" t="s">
        <v>117</v>
      </c>
      <c r="O40" s="153">
        <f>SUM(R10:R13,R21:R24)</f>
        <v>48.8</v>
      </c>
      <c r="R40" s="81"/>
      <c r="X40" s="228" t="s">
        <v>63</v>
      </c>
      <c r="Y40" s="229"/>
      <c r="Z40" s="230" t="s">
        <v>21</v>
      </c>
      <c r="AA40" s="231">
        <f>1/(1/10+SUM(AD42:AD46))</f>
        <v>0.3056768558951965</v>
      </c>
      <c r="AB40" s="229" t="s">
        <v>5</v>
      </c>
      <c r="AC40" s="229"/>
      <c r="AD40" s="229" t="s">
        <v>22</v>
      </c>
      <c r="AE40" s="232">
        <f>SUM(AE42:AE46)</f>
        <v>378867.5</v>
      </c>
      <c r="AF40" s="14" t="s">
        <v>23</v>
      </c>
      <c r="AG40" s="14">
        <f>SUM(AE42:AE43)</f>
        <v>110960</v>
      </c>
      <c r="AH40" s="14"/>
      <c r="AM40" s="159" t="s">
        <v>319</v>
      </c>
      <c r="AN40" s="81" t="s">
        <v>320</v>
      </c>
      <c r="AO40" s="81" t="s">
        <v>357</v>
      </c>
      <c r="AP40" s="81">
        <f>SUM(O17:O20)*1/(SUM(AD15:AD17)+1/23)+O25*1/(SUM(AD7:AD8)+SUM(AD9:AD10)/2+1/23)</f>
        <v>63.462555609483644</v>
      </c>
      <c r="AQ40" s="81" t="s">
        <v>322</v>
      </c>
      <c r="AR40" s="81">
        <f>1/0.01634389</f>
        <v>61.184944343115376</v>
      </c>
      <c r="AV40" s="168" t="s">
        <v>319</v>
      </c>
      <c r="AW40" s="168" t="s">
        <v>320</v>
      </c>
      <c r="AX40" s="168" t="s">
        <v>357</v>
      </c>
      <c r="AY40" s="169" t="s">
        <v>323</v>
      </c>
      <c r="AZ40" s="162">
        <f t="shared" si="36"/>
        <v>63.462555609483644</v>
      </c>
      <c r="BA40" s="168" t="s">
        <v>322</v>
      </c>
      <c r="BC40" s="81" t="s">
        <v>416</v>
      </c>
      <c r="BD40" s="167">
        <v>-7.59</v>
      </c>
      <c r="BE40" s="167">
        <v>2.3199999999999998E-2</v>
      </c>
      <c r="BF40" s="81">
        <v>-327.07</v>
      </c>
      <c r="BG40" s="81" t="s">
        <v>388</v>
      </c>
      <c r="BJ40" s="175" t="s">
        <v>319</v>
      </c>
      <c r="BK40" s="175" t="s">
        <v>320</v>
      </c>
      <c r="BL40" s="175" t="s">
        <v>357</v>
      </c>
      <c r="BM40" s="175" t="s">
        <v>323</v>
      </c>
      <c r="BN40" s="174">
        <f>1/BD77</f>
        <v>215.51724137931035</v>
      </c>
      <c r="BO40" s="175" t="s">
        <v>322</v>
      </c>
      <c r="BQ40" s="81" t="s">
        <v>416</v>
      </c>
      <c r="BR40" s="167">
        <v>-6.56</v>
      </c>
      <c r="BS40" s="167">
        <v>3.3300000000000003E-2</v>
      </c>
      <c r="BT40" s="81">
        <v>-196.87</v>
      </c>
      <c r="BU40" s="81" t="s">
        <v>422</v>
      </c>
      <c r="BV40" s="167">
        <v>2E-16</v>
      </c>
      <c r="BW40" s="81" t="s">
        <v>389</v>
      </c>
      <c r="BY40" s="178" t="s">
        <v>319</v>
      </c>
      <c r="BZ40" s="178" t="s">
        <v>320</v>
      </c>
      <c r="CA40" s="178" t="s">
        <v>354</v>
      </c>
      <c r="CB40" s="178" t="s">
        <v>323</v>
      </c>
      <c r="CC40" s="177">
        <f t="shared" ref="CC40:CC41" si="38">BR70</f>
        <v>85.9</v>
      </c>
      <c r="CD40" s="178" t="s">
        <v>322</v>
      </c>
      <c r="CK40" s="255"/>
      <c r="CL40" s="255"/>
      <c r="CM40" s="255"/>
      <c r="CP40" s="258" t="s">
        <v>442</v>
      </c>
      <c r="CQ40" s="258" t="s">
        <v>403</v>
      </c>
      <c r="CR40" s="259">
        <v>-29.7</v>
      </c>
      <c r="CS40" s="259">
        <v>197</v>
      </c>
      <c r="CT40" s="258">
        <v>-0.15</v>
      </c>
      <c r="CU40" s="258">
        <v>0.88019999999999998</v>
      </c>
      <c r="CX40" s="260" t="s">
        <v>467</v>
      </c>
      <c r="CY40" s="264" t="s">
        <v>333</v>
      </c>
      <c r="CZ40" s="261" t="s">
        <v>323</v>
      </c>
      <c r="DA40" s="262">
        <f t="shared" si="37"/>
        <v>0.73399999999999999</v>
      </c>
      <c r="DB40" s="260" t="s">
        <v>322</v>
      </c>
      <c r="DD40" s="170" t="s">
        <v>467</v>
      </c>
      <c r="DE40" s="293" t="s">
        <v>333</v>
      </c>
      <c r="DF40" s="291" t="s">
        <v>323</v>
      </c>
      <c r="DG40" s="170">
        <f>AP16</f>
        <v>0.70968168625279782</v>
      </c>
      <c r="DH40" s="170" t="s">
        <v>322</v>
      </c>
    </row>
    <row r="41" spans="1:112" ht="15" customHeight="1" thickTop="1" thickBot="1" x14ac:dyDescent="0.3">
      <c r="A41" s="150" t="s">
        <v>281</v>
      </c>
      <c r="L41" s="81"/>
      <c r="M41" s="81"/>
      <c r="N41" s="81" t="s">
        <v>120</v>
      </c>
      <c r="O41" s="153">
        <f>'Verwarming Tabula'!B60</f>
        <v>138.03320000000002</v>
      </c>
      <c r="R41" s="81"/>
      <c r="X41" s="233"/>
      <c r="Y41" s="234" t="s">
        <v>27</v>
      </c>
      <c r="Z41" s="234" t="s">
        <v>28</v>
      </c>
      <c r="AA41" s="234" t="s">
        <v>29</v>
      </c>
      <c r="AB41" s="234" t="s">
        <v>30</v>
      </c>
      <c r="AC41" s="234" t="s">
        <v>31</v>
      </c>
      <c r="AD41" s="234" t="s">
        <v>32</v>
      </c>
      <c r="AE41" s="235" t="s">
        <v>33</v>
      </c>
      <c r="AF41" s="14"/>
      <c r="AG41" s="14"/>
      <c r="AH41" s="14"/>
      <c r="AQ41" s="81" t="s">
        <v>322</v>
      </c>
      <c r="AV41" s="168"/>
      <c r="AW41" s="168"/>
      <c r="AX41" s="168"/>
      <c r="AY41" s="169"/>
      <c r="BA41" s="168"/>
      <c r="BC41" s="81" t="s">
        <v>417</v>
      </c>
      <c r="BD41" s="167">
        <v>4.5999999999999999E-3</v>
      </c>
      <c r="BE41" s="167">
        <v>2.5000000000000001E-5</v>
      </c>
      <c r="BF41" s="81">
        <v>184.29</v>
      </c>
      <c r="BG41" s="81" t="s">
        <v>388</v>
      </c>
      <c r="BJ41" s="175"/>
      <c r="BK41" s="175"/>
      <c r="BL41" s="175"/>
      <c r="BM41" s="175"/>
      <c r="BN41" s="174"/>
      <c r="BO41" s="175"/>
      <c r="BQ41" s="81" t="s">
        <v>417</v>
      </c>
      <c r="BR41" s="167">
        <v>3.0599999999999998E-3</v>
      </c>
      <c r="BS41" s="167">
        <v>6.4700000000000001E-5</v>
      </c>
      <c r="BT41" s="81">
        <v>47.35</v>
      </c>
      <c r="BU41" s="81" t="s">
        <v>422</v>
      </c>
      <c r="BV41" s="167">
        <v>2E-16</v>
      </c>
      <c r="BW41" s="81" t="s">
        <v>389</v>
      </c>
      <c r="BY41" s="178" t="s">
        <v>319</v>
      </c>
      <c r="BZ41" s="178" t="s">
        <v>320</v>
      </c>
      <c r="CA41" s="178" t="s">
        <v>355</v>
      </c>
      <c r="CB41" s="178" t="s">
        <v>323</v>
      </c>
      <c r="CC41" s="177">
        <f t="shared" si="38"/>
        <v>49.4</v>
      </c>
      <c r="CD41" s="178" t="s">
        <v>322</v>
      </c>
      <c r="CJ41" s="81" t="s">
        <v>358</v>
      </c>
      <c r="CK41" s="254">
        <f t="shared" ref="CK41:CK49" si="39">AZ42</f>
        <v>0.16400670701460809</v>
      </c>
      <c r="CL41" s="254">
        <f t="shared" ref="CL41:CL49" si="40">BN42</f>
        <v>9.35E-2</v>
      </c>
      <c r="CM41" s="254">
        <f t="shared" ref="CM41:CM49" si="41">CC44</f>
        <v>0.11799999999999999</v>
      </c>
      <c r="CP41" s="258" t="s">
        <v>442</v>
      </c>
      <c r="CQ41" s="258" t="s">
        <v>404</v>
      </c>
      <c r="CR41" s="259">
        <v>-29.4</v>
      </c>
      <c r="CS41" s="259">
        <v>61.6</v>
      </c>
      <c r="CT41" s="258">
        <v>-0.48</v>
      </c>
      <c r="CU41" s="258">
        <v>0.63341000000000003</v>
      </c>
      <c r="CX41" s="260" t="s">
        <v>467</v>
      </c>
      <c r="CY41" s="261" t="s">
        <v>334</v>
      </c>
      <c r="CZ41" s="261" t="s">
        <v>323</v>
      </c>
      <c r="DA41" s="262">
        <f t="shared" si="37"/>
        <v>6.4100000000000004E-2</v>
      </c>
      <c r="DB41" s="260" t="s">
        <v>322</v>
      </c>
      <c r="DD41" s="170" t="s">
        <v>467</v>
      </c>
      <c r="DE41" s="291" t="s">
        <v>334</v>
      </c>
      <c r="DF41" s="291" t="s">
        <v>323</v>
      </c>
      <c r="DG41" s="170">
        <f>AP17</f>
        <v>4.920201210438243E-2</v>
      </c>
      <c r="DH41" s="170" t="s">
        <v>322</v>
      </c>
    </row>
    <row r="42" spans="1:112" ht="15" customHeight="1" thickTop="1" thickBot="1" x14ac:dyDescent="0.3">
      <c r="A42" s="81" t="s">
        <v>282</v>
      </c>
      <c r="C42" s="81">
        <v>1</v>
      </c>
      <c r="L42" s="81"/>
      <c r="M42" s="81"/>
      <c r="N42" s="81"/>
      <c r="O42" s="153"/>
      <c r="R42" s="81"/>
      <c r="X42" s="239"/>
      <c r="Y42" s="240" t="s">
        <v>128</v>
      </c>
      <c r="Z42" s="240">
        <v>0.02</v>
      </c>
      <c r="AA42" s="240">
        <v>1.4</v>
      </c>
      <c r="AB42" s="240">
        <v>2100</v>
      </c>
      <c r="AC42" s="240">
        <v>840</v>
      </c>
      <c r="AD42" s="241">
        <f>Z42/AA42</f>
        <v>1.4285714285714287E-2</v>
      </c>
      <c r="AE42" s="242">
        <f>Z42*AB42*AC42</f>
        <v>35280</v>
      </c>
      <c r="AF42" s="14" t="s">
        <v>104</v>
      </c>
      <c r="AG42" s="14"/>
      <c r="AH42" s="14"/>
      <c r="AM42" s="159" t="s">
        <v>319</v>
      </c>
      <c r="AN42" s="81" t="s">
        <v>320</v>
      </c>
      <c r="AO42" s="81" t="s">
        <v>358</v>
      </c>
      <c r="AP42" s="81">
        <f>SUM(O26)/(SUM($O$6:$O$14,$O$26,O30)+2*SUM($O$27))</f>
        <v>0.16400670701460809</v>
      </c>
      <c r="AQ42" s="81" t="s">
        <v>322</v>
      </c>
      <c r="AR42" s="81" t="s">
        <v>359</v>
      </c>
      <c r="AV42" s="168" t="s">
        <v>319</v>
      </c>
      <c r="AW42" s="168" t="s">
        <v>320</v>
      </c>
      <c r="AX42" s="168" t="s">
        <v>358</v>
      </c>
      <c r="AY42" s="169" t="s">
        <v>323</v>
      </c>
      <c r="AZ42" s="162">
        <f>AP42</f>
        <v>0.16400670701460809</v>
      </c>
      <c r="BA42" s="168" t="s">
        <v>322</v>
      </c>
      <c r="BC42" s="81" t="s">
        <v>418</v>
      </c>
      <c r="BD42" s="167">
        <v>393</v>
      </c>
      <c r="BE42" s="167">
        <v>4.21</v>
      </c>
      <c r="BF42" s="81">
        <v>93.48</v>
      </c>
      <c r="BG42" s="81" t="s">
        <v>388</v>
      </c>
      <c r="BJ42" s="175" t="s">
        <v>319</v>
      </c>
      <c r="BK42" s="175" t="s">
        <v>320</v>
      </c>
      <c r="BL42" s="175" t="s">
        <v>358</v>
      </c>
      <c r="BM42" s="175" t="s">
        <v>323</v>
      </c>
      <c r="BN42" s="174">
        <f>BD15</f>
        <v>9.35E-2</v>
      </c>
      <c r="BO42" s="175" t="s">
        <v>322</v>
      </c>
      <c r="BQ42" s="81" t="s">
        <v>418</v>
      </c>
      <c r="BR42" s="167">
        <v>113</v>
      </c>
      <c r="BS42" s="167">
        <v>2.08</v>
      </c>
      <c r="BT42" s="81">
        <v>54.6</v>
      </c>
      <c r="BU42" s="81" t="s">
        <v>422</v>
      </c>
      <c r="BV42" s="167">
        <v>2E-16</v>
      </c>
      <c r="BW42" s="81" t="s">
        <v>389</v>
      </c>
      <c r="BY42" s="178" t="s">
        <v>319</v>
      </c>
      <c r="BZ42" s="178" t="s">
        <v>320</v>
      </c>
      <c r="CA42" s="178" t="s">
        <v>357</v>
      </c>
      <c r="CB42" s="178" t="s">
        <v>323</v>
      </c>
      <c r="CC42" s="177">
        <f>1/BR76</f>
        <v>350.87719298245611</v>
      </c>
      <c r="CD42" s="178" t="s">
        <v>322</v>
      </c>
      <c r="CJ42" s="81" t="s">
        <v>360</v>
      </c>
      <c r="CK42" s="254">
        <f t="shared" si="39"/>
        <v>9.4508286837227937E-2</v>
      </c>
      <c r="CL42" s="254">
        <f t="shared" si="40"/>
        <v>0.19800000000000001</v>
      </c>
      <c r="CM42" s="254">
        <f t="shared" si="41"/>
        <v>0.28299999999999997</v>
      </c>
      <c r="CP42" s="258" t="s">
        <v>442</v>
      </c>
      <c r="CQ42" s="258" t="s">
        <v>405</v>
      </c>
      <c r="CR42" s="259">
        <v>3.0300000000000001E-2</v>
      </c>
      <c r="CS42" s="259">
        <v>2.0100000000000001E-4</v>
      </c>
      <c r="CT42" s="258">
        <v>150.30000000000001</v>
      </c>
      <c r="CU42" s="258" t="s">
        <v>422</v>
      </c>
      <c r="CV42" s="167">
        <v>2E-16</v>
      </c>
      <c r="CW42" s="81" t="s">
        <v>389</v>
      </c>
      <c r="CX42" s="260" t="s">
        <v>467</v>
      </c>
      <c r="CY42" s="261" t="s">
        <v>428</v>
      </c>
      <c r="CZ42" s="261" t="s">
        <v>323</v>
      </c>
      <c r="DA42" s="262">
        <f t="shared" si="37"/>
        <v>5.3800000000000001E-2</v>
      </c>
      <c r="DB42" s="260" t="s">
        <v>322</v>
      </c>
      <c r="DD42" s="170" t="s">
        <v>467</v>
      </c>
      <c r="DE42" s="291" t="s">
        <v>428</v>
      </c>
      <c r="DF42" s="291" t="s">
        <v>323</v>
      </c>
      <c r="DG42" s="170">
        <f>AP46</f>
        <v>4.920201210438243E-2</v>
      </c>
      <c r="DH42" s="170" t="s">
        <v>322</v>
      </c>
    </row>
    <row r="43" spans="1:112" ht="15" customHeight="1" thickTop="1" thickBot="1" x14ac:dyDescent="0.3">
      <c r="A43" s="81" t="s">
        <v>283</v>
      </c>
      <c r="C43" s="81">
        <f>B7/B6</f>
        <v>0.36838978015448604</v>
      </c>
      <c r="D43" s="81" t="s">
        <v>284</v>
      </c>
      <c r="L43" s="81"/>
      <c r="M43" s="81"/>
      <c r="N43" s="81" t="s">
        <v>122</v>
      </c>
      <c r="O43" s="153">
        <f>B4*1.204*1012*5/1000000</f>
        <v>2.8194886719999999</v>
      </c>
      <c r="P43" s="81" t="s">
        <v>123</v>
      </c>
      <c r="Q43" s="81"/>
      <c r="R43" s="81"/>
      <c r="X43" s="188"/>
      <c r="Y43" s="189" t="s">
        <v>129</v>
      </c>
      <c r="Z43" s="189">
        <v>0.08</v>
      </c>
      <c r="AA43" s="189">
        <v>0.6</v>
      </c>
      <c r="AB43" s="189">
        <v>1100</v>
      </c>
      <c r="AC43" s="189">
        <v>860</v>
      </c>
      <c r="AD43" s="236">
        <f>Z43/AA43</f>
        <v>0.13333333333333333</v>
      </c>
      <c r="AE43" s="190">
        <f>Z43*AB43*AC43</f>
        <v>75680</v>
      </c>
      <c r="AF43" s="14"/>
      <c r="AG43" s="14"/>
      <c r="AH43" s="14"/>
      <c r="AM43" s="159" t="s">
        <v>319</v>
      </c>
      <c r="AN43" s="81" t="s">
        <v>320</v>
      </c>
      <c r="AO43" s="81" t="s">
        <v>360</v>
      </c>
      <c r="AP43" s="81">
        <f>SUM(O26)/SUM(O$17:O$25,2*O$28,O$26,O31,2*O29)</f>
        <v>9.4508286837227937E-2</v>
      </c>
      <c r="AQ43" s="81" t="s">
        <v>322</v>
      </c>
      <c r="AR43" s="81" t="s">
        <v>361</v>
      </c>
      <c r="AV43" s="168" t="s">
        <v>319</v>
      </c>
      <c r="AW43" s="168" t="s">
        <v>320</v>
      </c>
      <c r="AX43" s="168" t="s">
        <v>360</v>
      </c>
      <c r="AY43" s="169" t="s">
        <v>323</v>
      </c>
      <c r="AZ43" s="162">
        <f t="shared" ref="AZ43:AZ50" si="42">AP43</f>
        <v>9.4508286837227937E-2</v>
      </c>
      <c r="BA43" s="168" t="s">
        <v>322</v>
      </c>
      <c r="BC43" s="81" t="s">
        <v>419</v>
      </c>
      <c r="BD43" s="167">
        <v>141</v>
      </c>
      <c r="BE43" s="167">
        <v>4.72</v>
      </c>
      <c r="BF43" s="81">
        <v>29.84</v>
      </c>
      <c r="BG43" s="81" t="s">
        <v>388</v>
      </c>
      <c r="BJ43" s="175" t="s">
        <v>319</v>
      </c>
      <c r="BK43" s="175" t="s">
        <v>320</v>
      </c>
      <c r="BL43" s="175" t="s">
        <v>360</v>
      </c>
      <c r="BM43" s="175" t="s">
        <v>323</v>
      </c>
      <c r="BN43" s="174">
        <f>BD57</f>
        <v>0.19800000000000001</v>
      </c>
      <c r="BO43" s="175" t="s">
        <v>322</v>
      </c>
      <c r="BQ43" s="81" t="s">
        <v>419</v>
      </c>
      <c r="BR43" s="167">
        <v>4990</v>
      </c>
      <c r="BS43" s="167">
        <v>2330</v>
      </c>
      <c r="BT43" s="81">
        <v>2.14</v>
      </c>
      <c r="BU43" s="81">
        <v>3.27E-2</v>
      </c>
      <c r="BV43" s="81" t="s">
        <v>434</v>
      </c>
      <c r="BY43" s="178"/>
      <c r="BZ43" s="178"/>
      <c r="CA43" s="178"/>
      <c r="CB43" s="178"/>
      <c r="CC43" s="177"/>
      <c r="CD43" s="178"/>
      <c r="CJ43" s="81" t="s">
        <v>362</v>
      </c>
      <c r="CK43" s="256">
        <f t="shared" si="39"/>
        <v>14177850</v>
      </c>
      <c r="CL43" s="256">
        <f t="shared" si="40"/>
        <v>8270000</v>
      </c>
      <c r="CM43" s="256">
        <f t="shared" si="41"/>
        <v>19200000</v>
      </c>
      <c r="CP43" s="258" t="s">
        <v>442</v>
      </c>
      <c r="CQ43" s="258" t="s">
        <v>406</v>
      </c>
      <c r="CR43" s="259">
        <v>0.20699999999999999</v>
      </c>
      <c r="CS43" s="259">
        <v>9.59E-4</v>
      </c>
      <c r="CT43" s="258">
        <v>215.52</v>
      </c>
      <c r="CU43" s="258" t="s">
        <v>422</v>
      </c>
      <c r="CV43" s="167">
        <v>2E-16</v>
      </c>
      <c r="CW43" s="81" t="s">
        <v>389</v>
      </c>
      <c r="CZ43" s="261"/>
      <c r="DF43" s="291"/>
    </row>
    <row r="44" spans="1:112" ht="15" customHeight="1" thickTop="1" thickBot="1" x14ac:dyDescent="0.3">
      <c r="A44" s="81" t="s">
        <v>287</v>
      </c>
      <c r="C44" s="81">
        <v>0.7</v>
      </c>
      <c r="E44" s="79"/>
      <c r="L44" s="81"/>
      <c r="M44" s="81"/>
      <c r="N44" s="81" t="s">
        <v>124</v>
      </c>
      <c r="O44" s="153">
        <f>SUM(S6:S9,S15)/1000000</f>
        <v>14.797219900534758</v>
      </c>
      <c r="P44" s="81" t="s">
        <v>125</v>
      </c>
      <c r="Q44" s="153">
        <f>SUM(U6:U9,U15)/1000000</f>
        <v>6.7957248270944746</v>
      </c>
      <c r="R44" s="81"/>
      <c r="X44" s="188"/>
      <c r="Y44" s="189" t="s">
        <v>285</v>
      </c>
      <c r="Z44" s="286">
        <v>1.4999999999999999E-2</v>
      </c>
      <c r="AA44" s="189">
        <v>3.5999999999999997E-2</v>
      </c>
      <c r="AB44" s="189">
        <v>30</v>
      </c>
      <c r="AC44" s="189">
        <v>1470</v>
      </c>
      <c r="AD44" s="236">
        <f>Z44/AA44</f>
        <v>0.41666666666666669</v>
      </c>
      <c r="AE44" s="190">
        <f>Z44*AB44*AC44</f>
        <v>661.49999999999989</v>
      </c>
      <c r="AF44" s="149" t="s">
        <v>286</v>
      </c>
      <c r="AG44" s="14"/>
      <c r="AH44" s="14"/>
      <c r="AM44" s="159" t="s">
        <v>319</v>
      </c>
      <c r="AN44" s="81" t="s">
        <v>320</v>
      </c>
      <c r="AO44" s="81" t="s">
        <v>362</v>
      </c>
      <c r="AP44" s="81">
        <f>U26/2</f>
        <v>14177850</v>
      </c>
      <c r="AQ44" s="81" t="s">
        <v>322</v>
      </c>
      <c r="AR44" s="81" t="s">
        <v>363</v>
      </c>
      <c r="AV44" s="168" t="s">
        <v>319</v>
      </c>
      <c r="AW44" s="168" t="s">
        <v>320</v>
      </c>
      <c r="AX44" s="168" t="s">
        <v>362</v>
      </c>
      <c r="AY44" s="169" t="s">
        <v>323</v>
      </c>
      <c r="AZ44" s="162">
        <f t="shared" si="42"/>
        <v>14177850</v>
      </c>
      <c r="BA44" s="168" t="s">
        <v>322</v>
      </c>
      <c r="BC44" s="81" t="s">
        <v>420</v>
      </c>
      <c r="BD44" s="167">
        <v>81.900000000000006</v>
      </c>
      <c r="BE44" s="167">
        <v>0.45900000000000002</v>
      </c>
      <c r="BF44" s="81">
        <v>178.48</v>
      </c>
      <c r="BG44" s="81" t="s">
        <v>388</v>
      </c>
      <c r="BJ44" s="175" t="s">
        <v>319</v>
      </c>
      <c r="BK44" s="175" t="s">
        <v>320</v>
      </c>
      <c r="BL44" s="175" t="s">
        <v>362</v>
      </c>
      <c r="BM44" s="175" t="s">
        <v>323</v>
      </c>
      <c r="BN44" s="174">
        <f>BD87</f>
        <v>8270000</v>
      </c>
      <c r="BO44" s="175" t="s">
        <v>322</v>
      </c>
      <c r="BQ44" s="81" t="s">
        <v>420</v>
      </c>
      <c r="BR44" s="167">
        <v>75.900000000000006</v>
      </c>
      <c r="BS44" s="167">
        <v>3.39</v>
      </c>
      <c r="BT44" s="81">
        <v>22.42</v>
      </c>
      <c r="BU44" s="81" t="s">
        <v>422</v>
      </c>
      <c r="BV44" s="167">
        <v>2E-16</v>
      </c>
      <c r="BW44" s="81" t="s">
        <v>389</v>
      </c>
      <c r="BY44" s="178" t="s">
        <v>319</v>
      </c>
      <c r="BZ44" s="178" t="s">
        <v>320</v>
      </c>
      <c r="CA44" s="178" t="s">
        <v>358</v>
      </c>
      <c r="CB44" s="178" t="s">
        <v>323</v>
      </c>
      <c r="CC44" s="177">
        <f>BR15</f>
        <v>0.11799999999999999</v>
      </c>
      <c r="CD44" s="178" t="s">
        <v>322</v>
      </c>
      <c r="CJ44" s="81" t="s">
        <v>364</v>
      </c>
      <c r="CK44" s="256">
        <f t="shared" si="39"/>
        <v>14177850</v>
      </c>
      <c r="CL44" s="256">
        <f t="shared" si="40"/>
        <v>25000000</v>
      </c>
      <c r="CM44" s="256">
        <f t="shared" si="41"/>
        <v>65100000</v>
      </c>
      <c r="CP44" s="258" t="s">
        <v>442</v>
      </c>
      <c r="CQ44" s="258" t="s">
        <v>407</v>
      </c>
      <c r="CR44" s="259">
        <v>0.73399999999999999</v>
      </c>
      <c r="CS44" s="259">
        <v>4.2300000000000003E-3</v>
      </c>
      <c r="CT44" s="258">
        <v>173.53</v>
      </c>
      <c r="CU44" s="258" t="s">
        <v>422</v>
      </c>
      <c r="CV44" s="167">
        <v>2E-16</v>
      </c>
      <c r="CW44" s="81" t="s">
        <v>389</v>
      </c>
      <c r="CX44" s="260" t="s">
        <v>467</v>
      </c>
      <c r="CY44" s="266" t="s">
        <v>489</v>
      </c>
      <c r="CZ44" s="261" t="s">
        <v>323</v>
      </c>
      <c r="DA44" s="262">
        <f>CR68</f>
        <v>0.29599999999999999</v>
      </c>
      <c r="DB44" s="260" t="s">
        <v>322</v>
      </c>
      <c r="DD44" s="170" t="s">
        <v>467</v>
      </c>
      <c r="DE44" s="296" t="s">
        <v>489</v>
      </c>
      <c r="DF44" s="291" t="s">
        <v>323</v>
      </c>
      <c r="DG44" s="170">
        <f>O11*Z37*AP26</f>
        <v>0.29511961220926869</v>
      </c>
      <c r="DH44" s="170" t="s">
        <v>322</v>
      </c>
    </row>
    <row r="45" spans="1:112" ht="15" customHeight="1" thickTop="1" thickBot="1" x14ac:dyDescent="0.3">
      <c r="A45" s="81" t="s">
        <v>288</v>
      </c>
      <c r="C45" s="81">
        <v>0.5</v>
      </c>
      <c r="E45" s="79"/>
      <c r="L45" s="81"/>
      <c r="M45" s="81"/>
      <c r="N45" s="81" t="s">
        <v>126</v>
      </c>
      <c r="O45" s="153">
        <f>SUM(S26:S27)/1000000</f>
        <v>41.791845300282262</v>
      </c>
      <c r="P45" s="81" t="s">
        <v>125</v>
      </c>
      <c r="Q45" s="153">
        <f>SUM(U26:U27)/1000000</f>
        <v>41.791845300282262</v>
      </c>
      <c r="R45" s="81"/>
      <c r="X45" s="188"/>
      <c r="Y45" s="189" t="s">
        <v>131</v>
      </c>
      <c r="Z45" s="189">
        <v>0.15</v>
      </c>
      <c r="AA45" s="189">
        <v>1.4</v>
      </c>
      <c r="AB45" s="189">
        <v>2100</v>
      </c>
      <c r="AC45" s="189">
        <v>840</v>
      </c>
      <c r="AD45" s="236">
        <f>Z45/AA45</f>
        <v>0.10714285714285715</v>
      </c>
      <c r="AE45" s="190">
        <f>Z45*AB45*AC45</f>
        <v>264600</v>
      </c>
      <c r="AF45" s="14"/>
      <c r="AG45" s="14"/>
      <c r="AH45" s="14"/>
      <c r="AM45" s="159" t="s">
        <v>319</v>
      </c>
      <c r="AN45" s="81" t="s">
        <v>320</v>
      </c>
      <c r="AO45" s="81" t="s">
        <v>364</v>
      </c>
      <c r="AP45" s="81">
        <f>U26/2</f>
        <v>14177850</v>
      </c>
      <c r="AQ45" s="81" t="s">
        <v>322</v>
      </c>
      <c r="AR45" s="81" t="s">
        <v>365</v>
      </c>
      <c r="AV45" s="168" t="s">
        <v>319</v>
      </c>
      <c r="AW45" s="168" t="s">
        <v>320</v>
      </c>
      <c r="AX45" s="168" t="s">
        <v>364</v>
      </c>
      <c r="AY45" s="169" t="s">
        <v>323</v>
      </c>
      <c r="AZ45" s="162">
        <f t="shared" si="42"/>
        <v>14177850</v>
      </c>
      <c r="BA45" s="168" t="s">
        <v>322</v>
      </c>
      <c r="BJ45" s="175" t="s">
        <v>319</v>
      </c>
      <c r="BK45" s="175" t="s">
        <v>320</v>
      </c>
      <c r="BL45" s="175" t="s">
        <v>364</v>
      </c>
      <c r="BM45" s="175" t="s">
        <v>323</v>
      </c>
      <c r="BN45" s="174">
        <f>BD88</f>
        <v>25000000</v>
      </c>
      <c r="BO45" s="175" t="s">
        <v>322</v>
      </c>
      <c r="BY45" s="178" t="s">
        <v>319</v>
      </c>
      <c r="BZ45" s="178" t="s">
        <v>320</v>
      </c>
      <c r="CA45" s="178" t="s">
        <v>360</v>
      </c>
      <c r="CB45" s="178" t="s">
        <v>323</v>
      </c>
      <c r="CC45" s="177">
        <f>BR56</f>
        <v>0.28299999999999997</v>
      </c>
      <c r="CD45" s="178" t="s">
        <v>322</v>
      </c>
      <c r="CJ45" s="81" t="s">
        <v>366</v>
      </c>
      <c r="CK45" s="254">
        <f t="shared" si="39"/>
        <v>4.920201210438243E-2</v>
      </c>
      <c r="CL45" s="254">
        <f t="shared" si="40"/>
        <v>7.3400000000000007E-2</v>
      </c>
      <c r="CM45" s="254">
        <f t="shared" si="41"/>
        <v>4.4299999999999999E-2</v>
      </c>
      <c r="CP45" s="258" t="s">
        <v>442</v>
      </c>
      <c r="CQ45" s="258" t="s">
        <v>408</v>
      </c>
      <c r="CR45" s="259">
        <v>6.4100000000000004E-2</v>
      </c>
      <c r="CS45" s="259">
        <v>2.9700000000000001E-4</v>
      </c>
      <c r="CT45" s="258">
        <v>216.03</v>
      </c>
      <c r="CU45" s="258" t="s">
        <v>422</v>
      </c>
      <c r="CV45" s="167">
        <v>2E-16</v>
      </c>
      <c r="CW45" s="81" t="s">
        <v>389</v>
      </c>
      <c r="CX45" s="260" t="s">
        <v>467</v>
      </c>
      <c r="CY45" s="266" t="s">
        <v>490</v>
      </c>
      <c r="CZ45" s="261" t="s">
        <v>323</v>
      </c>
      <c r="DA45" s="262">
        <f t="shared" ref="DA45:DA59" si="43">CR69</f>
        <v>8.2200000000000003E-7</v>
      </c>
      <c r="DB45" s="260" t="s">
        <v>322</v>
      </c>
      <c r="DD45" s="170" t="s">
        <v>467</v>
      </c>
      <c r="DE45" s="296" t="s">
        <v>490</v>
      </c>
      <c r="DF45" s="291" t="s">
        <v>323</v>
      </c>
      <c r="DG45" s="170">
        <f>O10*Z37*AP26</f>
        <v>0.26701298247505262</v>
      </c>
      <c r="DH45" s="170" t="s">
        <v>322</v>
      </c>
    </row>
    <row r="46" spans="1:112" ht="15" customHeight="1" thickTop="1" thickBot="1" x14ac:dyDescent="0.3">
      <c r="L46" s="81"/>
      <c r="M46" s="81"/>
      <c r="N46" s="81" t="s">
        <v>127</v>
      </c>
      <c r="O46" s="153">
        <f>S14/1000000</f>
        <v>23.489785000000001</v>
      </c>
      <c r="Q46" s="153">
        <f>U14/1000000</f>
        <v>6.8795200000000003</v>
      </c>
      <c r="R46" s="81"/>
      <c r="X46" s="205"/>
      <c r="Y46" s="187" t="s">
        <v>132</v>
      </c>
      <c r="Z46" s="287">
        <v>0.06</v>
      </c>
      <c r="AA46" s="187">
        <v>2.4E-2</v>
      </c>
      <c r="AB46" s="187">
        <v>30</v>
      </c>
      <c r="AC46" s="187">
        <v>1470</v>
      </c>
      <c r="AD46" s="237">
        <f>Z46/AA46</f>
        <v>2.5</v>
      </c>
      <c r="AE46" s="210">
        <f>Z46*AB46*AC46</f>
        <v>2645.9999999999995</v>
      </c>
      <c r="AF46" s="14"/>
      <c r="AG46" s="14"/>
      <c r="AH46" s="14"/>
      <c r="AM46" s="159" t="s">
        <v>319</v>
      </c>
      <c r="AN46" s="81" t="s">
        <v>320</v>
      </c>
      <c r="AO46" s="81" t="s">
        <v>366</v>
      </c>
      <c r="AP46" s="81">
        <f>AP42*0.3</f>
        <v>4.920201210438243E-2</v>
      </c>
      <c r="AQ46" s="81" t="s">
        <v>322</v>
      </c>
      <c r="AR46" s="81" t="s">
        <v>367</v>
      </c>
      <c r="AV46" s="168" t="s">
        <v>319</v>
      </c>
      <c r="AW46" s="168" t="s">
        <v>320</v>
      </c>
      <c r="AX46" s="168" t="s">
        <v>366</v>
      </c>
      <c r="AY46" s="169" t="s">
        <v>323</v>
      </c>
      <c r="AZ46" s="162">
        <f t="shared" si="42"/>
        <v>4.920201210438243E-2</v>
      </c>
      <c r="BA46" s="168" t="s">
        <v>322</v>
      </c>
      <c r="BJ46" s="175" t="s">
        <v>319</v>
      </c>
      <c r="BK46" s="175" t="s">
        <v>320</v>
      </c>
      <c r="BL46" s="175" t="s">
        <v>366</v>
      </c>
      <c r="BM46" s="175" t="s">
        <v>323</v>
      </c>
      <c r="BN46" s="174">
        <f>BD31</f>
        <v>7.3400000000000007E-2</v>
      </c>
      <c r="BO46" s="175" t="s">
        <v>322</v>
      </c>
      <c r="BQ46" s="81" t="s">
        <v>433</v>
      </c>
      <c r="BR46" s="81" t="s">
        <v>421</v>
      </c>
      <c r="BY46" s="178" t="s">
        <v>319</v>
      </c>
      <c r="BZ46" s="178" t="s">
        <v>320</v>
      </c>
      <c r="CA46" s="178" t="s">
        <v>362</v>
      </c>
      <c r="CB46" s="178" t="s">
        <v>323</v>
      </c>
      <c r="CC46" s="177">
        <f>BR87</f>
        <v>19200000</v>
      </c>
      <c r="CD46" s="178" t="s">
        <v>322</v>
      </c>
      <c r="CJ46" s="81" t="s">
        <v>368</v>
      </c>
      <c r="CK46" s="254">
        <f t="shared" si="39"/>
        <v>2.8352486051168378E-2</v>
      </c>
      <c r="CL46" s="254">
        <f t="shared" si="40"/>
        <v>0.126</v>
      </c>
      <c r="CM46" s="254">
        <f t="shared" si="41"/>
        <v>7.3200000000000001E-2</v>
      </c>
      <c r="CP46" s="258" t="s">
        <v>442</v>
      </c>
      <c r="CQ46" s="258" t="s">
        <v>409</v>
      </c>
      <c r="CR46" s="259">
        <v>5.3800000000000001E-2</v>
      </c>
      <c r="CS46" s="259">
        <v>2.04E-4</v>
      </c>
      <c r="CT46" s="258">
        <v>263.83</v>
      </c>
      <c r="CU46" s="258" t="s">
        <v>422</v>
      </c>
      <c r="CV46" s="167">
        <v>2E-16</v>
      </c>
      <c r="CW46" s="81" t="s">
        <v>389</v>
      </c>
      <c r="CX46" s="260" t="s">
        <v>467</v>
      </c>
      <c r="CY46" s="266" t="s">
        <v>491</v>
      </c>
      <c r="CZ46" s="261" t="s">
        <v>323</v>
      </c>
      <c r="DA46" s="262">
        <f t="shared" si="43"/>
        <v>0.29699999999999999</v>
      </c>
      <c r="DB46" s="260" t="s">
        <v>322</v>
      </c>
      <c r="DD46" s="170" t="s">
        <v>467</v>
      </c>
      <c r="DE46" s="296" t="s">
        <v>491</v>
      </c>
      <c r="DF46" s="291" t="s">
        <v>323</v>
      </c>
      <c r="DG46" s="170">
        <f>O12*Z37*AP26</f>
        <v>0.27638185905312462</v>
      </c>
      <c r="DH46" s="170" t="s">
        <v>322</v>
      </c>
    </row>
    <row r="47" spans="1:112" ht="15" customHeight="1" thickTop="1" thickBot="1" x14ac:dyDescent="0.3">
      <c r="B47" s="153"/>
      <c r="L47" s="81"/>
      <c r="M47" s="81"/>
      <c r="N47" s="81"/>
      <c r="Q47" s="81"/>
      <c r="R47" s="81"/>
      <c r="X47" s="189"/>
      <c r="Y47" s="189"/>
      <c r="Z47" s="189"/>
      <c r="AA47" s="189"/>
      <c r="AB47" s="189"/>
      <c r="AC47" s="189"/>
      <c r="AD47" s="236"/>
      <c r="AE47" s="189"/>
      <c r="AF47" s="14"/>
      <c r="AG47" s="14"/>
      <c r="AH47" s="14"/>
      <c r="AM47" s="159" t="s">
        <v>319</v>
      </c>
      <c r="AN47" s="81" t="s">
        <v>320</v>
      </c>
      <c r="AO47" s="81" t="s">
        <v>368</v>
      </c>
      <c r="AP47" s="81">
        <f>AP43*0.3</f>
        <v>2.8352486051168378E-2</v>
      </c>
      <c r="AQ47" s="81" t="s">
        <v>322</v>
      </c>
      <c r="AR47" s="81" t="s">
        <v>369</v>
      </c>
      <c r="AV47" s="168" t="s">
        <v>319</v>
      </c>
      <c r="AW47" s="168" t="s">
        <v>320</v>
      </c>
      <c r="AX47" s="168" t="s">
        <v>368</v>
      </c>
      <c r="AY47" s="169" t="s">
        <v>323</v>
      </c>
      <c r="AZ47" s="162">
        <f t="shared" si="42"/>
        <v>2.8352486051168378E-2</v>
      </c>
      <c r="BA47" s="168" t="s">
        <v>322</v>
      </c>
      <c r="BD47" s="172" t="s">
        <v>421</v>
      </c>
      <c r="BJ47" s="175" t="s">
        <v>319</v>
      </c>
      <c r="BK47" s="175" t="s">
        <v>320</v>
      </c>
      <c r="BL47" s="175" t="s">
        <v>368</v>
      </c>
      <c r="BM47" s="175" t="s">
        <v>323</v>
      </c>
      <c r="BN47" s="174">
        <f>BD69</f>
        <v>0.126</v>
      </c>
      <c r="BO47" s="175" t="s">
        <v>322</v>
      </c>
      <c r="BQ47" s="81" t="s">
        <v>380</v>
      </c>
      <c r="BY47" s="178" t="s">
        <v>319</v>
      </c>
      <c r="BZ47" s="178" t="s">
        <v>320</v>
      </c>
      <c r="CA47" s="178" t="s">
        <v>364</v>
      </c>
      <c r="CB47" s="178" t="s">
        <v>323</v>
      </c>
      <c r="CC47" s="177">
        <f>BR89</f>
        <v>65100000</v>
      </c>
      <c r="CD47" s="178" t="s">
        <v>322</v>
      </c>
      <c r="CJ47" s="81" t="s">
        <v>370</v>
      </c>
      <c r="CK47" s="257">
        <f t="shared" si="39"/>
        <v>264.58933107535984</v>
      </c>
      <c r="CL47" s="257">
        <f t="shared" si="40"/>
        <v>502</v>
      </c>
      <c r="CM47" s="257">
        <f t="shared" si="41"/>
        <v>198</v>
      </c>
      <c r="CP47" s="258" t="s">
        <v>442</v>
      </c>
      <c r="CQ47" s="258" t="s">
        <v>410</v>
      </c>
      <c r="CR47" s="259">
        <v>56.7</v>
      </c>
      <c r="CS47" s="259">
        <v>0.27300000000000002</v>
      </c>
      <c r="CT47" s="258">
        <v>208.11</v>
      </c>
      <c r="CU47" s="258" t="s">
        <v>422</v>
      </c>
      <c r="CV47" s="167">
        <v>2E-16</v>
      </c>
      <c r="CW47" s="81" t="s">
        <v>389</v>
      </c>
      <c r="CX47" s="260" t="s">
        <v>467</v>
      </c>
      <c r="CY47" s="266" t="s">
        <v>492</v>
      </c>
      <c r="CZ47" s="261" t="s">
        <v>323</v>
      </c>
      <c r="DA47" s="262">
        <f t="shared" si="43"/>
        <v>0.32</v>
      </c>
      <c r="DB47" s="260" t="s">
        <v>322</v>
      </c>
      <c r="DD47" s="170" t="s">
        <v>467</v>
      </c>
      <c r="DE47" s="296" t="s">
        <v>492</v>
      </c>
      <c r="DF47" s="291" t="s">
        <v>323</v>
      </c>
      <c r="DG47" s="170">
        <f>O13*Z37*AP26</f>
        <v>0.30448848878734069</v>
      </c>
      <c r="DH47" s="170" t="s">
        <v>322</v>
      </c>
    </row>
    <row r="48" spans="1:112" ht="15" customHeight="1" thickTop="1" thickBot="1" x14ac:dyDescent="0.3">
      <c r="B48" s="153"/>
      <c r="L48" s="81"/>
      <c r="M48" s="81"/>
      <c r="N48" s="81"/>
      <c r="Q48" s="81"/>
      <c r="R48" s="81"/>
      <c r="X48" s="226"/>
      <c r="Y48" s="226"/>
      <c r="Z48" s="245" t="s">
        <v>4</v>
      </c>
      <c r="AA48" s="245">
        <v>4</v>
      </c>
      <c r="AB48" s="245" t="s">
        <v>5</v>
      </c>
      <c r="AC48" s="226"/>
      <c r="AD48" s="226"/>
      <c r="AE48" s="226"/>
      <c r="AF48" s="14"/>
      <c r="AG48" s="14"/>
      <c r="AH48" s="14"/>
      <c r="AM48" s="159" t="s">
        <v>319</v>
      </c>
      <c r="AN48" s="81" t="s">
        <v>320</v>
      </c>
      <c r="AO48" s="81" t="s">
        <v>370</v>
      </c>
      <c r="AP48" s="81">
        <f>AA27*4*O26</f>
        <v>264.58933107535984</v>
      </c>
      <c r="AQ48" s="81" t="s">
        <v>322</v>
      </c>
      <c r="AR48" s="81" t="s">
        <v>371</v>
      </c>
      <c r="AV48" s="168" t="s">
        <v>319</v>
      </c>
      <c r="AW48" s="168" t="s">
        <v>320</v>
      </c>
      <c r="AX48" s="168" t="s">
        <v>370</v>
      </c>
      <c r="AY48" s="169" t="s">
        <v>323</v>
      </c>
      <c r="AZ48" s="162">
        <f t="shared" si="42"/>
        <v>264.58933107535984</v>
      </c>
      <c r="BA48" s="168" t="s">
        <v>322</v>
      </c>
      <c r="BC48" s="81" t="s">
        <v>380</v>
      </c>
      <c r="BJ48" s="175" t="s">
        <v>319</v>
      </c>
      <c r="BK48" s="175" t="s">
        <v>320</v>
      </c>
      <c r="BL48" s="175" t="s">
        <v>370</v>
      </c>
      <c r="BM48" s="175" t="s">
        <v>323</v>
      </c>
      <c r="BN48" s="174">
        <f>BD95</f>
        <v>502</v>
      </c>
      <c r="BO48" s="175" t="s">
        <v>322</v>
      </c>
      <c r="BQ48" s="81" t="s">
        <v>381</v>
      </c>
      <c r="BR48" s="81" t="s">
        <v>382</v>
      </c>
      <c r="BS48" s="81" t="s">
        <v>383</v>
      </c>
      <c r="BT48" s="81" t="s">
        <v>384</v>
      </c>
      <c r="BU48" s="81" t="s">
        <v>385</v>
      </c>
      <c r="BV48" s="81" t="s">
        <v>386</v>
      </c>
      <c r="BY48" s="178" t="s">
        <v>319</v>
      </c>
      <c r="BZ48" s="178" t="s">
        <v>320</v>
      </c>
      <c r="CA48" s="178" t="s">
        <v>366</v>
      </c>
      <c r="CB48" s="178" t="s">
        <v>323</v>
      </c>
      <c r="CC48" s="177">
        <f>BR31</f>
        <v>4.4299999999999999E-2</v>
      </c>
      <c r="CD48" s="178" t="s">
        <v>322</v>
      </c>
      <c r="CJ48" s="81" t="s">
        <v>372</v>
      </c>
      <c r="CK48" s="257">
        <f t="shared" si="39"/>
        <v>132.29466553767992</v>
      </c>
      <c r="CL48" s="257">
        <f t="shared" si="40"/>
        <v>393</v>
      </c>
      <c r="CM48" s="257">
        <f t="shared" si="41"/>
        <v>3.48E-4</v>
      </c>
      <c r="CP48" s="258" t="s">
        <v>442</v>
      </c>
      <c r="CQ48" s="258" t="s">
        <v>411</v>
      </c>
      <c r="CR48" s="259">
        <v>88.7</v>
      </c>
      <c r="CS48" s="259">
        <v>0.38900000000000001</v>
      </c>
      <c r="CT48" s="258">
        <v>228.25</v>
      </c>
      <c r="CU48" s="258" t="s">
        <v>422</v>
      </c>
      <c r="CV48" s="167">
        <v>2E-16</v>
      </c>
      <c r="CW48" s="81" t="s">
        <v>389</v>
      </c>
      <c r="CX48" s="260" t="s">
        <v>467</v>
      </c>
      <c r="CY48" s="266" t="s">
        <v>493</v>
      </c>
      <c r="CZ48" s="261" t="s">
        <v>323</v>
      </c>
      <c r="DA48" s="262">
        <f t="shared" si="43"/>
        <v>1.2</v>
      </c>
      <c r="DB48" s="260" t="s">
        <v>322</v>
      </c>
      <c r="DD48" s="170" t="s">
        <v>467</v>
      </c>
      <c r="DE48" s="296" t="s">
        <v>493</v>
      </c>
      <c r="DF48" s="291" t="s">
        <v>323</v>
      </c>
      <c r="DG48" s="170">
        <f>O11*Z37*AP27</f>
        <v>1.0179283186817203</v>
      </c>
      <c r="DH48" s="170" t="s">
        <v>322</v>
      </c>
    </row>
    <row r="49" spans="2:112" ht="15" customHeight="1" thickTop="1" thickBot="1" x14ac:dyDescent="0.3">
      <c r="B49" s="153"/>
      <c r="L49" s="81"/>
      <c r="M49" s="81"/>
      <c r="N49" s="81"/>
      <c r="Q49" s="81"/>
      <c r="R49" s="81"/>
      <c r="X49" s="246" t="s">
        <v>68</v>
      </c>
      <c r="Y49" s="247"/>
      <c r="Z49" s="248" t="s">
        <v>21</v>
      </c>
      <c r="AA49" s="249">
        <v>4</v>
      </c>
      <c r="AB49" s="247" t="s">
        <v>5</v>
      </c>
      <c r="AC49" s="247"/>
      <c r="AD49" s="247" t="s">
        <v>22</v>
      </c>
      <c r="AE49" s="250">
        <f>0.04*550*1660</f>
        <v>36520</v>
      </c>
      <c r="AF49" s="14" t="s">
        <v>23</v>
      </c>
      <c r="AG49" s="14">
        <f>SUM(AE51:AE52)</f>
        <v>0</v>
      </c>
      <c r="AH49" s="14"/>
      <c r="AM49" s="159" t="s">
        <v>319</v>
      </c>
      <c r="AN49" s="81" t="s">
        <v>320</v>
      </c>
      <c r="AO49" s="81" t="s">
        <v>372</v>
      </c>
      <c r="AP49" s="81">
        <f>AP50/2</f>
        <v>132.29466553767992</v>
      </c>
      <c r="AQ49" s="81" t="s">
        <v>322</v>
      </c>
      <c r="AR49" s="81" t="s">
        <v>373</v>
      </c>
      <c r="AV49" s="168" t="s">
        <v>319</v>
      </c>
      <c r="AW49" s="168" t="s">
        <v>320</v>
      </c>
      <c r="AX49" s="168" t="s">
        <v>372</v>
      </c>
      <c r="AY49" s="169" t="s">
        <v>323</v>
      </c>
      <c r="AZ49" s="162">
        <f t="shared" si="42"/>
        <v>132.29466553767992</v>
      </c>
      <c r="BA49" s="168" t="s">
        <v>322</v>
      </c>
      <c r="BC49" s="81" t="s">
        <v>381</v>
      </c>
      <c r="BD49" s="81" t="s">
        <v>382</v>
      </c>
      <c r="BE49" s="81" t="s">
        <v>383</v>
      </c>
      <c r="BF49" s="81" t="s">
        <v>384</v>
      </c>
      <c r="BG49" s="81" t="s">
        <v>385</v>
      </c>
      <c r="BH49" s="81" t="s">
        <v>386</v>
      </c>
      <c r="BJ49" s="175" t="s">
        <v>319</v>
      </c>
      <c r="BK49" s="175" t="s">
        <v>320</v>
      </c>
      <c r="BL49" s="175" t="s">
        <v>372</v>
      </c>
      <c r="BM49" s="175" t="s">
        <v>323</v>
      </c>
      <c r="BN49" s="174">
        <f>BD96</f>
        <v>393</v>
      </c>
      <c r="BO49" s="175" t="s">
        <v>322</v>
      </c>
      <c r="BQ49" s="81" t="s">
        <v>387</v>
      </c>
      <c r="BR49" s="167">
        <v>289</v>
      </c>
      <c r="BS49" s="167">
        <v>0.27</v>
      </c>
      <c r="BT49" s="81">
        <v>1069.93</v>
      </c>
      <c r="BU49" s="81" t="s">
        <v>422</v>
      </c>
      <c r="BV49" s="167">
        <v>2E-16</v>
      </c>
      <c r="BW49" s="81" t="s">
        <v>389</v>
      </c>
      <c r="BY49" s="178" t="s">
        <v>319</v>
      </c>
      <c r="BZ49" s="178" t="s">
        <v>320</v>
      </c>
      <c r="CA49" s="178" t="s">
        <v>368</v>
      </c>
      <c r="CB49" s="178" t="s">
        <v>323</v>
      </c>
      <c r="CC49" s="177">
        <f>BR68</f>
        <v>7.3200000000000001E-2</v>
      </c>
      <c r="CD49" s="178" t="s">
        <v>322</v>
      </c>
      <c r="CJ49" s="81" t="s">
        <v>374</v>
      </c>
      <c r="CK49" s="257">
        <f t="shared" si="39"/>
        <v>264.58933107535984</v>
      </c>
      <c r="CL49" s="257">
        <f t="shared" si="40"/>
        <v>506</v>
      </c>
      <c r="CM49" s="257">
        <f t="shared" si="41"/>
        <v>221</v>
      </c>
      <c r="CP49" s="258" t="s">
        <v>442</v>
      </c>
      <c r="CQ49" s="258" t="s">
        <v>295</v>
      </c>
      <c r="CR49" s="259">
        <v>299</v>
      </c>
      <c r="CS49" s="259">
        <v>1.17</v>
      </c>
      <c r="CT49" s="258">
        <v>256.14999999999998</v>
      </c>
      <c r="CU49" s="258" t="s">
        <v>422</v>
      </c>
      <c r="CV49" s="167">
        <v>2E-16</v>
      </c>
      <c r="CW49" s="81" t="s">
        <v>389</v>
      </c>
      <c r="CX49" s="260" t="s">
        <v>467</v>
      </c>
      <c r="CY49" s="266" t="s">
        <v>494</v>
      </c>
      <c r="CZ49" s="261" t="s">
        <v>323</v>
      </c>
      <c r="DA49" s="262">
        <f t="shared" si="43"/>
        <v>0.48099999999999998</v>
      </c>
      <c r="DB49" s="260" t="s">
        <v>322</v>
      </c>
      <c r="DD49" s="170" t="s">
        <v>467</v>
      </c>
      <c r="DE49" s="296" t="s">
        <v>494</v>
      </c>
      <c r="DF49" s="291" t="s">
        <v>323</v>
      </c>
      <c r="DG49" s="170">
        <f>O10*Z37*AP27</f>
        <v>0.92098276452155636</v>
      </c>
      <c r="DH49" s="170" t="s">
        <v>322</v>
      </c>
    </row>
    <row r="50" spans="2:112" ht="15" customHeight="1" thickTop="1" thickBot="1" x14ac:dyDescent="0.3">
      <c r="L50" s="81"/>
      <c r="M50" s="81"/>
      <c r="N50" s="81"/>
      <c r="Q50" s="81"/>
      <c r="R50" s="81"/>
      <c r="X50" s="251"/>
      <c r="Y50" s="252" t="s">
        <v>16</v>
      </c>
      <c r="Z50" s="252">
        <v>4</v>
      </c>
      <c r="AA50" s="252" t="s">
        <v>5</v>
      </c>
      <c r="AB50" s="252"/>
      <c r="AC50" s="252" t="s">
        <v>313</v>
      </c>
      <c r="AD50" s="252">
        <f>0.11*(1/AA49-1/23-1/8)</f>
        <v>8.9673913043478264E-3</v>
      </c>
      <c r="AE50" s="253"/>
      <c r="AF50" s="14"/>
      <c r="AG50" s="14"/>
      <c r="AH50" s="14"/>
      <c r="AM50" s="159" t="s">
        <v>319</v>
      </c>
      <c r="AN50" s="81" t="s">
        <v>320</v>
      </c>
      <c r="AO50" s="81" t="s">
        <v>374</v>
      </c>
      <c r="AP50" s="81">
        <f>AP48</f>
        <v>264.58933107535984</v>
      </c>
      <c r="AQ50" s="81" t="s">
        <v>322</v>
      </c>
      <c r="AR50" s="81" t="s">
        <v>375</v>
      </c>
      <c r="AV50" s="168" t="s">
        <v>319</v>
      </c>
      <c r="AW50" s="168" t="s">
        <v>320</v>
      </c>
      <c r="AX50" s="168" t="s">
        <v>374</v>
      </c>
      <c r="AY50" s="169" t="s">
        <v>323</v>
      </c>
      <c r="AZ50" s="162">
        <f t="shared" si="42"/>
        <v>264.58933107535984</v>
      </c>
      <c r="BA50" s="168" t="s">
        <v>322</v>
      </c>
      <c r="BC50" s="81" t="s">
        <v>387</v>
      </c>
      <c r="BD50" s="167">
        <v>291</v>
      </c>
      <c r="BE50" s="167">
        <v>5.11E-2</v>
      </c>
      <c r="BF50" s="81">
        <v>5694.69</v>
      </c>
      <c r="BG50" s="81" t="s">
        <v>422</v>
      </c>
      <c r="BH50" s="167">
        <v>2E-16</v>
      </c>
      <c r="BI50" s="81" t="s">
        <v>389</v>
      </c>
      <c r="BJ50" s="175" t="s">
        <v>319</v>
      </c>
      <c r="BK50" s="175" t="s">
        <v>320</v>
      </c>
      <c r="BL50" s="175" t="s">
        <v>374</v>
      </c>
      <c r="BM50" s="175" t="s">
        <v>323</v>
      </c>
      <c r="BN50" s="174">
        <f>BD97</f>
        <v>506</v>
      </c>
      <c r="BO50" s="175" t="s">
        <v>322</v>
      </c>
      <c r="BQ50" s="81" t="s">
        <v>390</v>
      </c>
      <c r="BR50" s="167">
        <v>285</v>
      </c>
      <c r="BS50" s="167">
        <v>0.32700000000000001</v>
      </c>
      <c r="BT50" s="81">
        <v>872.45</v>
      </c>
      <c r="BU50" s="81" t="s">
        <v>422</v>
      </c>
      <c r="BV50" s="167">
        <v>2E-16</v>
      </c>
      <c r="BW50" s="81" t="s">
        <v>389</v>
      </c>
      <c r="BY50" s="178" t="s">
        <v>319</v>
      </c>
      <c r="BZ50" s="178" t="s">
        <v>320</v>
      </c>
      <c r="CA50" s="178" t="s">
        <v>370</v>
      </c>
      <c r="CB50" s="178" t="s">
        <v>323</v>
      </c>
      <c r="CC50" s="177">
        <f>BR94</f>
        <v>198</v>
      </c>
      <c r="CD50" s="178" t="s">
        <v>322</v>
      </c>
      <c r="CP50" s="258" t="s">
        <v>442</v>
      </c>
      <c r="CQ50" s="258" t="s">
        <v>120</v>
      </c>
      <c r="CR50" s="259">
        <v>100</v>
      </c>
      <c r="CS50" s="259">
        <v>0.61899999999999999</v>
      </c>
      <c r="CT50" s="258">
        <v>161.9</v>
      </c>
      <c r="CU50" s="258" t="s">
        <v>422</v>
      </c>
      <c r="CV50" s="167">
        <v>2E-16</v>
      </c>
      <c r="CW50" s="81" t="s">
        <v>389</v>
      </c>
      <c r="CX50" s="260" t="s">
        <v>467</v>
      </c>
      <c r="CY50" s="266" t="s">
        <v>495</v>
      </c>
      <c r="CZ50" s="261" t="s">
        <v>323</v>
      </c>
      <c r="DA50" s="262">
        <f t="shared" si="43"/>
        <v>0.94299999999999995</v>
      </c>
      <c r="DB50" s="260" t="s">
        <v>322</v>
      </c>
      <c r="DD50" s="170" t="s">
        <v>467</v>
      </c>
      <c r="DE50" s="296" t="s">
        <v>495</v>
      </c>
      <c r="DF50" s="291" t="s">
        <v>323</v>
      </c>
      <c r="DG50" s="170">
        <f>O12*Z37*AP27</f>
        <v>0.95329794924161115</v>
      </c>
      <c r="DH50" s="170" t="s">
        <v>322</v>
      </c>
    </row>
    <row r="51" spans="2:112" ht="15" customHeight="1" thickTop="1" thickBot="1" x14ac:dyDescent="0.3">
      <c r="L51" s="81"/>
      <c r="M51" s="81"/>
      <c r="N51" s="81"/>
      <c r="Q51" s="81"/>
      <c r="R51" s="81"/>
      <c r="X51" s="226"/>
      <c r="Y51" s="226"/>
      <c r="Z51" s="227"/>
      <c r="AA51" s="227"/>
      <c r="AB51" s="227"/>
      <c r="AC51" s="226"/>
      <c r="AD51" s="226"/>
      <c r="AE51" s="226"/>
      <c r="AF51" s="14"/>
      <c r="AG51" s="14"/>
      <c r="AH51" s="14"/>
      <c r="BC51" s="81" t="s">
        <v>390</v>
      </c>
      <c r="BD51" s="167">
        <v>289</v>
      </c>
      <c r="BE51" s="167">
        <v>0.17199999999999999</v>
      </c>
      <c r="BF51" s="81">
        <v>1674.64</v>
      </c>
      <c r="BG51" s="81" t="s">
        <v>422</v>
      </c>
      <c r="BH51" s="167">
        <v>2E-16</v>
      </c>
      <c r="BI51" s="81" t="s">
        <v>389</v>
      </c>
      <c r="BQ51" s="81" t="s">
        <v>391</v>
      </c>
      <c r="BR51" s="167">
        <v>291</v>
      </c>
      <c r="BS51" s="167">
        <v>0.14000000000000001</v>
      </c>
      <c r="BT51" s="81">
        <v>2086.0700000000002</v>
      </c>
      <c r="BU51" s="81" t="s">
        <v>422</v>
      </c>
      <c r="BV51" s="167">
        <v>2E-16</v>
      </c>
      <c r="BW51" s="81" t="s">
        <v>389</v>
      </c>
      <c r="BY51" s="178" t="s">
        <v>319</v>
      </c>
      <c r="BZ51" s="178" t="s">
        <v>320</v>
      </c>
      <c r="CA51" s="178" t="s">
        <v>372</v>
      </c>
      <c r="CB51" s="178" t="s">
        <v>323</v>
      </c>
      <c r="CC51" s="177">
        <f>BR95</f>
        <v>3.48E-4</v>
      </c>
      <c r="CD51" s="178" t="s">
        <v>322</v>
      </c>
      <c r="CP51" s="258" t="s">
        <v>442</v>
      </c>
      <c r="CQ51" s="258" t="s">
        <v>412</v>
      </c>
      <c r="CR51" s="259">
        <v>-5.32</v>
      </c>
      <c r="CS51" s="259">
        <v>1.6899999999999998E-2</v>
      </c>
      <c r="CT51" s="258">
        <v>-314.94</v>
      </c>
      <c r="CU51" s="258" t="s">
        <v>422</v>
      </c>
      <c r="CV51" s="167">
        <v>2E-16</v>
      </c>
      <c r="CW51" s="81" t="s">
        <v>389</v>
      </c>
      <c r="CX51" s="260" t="s">
        <v>467</v>
      </c>
      <c r="CY51" s="266" t="s">
        <v>496</v>
      </c>
      <c r="CZ51" s="261" t="s">
        <v>323</v>
      </c>
      <c r="DA51" s="262">
        <f t="shared" si="43"/>
        <v>0.98499999999999999</v>
      </c>
      <c r="DB51" s="260" t="s">
        <v>322</v>
      </c>
      <c r="DD51" s="170" t="s">
        <v>467</v>
      </c>
      <c r="DE51" s="296" t="s">
        <v>496</v>
      </c>
      <c r="DF51" s="291" t="s">
        <v>323</v>
      </c>
      <c r="DG51" s="170">
        <f>O13*Z37*AP27</f>
        <v>1.0502435034017747</v>
      </c>
      <c r="DH51" s="170" t="s">
        <v>322</v>
      </c>
    </row>
    <row r="52" spans="2:112" thickTop="1" thickBot="1" x14ac:dyDescent="0.3">
      <c r="L52" s="81"/>
      <c r="M52" s="81"/>
      <c r="N52" s="81"/>
      <c r="BC52" s="81" t="s">
        <v>391</v>
      </c>
      <c r="BD52" s="167">
        <v>293</v>
      </c>
      <c r="BE52" s="167">
        <v>2.9399999999999999E-2</v>
      </c>
      <c r="BF52" s="81">
        <v>9948.2000000000007</v>
      </c>
      <c r="BG52" s="81" t="s">
        <v>422</v>
      </c>
      <c r="BH52" s="167">
        <v>2E-16</v>
      </c>
      <c r="BI52" s="81" t="s">
        <v>389</v>
      </c>
      <c r="BQ52" s="81" t="s">
        <v>392</v>
      </c>
      <c r="BR52" s="167">
        <v>293</v>
      </c>
      <c r="BS52" s="167">
        <v>0.214</v>
      </c>
      <c r="BT52" s="81">
        <v>1373.31</v>
      </c>
      <c r="BU52" s="81" t="s">
        <v>422</v>
      </c>
      <c r="BV52" s="167">
        <v>2E-16</v>
      </c>
      <c r="BW52" s="81" t="s">
        <v>389</v>
      </c>
      <c r="BY52" s="178" t="s">
        <v>319</v>
      </c>
      <c r="BZ52" s="178" t="s">
        <v>320</v>
      </c>
      <c r="CA52" s="178" t="s">
        <v>374</v>
      </c>
      <c r="CB52" s="178" t="s">
        <v>323</v>
      </c>
      <c r="CC52" s="177">
        <f>BR96</f>
        <v>221</v>
      </c>
      <c r="CD52" s="178" t="s">
        <v>322</v>
      </c>
      <c r="CP52" s="258" t="s">
        <v>442</v>
      </c>
      <c r="CQ52" s="258" t="s">
        <v>413</v>
      </c>
      <c r="CR52" s="259">
        <v>-6.66</v>
      </c>
      <c r="CS52" s="259">
        <v>1.5699999999999999E-2</v>
      </c>
      <c r="CT52" s="258">
        <v>-423.38</v>
      </c>
      <c r="CU52" s="258" t="s">
        <v>422</v>
      </c>
      <c r="CV52" s="167">
        <v>2E-16</v>
      </c>
      <c r="CW52" s="81" t="s">
        <v>389</v>
      </c>
      <c r="CX52" s="260" t="s">
        <v>467</v>
      </c>
      <c r="CY52" s="266" t="s">
        <v>497</v>
      </c>
      <c r="CZ52" s="261" t="s">
        <v>323</v>
      </c>
      <c r="DA52" s="262">
        <f t="shared" si="43"/>
        <v>0.33100000000000002</v>
      </c>
      <c r="DB52" s="260" t="s">
        <v>322</v>
      </c>
      <c r="DD52" s="170" t="s">
        <v>467</v>
      </c>
      <c r="DE52" s="296" t="s">
        <v>497</v>
      </c>
      <c r="DF52" s="291" t="s">
        <v>323</v>
      </c>
      <c r="DG52" s="170">
        <f>O11*Z37*AP28</f>
        <v>2.7532550446495073E-2</v>
      </c>
      <c r="DH52" s="170" t="s">
        <v>322</v>
      </c>
    </row>
    <row r="53" spans="2:112" thickTop="1" thickBot="1" x14ac:dyDescent="0.3">
      <c r="L53" s="81"/>
      <c r="M53" s="81"/>
      <c r="N53" s="81"/>
      <c r="X53" s="269" t="s">
        <v>512</v>
      </c>
      <c r="Y53" s="270"/>
      <c r="Z53" s="271" t="s">
        <v>21</v>
      </c>
      <c r="AA53" s="272">
        <f>(1/(1/4+SUM(AD55:AD57)+1/4))</f>
        <v>1.2616822429906542</v>
      </c>
      <c r="AB53" s="270" t="s">
        <v>5</v>
      </c>
      <c r="AC53" s="270"/>
      <c r="AD53" s="270" t="s">
        <v>22</v>
      </c>
      <c r="AE53" s="273">
        <f>SUM(AE55:AE59)</f>
        <v>181020.00000000003</v>
      </c>
      <c r="AF53" s="274" t="s">
        <v>23</v>
      </c>
      <c r="AG53" s="274">
        <f>SUM(AE55:AE57)</f>
        <v>181020.00000000003</v>
      </c>
      <c r="BC53" s="81" t="s">
        <v>392</v>
      </c>
      <c r="BD53" s="167">
        <v>294</v>
      </c>
      <c r="BE53" s="167">
        <v>4.8099999999999997E-2</v>
      </c>
      <c r="BF53" s="81">
        <v>6117.24</v>
      </c>
      <c r="BG53" s="81" t="s">
        <v>422</v>
      </c>
      <c r="BH53" s="167">
        <v>2E-16</v>
      </c>
      <c r="BI53" s="81" t="s">
        <v>389</v>
      </c>
      <c r="BQ53" s="81" t="s">
        <v>394</v>
      </c>
      <c r="BR53" s="167">
        <v>0.46800000000000003</v>
      </c>
      <c r="BS53" s="167">
        <v>1.24E-2</v>
      </c>
      <c r="BT53" s="81">
        <v>37.76</v>
      </c>
      <c r="BU53" s="81" t="s">
        <v>422</v>
      </c>
      <c r="BV53" s="167">
        <v>2E-16</v>
      </c>
      <c r="BW53" s="81" t="s">
        <v>389</v>
      </c>
      <c r="CP53" s="258" t="s">
        <v>442</v>
      </c>
      <c r="CQ53" s="258" t="s">
        <v>414</v>
      </c>
      <c r="CR53" s="259">
        <v>-7.11</v>
      </c>
      <c r="CS53" s="259">
        <v>2.2800000000000001E-2</v>
      </c>
      <c r="CT53" s="258">
        <v>-312.01</v>
      </c>
      <c r="CU53" s="258" t="s">
        <v>422</v>
      </c>
      <c r="CV53" s="167">
        <v>2E-16</v>
      </c>
      <c r="CW53" s="81" t="s">
        <v>389</v>
      </c>
      <c r="CX53" s="260" t="s">
        <v>467</v>
      </c>
      <c r="CY53" s="266" t="s">
        <v>498</v>
      </c>
      <c r="CZ53" s="261" t="s">
        <v>323</v>
      </c>
      <c r="DA53" s="262">
        <f t="shared" si="43"/>
        <v>1.6500000000000001E-6</v>
      </c>
      <c r="DB53" s="260" t="s">
        <v>322</v>
      </c>
      <c r="DD53" s="170" t="s">
        <v>467</v>
      </c>
      <c r="DE53" s="296" t="s">
        <v>498</v>
      </c>
      <c r="DF53" s="291" t="s">
        <v>323</v>
      </c>
      <c r="DG53" s="170">
        <f>O10*Z37*AP28</f>
        <v>2.4910402784924113E-2</v>
      </c>
      <c r="DH53" s="170" t="s">
        <v>322</v>
      </c>
    </row>
    <row r="54" spans="2:112" thickTop="1" thickBot="1" x14ac:dyDescent="0.3">
      <c r="L54" s="81"/>
      <c r="M54" s="81"/>
      <c r="N54" s="81"/>
      <c r="X54" s="275"/>
      <c r="Y54" s="234" t="s">
        <v>27</v>
      </c>
      <c r="Z54" s="234" t="s">
        <v>28</v>
      </c>
      <c r="AA54" s="234" t="s">
        <v>29</v>
      </c>
      <c r="AB54" s="234" t="s">
        <v>30</v>
      </c>
      <c r="AC54" s="234" t="s">
        <v>31</v>
      </c>
      <c r="AD54" s="234" t="s">
        <v>32</v>
      </c>
      <c r="AE54" s="276" t="s">
        <v>33</v>
      </c>
      <c r="AF54" s="274"/>
      <c r="AG54" s="274"/>
      <c r="AO54" s="170" t="s">
        <v>376</v>
      </c>
      <c r="AP54" s="170">
        <f>SUM(AP42,AP4:AP7)</f>
        <v>1</v>
      </c>
      <c r="AQ54" s="170"/>
      <c r="BC54" s="81" t="s">
        <v>394</v>
      </c>
      <c r="BD54" s="167">
        <v>0.44900000000000001</v>
      </c>
      <c r="BE54" s="167">
        <v>1.77E-2</v>
      </c>
      <c r="BF54" s="81">
        <v>25.4</v>
      </c>
      <c r="BG54" s="81" t="s">
        <v>422</v>
      </c>
      <c r="BH54" s="167">
        <v>2E-16</v>
      </c>
      <c r="BI54" s="81" t="s">
        <v>389</v>
      </c>
      <c r="BQ54" s="81" t="s">
        <v>395</v>
      </c>
      <c r="BR54" s="167">
        <v>0.14099999999999999</v>
      </c>
      <c r="BS54" s="167">
        <v>2.1800000000000001E-3</v>
      </c>
      <c r="BT54" s="81">
        <v>64.91</v>
      </c>
      <c r="BU54" s="81" t="s">
        <v>422</v>
      </c>
      <c r="BV54" s="167">
        <v>2E-16</v>
      </c>
      <c r="BW54" s="81" t="s">
        <v>389</v>
      </c>
      <c r="CP54" s="258" t="s">
        <v>442</v>
      </c>
      <c r="CQ54" s="258" t="s">
        <v>415</v>
      </c>
      <c r="CR54" s="259">
        <v>-5.69</v>
      </c>
      <c r="CS54" s="259">
        <v>1.7299999999999999E-2</v>
      </c>
      <c r="CT54" s="258">
        <v>-328.67</v>
      </c>
      <c r="CU54" s="258" t="s">
        <v>422</v>
      </c>
      <c r="CV54" s="167">
        <v>2E-16</v>
      </c>
      <c r="CW54" s="81" t="s">
        <v>389</v>
      </c>
      <c r="CX54" s="260" t="s">
        <v>467</v>
      </c>
      <c r="CY54" s="266" t="s">
        <v>499</v>
      </c>
      <c r="CZ54" s="261" t="s">
        <v>323</v>
      </c>
      <c r="DA54" s="262">
        <f t="shared" si="43"/>
        <v>1.35E-6</v>
      </c>
      <c r="DB54" s="260" t="s">
        <v>322</v>
      </c>
      <c r="DD54" s="170" t="s">
        <v>467</v>
      </c>
      <c r="DE54" s="296" t="s">
        <v>499</v>
      </c>
      <c r="DF54" s="291" t="s">
        <v>323</v>
      </c>
      <c r="DG54" s="170">
        <f>O12*Z37*AP28</f>
        <v>2.578445200544777E-2</v>
      </c>
      <c r="DH54" s="170" t="s">
        <v>322</v>
      </c>
    </row>
    <row r="55" spans="2:112" thickTop="1" thickBot="1" x14ac:dyDescent="0.3">
      <c r="L55" s="81"/>
      <c r="M55" s="81"/>
      <c r="N55" s="81"/>
      <c r="X55" s="277"/>
      <c r="Y55" s="189" t="s">
        <v>90</v>
      </c>
      <c r="Z55" s="189">
        <v>0.02</v>
      </c>
      <c r="AA55" s="189">
        <v>0.6</v>
      </c>
      <c r="AB55" s="189">
        <v>975</v>
      </c>
      <c r="AC55" s="189">
        <v>840</v>
      </c>
      <c r="AD55" s="236">
        <f>Z55/AA55</f>
        <v>3.3333333333333333E-2</v>
      </c>
      <c r="AE55" s="278">
        <f>Z55*AB55*AC55</f>
        <v>16380</v>
      </c>
      <c r="AF55" s="274"/>
      <c r="AG55" s="274"/>
      <c r="AO55" s="170" t="s">
        <v>376</v>
      </c>
      <c r="AP55" s="170">
        <f>SUM(AP43,AP26:AP28)</f>
        <v>1</v>
      </c>
      <c r="AQ55" s="170"/>
      <c r="BC55" s="81" t="s">
        <v>395</v>
      </c>
      <c r="BD55" s="167">
        <v>0.111</v>
      </c>
      <c r="BE55" s="167">
        <v>1.1199999999999999E-3</v>
      </c>
      <c r="BF55" s="81">
        <v>99.15</v>
      </c>
      <c r="BG55" s="81" t="s">
        <v>422</v>
      </c>
      <c r="BH55" s="167">
        <v>2E-16</v>
      </c>
      <c r="BI55" s="81" t="s">
        <v>389</v>
      </c>
      <c r="BQ55" s="81" t="s">
        <v>396</v>
      </c>
      <c r="BR55" s="167">
        <v>0.108</v>
      </c>
      <c r="BS55" s="167">
        <v>2.07E-2</v>
      </c>
      <c r="BT55" s="81">
        <v>5.23</v>
      </c>
      <c r="BU55" s="167">
        <v>1.8E-7</v>
      </c>
      <c r="BV55" s="81" t="s">
        <v>389</v>
      </c>
      <c r="CP55" s="258" t="s">
        <v>442</v>
      </c>
      <c r="CQ55" s="258" t="s">
        <v>416</v>
      </c>
      <c r="CR55" s="259">
        <v>-6.87</v>
      </c>
      <c r="CS55" s="259">
        <v>1.7500000000000002E-2</v>
      </c>
      <c r="CT55" s="258">
        <v>-392.42</v>
      </c>
      <c r="CU55" s="258" t="s">
        <v>422</v>
      </c>
      <c r="CV55" s="167">
        <v>2E-16</v>
      </c>
      <c r="CW55" s="81" t="s">
        <v>389</v>
      </c>
      <c r="CX55" s="260" t="s">
        <v>467</v>
      </c>
      <c r="CY55" s="266" t="s">
        <v>500</v>
      </c>
      <c r="CZ55" s="261" t="s">
        <v>323</v>
      </c>
      <c r="DA55" s="262">
        <f t="shared" si="43"/>
        <v>3.15E-2</v>
      </c>
      <c r="DB55" s="260" t="s">
        <v>322</v>
      </c>
      <c r="DD55" s="170" t="s">
        <v>467</v>
      </c>
      <c r="DE55" s="296" t="s">
        <v>500</v>
      </c>
      <c r="DF55" s="291" t="s">
        <v>323</v>
      </c>
      <c r="DG55" s="170">
        <f>O13*Z37*AP28</f>
        <v>2.8406599667018726E-2</v>
      </c>
      <c r="DH55" s="170" t="s">
        <v>322</v>
      </c>
    </row>
    <row r="56" spans="2:112" thickTop="1" thickBot="1" x14ac:dyDescent="0.3">
      <c r="X56" s="277"/>
      <c r="Y56" s="189" t="s">
        <v>93</v>
      </c>
      <c r="Z56" s="189">
        <v>0.14000000000000001</v>
      </c>
      <c r="AA56" s="189">
        <v>0.54</v>
      </c>
      <c r="AB56" s="189">
        <v>1400</v>
      </c>
      <c r="AC56" s="189">
        <v>840</v>
      </c>
      <c r="AD56" s="236">
        <f>Z56/AA56</f>
        <v>0.25925925925925924</v>
      </c>
      <c r="AE56" s="278">
        <f>Z56*AB56*AC56</f>
        <v>164640.00000000003</v>
      </c>
      <c r="AF56" s="274"/>
      <c r="AG56" s="274"/>
      <c r="AO56" s="170" t="s">
        <v>377</v>
      </c>
      <c r="AP56" s="170">
        <f>SUM(AP46,AP14:AP17)</f>
        <v>1</v>
      </c>
      <c r="AQ56" s="170"/>
      <c r="BC56" s="81" t="s">
        <v>396</v>
      </c>
      <c r="BD56" s="167">
        <v>0.255</v>
      </c>
      <c r="BE56" s="167">
        <v>1.8100000000000002E-2</v>
      </c>
      <c r="BF56" s="81">
        <v>14.05</v>
      </c>
      <c r="BG56" s="81" t="s">
        <v>422</v>
      </c>
      <c r="BH56" s="167">
        <v>2E-16</v>
      </c>
      <c r="BI56" s="81" t="s">
        <v>389</v>
      </c>
      <c r="BQ56" s="81" t="s">
        <v>397</v>
      </c>
      <c r="BR56" s="167">
        <v>0.28299999999999997</v>
      </c>
      <c r="BS56" s="167">
        <v>6.1999999999999998E-3</v>
      </c>
      <c r="BT56" s="81">
        <v>45.61</v>
      </c>
      <c r="BU56" s="81" t="s">
        <v>422</v>
      </c>
      <c r="BV56" s="167">
        <v>2E-16</v>
      </c>
      <c r="BW56" s="81" t="s">
        <v>389</v>
      </c>
      <c r="CP56" s="258" t="s">
        <v>442</v>
      </c>
      <c r="CQ56" s="258" t="s">
        <v>417</v>
      </c>
      <c r="CR56" s="259">
        <v>1.61E-2</v>
      </c>
      <c r="CS56" s="259">
        <v>1.65E-4</v>
      </c>
      <c r="CT56" s="258">
        <v>97.41</v>
      </c>
      <c r="CU56" s="258" t="s">
        <v>422</v>
      </c>
      <c r="CV56" s="167">
        <v>2E-16</v>
      </c>
      <c r="CW56" s="81" t="s">
        <v>389</v>
      </c>
      <c r="CX56" s="260" t="s">
        <v>467</v>
      </c>
      <c r="CY56" s="266" t="s">
        <v>501</v>
      </c>
      <c r="CZ56" s="261" t="s">
        <v>323</v>
      </c>
      <c r="DA56" s="262">
        <f t="shared" si="43"/>
        <v>0.17100000000000001</v>
      </c>
      <c r="DB56" s="260" t="s">
        <v>322</v>
      </c>
      <c r="DD56" s="170" t="s">
        <v>467</v>
      </c>
      <c r="DE56" s="296" t="s">
        <v>501</v>
      </c>
      <c r="DF56" s="291" t="s">
        <v>323</v>
      </c>
      <c r="DG56" s="170">
        <f>O11*Z37*AP43</f>
        <v>0.13991951866251595</v>
      </c>
      <c r="DH56" s="170" t="s">
        <v>322</v>
      </c>
    </row>
    <row r="57" spans="2:112" thickTop="1" thickBot="1" x14ac:dyDescent="0.3">
      <c r="X57" s="279"/>
      <c r="Y57" s="280" t="s">
        <v>273</v>
      </c>
      <c r="Z57" s="281">
        <v>0</v>
      </c>
      <c r="AA57" s="281">
        <v>3.5999999999999997E-2</v>
      </c>
      <c r="AB57" s="281">
        <v>26</v>
      </c>
      <c r="AC57" s="281">
        <v>1470</v>
      </c>
      <c r="AD57" s="282">
        <f>Z57/AA57</f>
        <v>0</v>
      </c>
      <c r="AE57" s="283">
        <f>Z57*AB57*AC57</f>
        <v>0</v>
      </c>
      <c r="AF57" s="274"/>
      <c r="AG57" s="274"/>
      <c r="AO57" s="170" t="s">
        <v>377</v>
      </c>
      <c r="AP57" s="170">
        <f>SUM(AP47,AP33:AP35)</f>
        <v>0.99999999999999989</v>
      </c>
      <c r="AQ57" s="170"/>
      <c r="BC57" s="81" t="s">
        <v>397</v>
      </c>
      <c r="BD57" s="167">
        <v>0.19800000000000001</v>
      </c>
      <c r="BE57" s="167">
        <v>3.8500000000000001E-3</v>
      </c>
      <c r="BF57" s="81">
        <v>51.44</v>
      </c>
      <c r="BG57" s="81" t="s">
        <v>422</v>
      </c>
      <c r="BH57" s="167">
        <v>2E-16</v>
      </c>
      <c r="BI57" s="81" t="s">
        <v>389</v>
      </c>
      <c r="BQ57" s="81" t="s">
        <v>308</v>
      </c>
      <c r="BR57" s="167">
        <v>990000000</v>
      </c>
      <c r="BS57" s="167">
        <v>65000000</v>
      </c>
      <c r="BT57" s="81">
        <v>15.24</v>
      </c>
      <c r="BU57" s="81" t="s">
        <v>422</v>
      </c>
      <c r="BV57" s="167">
        <v>2E-16</v>
      </c>
      <c r="BW57" s="81" t="s">
        <v>389</v>
      </c>
      <c r="CP57" s="258" t="s">
        <v>442</v>
      </c>
      <c r="CQ57" s="258" t="s">
        <v>418</v>
      </c>
      <c r="CR57" s="259">
        <v>37.4</v>
      </c>
      <c r="CS57" s="259">
        <v>0.34200000000000003</v>
      </c>
      <c r="CT57" s="258">
        <v>109.47</v>
      </c>
      <c r="CU57" s="258" t="s">
        <v>422</v>
      </c>
      <c r="CV57" s="167">
        <v>2E-16</v>
      </c>
      <c r="CW57" s="81" t="s">
        <v>389</v>
      </c>
      <c r="CX57" s="260" t="s">
        <v>467</v>
      </c>
      <c r="CY57" s="266" t="s">
        <v>502</v>
      </c>
      <c r="CZ57" s="261" t="s">
        <v>323</v>
      </c>
      <c r="DA57" s="262">
        <f t="shared" si="43"/>
        <v>0.152</v>
      </c>
      <c r="DB57" s="260" t="s">
        <v>322</v>
      </c>
      <c r="DD57" s="170" t="s">
        <v>467</v>
      </c>
      <c r="DE57" s="296" t="s">
        <v>502</v>
      </c>
      <c r="DF57" s="291" t="s">
        <v>323</v>
      </c>
      <c r="DG57" s="170">
        <f>O10*Z37*AP43</f>
        <v>0.12659385021846681</v>
      </c>
      <c r="DH57" s="170" t="s">
        <v>322</v>
      </c>
    </row>
    <row r="58" spans="2:112" thickTop="1" thickBot="1" x14ac:dyDescent="0.3">
      <c r="BC58" s="81" t="s">
        <v>308</v>
      </c>
      <c r="BD58" s="167">
        <v>29000000</v>
      </c>
      <c r="BE58" s="167">
        <v>522000</v>
      </c>
      <c r="BF58" s="81">
        <v>55.58</v>
      </c>
      <c r="BG58" s="81" t="s">
        <v>422</v>
      </c>
      <c r="BH58" s="167">
        <v>2E-16</v>
      </c>
      <c r="BI58" s="81" t="s">
        <v>389</v>
      </c>
      <c r="BQ58" s="81" t="s">
        <v>399</v>
      </c>
      <c r="BR58" s="167">
        <v>752000</v>
      </c>
      <c r="BS58" s="167">
        <v>20000</v>
      </c>
      <c r="BT58" s="81">
        <v>37.6</v>
      </c>
      <c r="BU58" s="81" t="s">
        <v>422</v>
      </c>
      <c r="BV58" s="167">
        <v>2E-16</v>
      </c>
      <c r="BW58" s="81" t="s">
        <v>389</v>
      </c>
      <c r="CP58" s="258" t="s">
        <v>442</v>
      </c>
      <c r="CQ58" s="258" t="s">
        <v>419</v>
      </c>
      <c r="CR58" s="259">
        <v>6290</v>
      </c>
      <c r="CS58" s="259">
        <v>935</v>
      </c>
      <c r="CT58" s="258">
        <v>6.73</v>
      </c>
      <c r="CU58" s="259">
        <v>1.7999999999999999E-11</v>
      </c>
      <c r="CV58" s="81" t="s">
        <v>389</v>
      </c>
      <c r="CX58" s="260" t="s">
        <v>467</v>
      </c>
      <c r="CY58" s="266" t="s">
        <v>503</v>
      </c>
      <c r="CZ58" s="261" t="s">
        <v>323</v>
      </c>
      <c r="DA58" s="262">
        <f t="shared" si="43"/>
        <v>0.13500000000000001</v>
      </c>
      <c r="DB58" s="260" t="s">
        <v>322</v>
      </c>
      <c r="DD58" s="170" t="s">
        <v>467</v>
      </c>
      <c r="DE58" s="296" t="s">
        <v>503</v>
      </c>
      <c r="DF58" s="291" t="s">
        <v>323</v>
      </c>
      <c r="DG58" s="170">
        <f>O12*Z37*AP43</f>
        <v>0.13103573969981655</v>
      </c>
      <c r="DH58" s="170" t="s">
        <v>322</v>
      </c>
    </row>
    <row r="59" spans="2:112" thickTop="1" thickBot="1" x14ac:dyDescent="0.3">
      <c r="BC59" s="81" t="s">
        <v>399</v>
      </c>
      <c r="BD59" s="167">
        <v>858000</v>
      </c>
      <c r="BE59" s="167">
        <v>4620</v>
      </c>
      <c r="BF59" s="81">
        <v>185.74</v>
      </c>
      <c r="BG59" s="81" t="s">
        <v>422</v>
      </c>
      <c r="BH59" s="167">
        <v>2E-16</v>
      </c>
      <c r="BI59" s="81" t="s">
        <v>389</v>
      </c>
      <c r="BQ59" s="81" t="s">
        <v>301</v>
      </c>
      <c r="BR59" s="167">
        <v>8650000</v>
      </c>
      <c r="BS59" s="167">
        <v>780000</v>
      </c>
      <c r="BT59" s="81">
        <v>11.09</v>
      </c>
      <c r="BU59" s="81" t="s">
        <v>422</v>
      </c>
      <c r="BV59" s="167">
        <v>2E-16</v>
      </c>
      <c r="BW59" s="81" t="s">
        <v>389</v>
      </c>
      <c r="CP59" s="258" t="s">
        <v>442</v>
      </c>
      <c r="CQ59" s="258" t="s">
        <v>420</v>
      </c>
      <c r="CR59" s="259">
        <v>52.9</v>
      </c>
      <c r="CS59" s="259">
        <v>0.57599999999999996</v>
      </c>
      <c r="CT59" s="258">
        <v>91.93</v>
      </c>
      <c r="CU59" s="258" t="s">
        <v>422</v>
      </c>
      <c r="CV59" s="167">
        <v>2E-16</v>
      </c>
      <c r="CW59" s="81" t="s">
        <v>389</v>
      </c>
      <c r="CX59" s="260" t="s">
        <v>467</v>
      </c>
      <c r="CY59" s="266" t="s">
        <v>504</v>
      </c>
      <c r="CZ59" s="261" t="s">
        <v>323</v>
      </c>
      <c r="DA59" s="262">
        <f t="shared" si="43"/>
        <v>0.13300000000000001</v>
      </c>
      <c r="DB59" s="260" t="s">
        <v>322</v>
      </c>
      <c r="DD59" s="170" t="s">
        <v>467</v>
      </c>
      <c r="DE59" s="296" t="s">
        <v>504</v>
      </c>
      <c r="DF59" s="291" t="s">
        <v>323</v>
      </c>
      <c r="DG59" s="170">
        <f>O13*Z37*AP43</f>
        <v>0.14436140814386567</v>
      </c>
      <c r="DH59" s="170" t="s">
        <v>322</v>
      </c>
    </row>
    <row r="60" spans="2:112" thickTop="1" thickBot="1" x14ac:dyDescent="0.3">
      <c r="BC60" s="81" t="s">
        <v>301</v>
      </c>
      <c r="BD60" s="167">
        <v>2990000</v>
      </c>
      <c r="BE60" s="167">
        <v>49000</v>
      </c>
      <c r="BF60" s="81">
        <v>61.12</v>
      </c>
      <c r="BG60" s="81" t="s">
        <v>422</v>
      </c>
      <c r="BH60" s="167">
        <v>2E-16</v>
      </c>
      <c r="BI60" s="81" t="s">
        <v>389</v>
      </c>
      <c r="BQ60" s="81" t="s">
        <v>303</v>
      </c>
      <c r="BR60" s="167">
        <v>17100000</v>
      </c>
      <c r="BS60" s="167">
        <v>4790000</v>
      </c>
      <c r="BT60" s="81">
        <v>3.56</v>
      </c>
      <c r="BU60" s="81">
        <v>3.6999999999999999E-4</v>
      </c>
      <c r="BV60" s="81" t="s">
        <v>389</v>
      </c>
      <c r="CY60" s="266"/>
      <c r="CZ60" s="261"/>
      <c r="DA60" s="262"/>
      <c r="DE60" s="296"/>
      <c r="DF60" s="291"/>
    </row>
    <row r="61" spans="2:112" thickTop="1" thickBot="1" x14ac:dyDescent="0.3">
      <c r="BC61" s="81" t="s">
        <v>303</v>
      </c>
      <c r="BD61" s="167">
        <v>5280000</v>
      </c>
      <c r="BE61" s="167">
        <v>21200</v>
      </c>
      <c r="BF61" s="81">
        <v>249</v>
      </c>
      <c r="BG61" s="81" t="s">
        <v>422</v>
      </c>
      <c r="BH61" s="167">
        <v>2E-16</v>
      </c>
      <c r="BI61" s="81" t="s">
        <v>389</v>
      </c>
      <c r="BQ61" s="81" t="s">
        <v>400</v>
      </c>
      <c r="BR61" s="167">
        <v>-20.100000000000001</v>
      </c>
      <c r="BS61" s="167">
        <v>467</v>
      </c>
      <c r="BT61" s="81">
        <v>-0.04</v>
      </c>
      <c r="BU61" s="81">
        <v>0.96562999999999999</v>
      </c>
      <c r="CP61" s="258" t="s">
        <v>442</v>
      </c>
      <c r="CQ61" s="258" t="s">
        <v>433</v>
      </c>
      <c r="CR61" s="258" t="s">
        <v>460</v>
      </c>
      <c r="CX61" s="260" t="s">
        <v>467</v>
      </c>
      <c r="CY61" s="266" t="s">
        <v>344</v>
      </c>
      <c r="CZ61" s="261" t="s">
        <v>323</v>
      </c>
      <c r="DA61" s="262">
        <f>CR85</f>
        <v>1470000</v>
      </c>
      <c r="DB61" s="260" t="s">
        <v>322</v>
      </c>
      <c r="DD61" s="170" t="s">
        <v>467</v>
      </c>
      <c r="DE61" s="296" t="s">
        <v>344</v>
      </c>
      <c r="DF61" s="291" t="s">
        <v>323</v>
      </c>
      <c r="DG61" s="295">
        <f>AP30</f>
        <v>1538247.9853594769</v>
      </c>
      <c r="DH61" s="170" t="s">
        <v>322</v>
      </c>
    </row>
    <row r="62" spans="2:112" thickTop="1" thickBot="1" x14ac:dyDescent="0.3">
      <c r="BC62" s="81" t="s">
        <v>400</v>
      </c>
      <c r="BD62" s="167">
        <v>-24.7</v>
      </c>
      <c r="BE62" s="167">
        <v>0.50900000000000001</v>
      </c>
      <c r="BF62" s="81">
        <v>-48.59</v>
      </c>
      <c r="BG62" s="81" t="s">
        <v>422</v>
      </c>
      <c r="BH62" s="167">
        <v>2E-16</v>
      </c>
      <c r="BI62" s="81" t="s">
        <v>389</v>
      </c>
      <c r="BQ62" s="81" t="s">
        <v>401</v>
      </c>
      <c r="BR62" s="167">
        <v>-13.2</v>
      </c>
      <c r="BS62" s="167">
        <v>543</v>
      </c>
      <c r="BT62" s="81">
        <v>-0.02</v>
      </c>
      <c r="BU62" s="81">
        <v>0.98057000000000005</v>
      </c>
      <c r="CP62" s="258" t="s">
        <v>442</v>
      </c>
      <c r="CQ62" s="258" t="s">
        <v>380</v>
      </c>
      <c r="CX62" s="260" t="s">
        <v>467</v>
      </c>
      <c r="CY62" s="266" t="s">
        <v>345</v>
      </c>
      <c r="CZ62" s="261" t="s">
        <v>323</v>
      </c>
      <c r="DA62" s="262">
        <f t="shared" ref="DA62:DA63" si="44">CR86</f>
        <v>9760000</v>
      </c>
      <c r="DB62" s="260" t="s">
        <v>322</v>
      </c>
      <c r="DD62" s="170" t="s">
        <v>467</v>
      </c>
      <c r="DE62" s="296" t="s">
        <v>345</v>
      </c>
      <c r="DF62" s="291" t="s">
        <v>323</v>
      </c>
      <c r="DG62" s="295">
        <f>AP31</f>
        <v>10731463.172905527</v>
      </c>
      <c r="DH62" s="170" t="s">
        <v>322</v>
      </c>
    </row>
    <row r="63" spans="2:112" thickTop="1" thickBot="1" x14ac:dyDescent="0.3">
      <c r="BC63" s="81" t="s">
        <v>401</v>
      </c>
      <c r="BD63" s="167">
        <v>-11.8</v>
      </c>
      <c r="BE63" s="167">
        <v>10.6</v>
      </c>
      <c r="BF63" s="81">
        <v>-1.1200000000000001</v>
      </c>
      <c r="BG63" s="81">
        <v>0.26</v>
      </c>
      <c r="BQ63" s="81" t="s">
        <v>402</v>
      </c>
      <c r="BR63" s="167">
        <v>-13.4</v>
      </c>
      <c r="BS63" s="167">
        <v>316</v>
      </c>
      <c r="BT63" s="81">
        <v>-0.04</v>
      </c>
      <c r="BU63" s="81">
        <v>0.96606999999999998</v>
      </c>
      <c r="CP63" s="258" t="s">
        <v>442</v>
      </c>
      <c r="CQ63" s="258" t="s">
        <v>381</v>
      </c>
      <c r="CR63" s="258" t="s">
        <v>382</v>
      </c>
      <c r="CS63" s="258" t="s">
        <v>383</v>
      </c>
      <c r="CT63" s="258" t="s">
        <v>384</v>
      </c>
      <c r="CU63" s="258" t="s">
        <v>385</v>
      </c>
      <c r="CV63" s="81" t="s">
        <v>386</v>
      </c>
      <c r="CX63" s="260" t="s">
        <v>467</v>
      </c>
      <c r="CY63" s="266" t="s">
        <v>346</v>
      </c>
      <c r="CZ63" s="261" t="s">
        <v>323</v>
      </c>
      <c r="DA63" s="262">
        <f t="shared" si="44"/>
        <v>35800000</v>
      </c>
      <c r="DB63" s="260" t="s">
        <v>322</v>
      </c>
      <c r="DD63" s="170" t="s">
        <v>467</v>
      </c>
      <c r="DE63" s="296" t="s">
        <v>346</v>
      </c>
      <c r="DF63" s="291" t="s">
        <v>323</v>
      </c>
      <c r="DG63" s="295">
        <f>AP32</f>
        <v>66659001.438658625</v>
      </c>
      <c r="DH63" s="170" t="s">
        <v>322</v>
      </c>
    </row>
    <row r="64" spans="2:112" thickTop="1" thickBot="1" x14ac:dyDescent="0.3">
      <c r="BC64" s="81" t="s">
        <v>402</v>
      </c>
      <c r="BD64" s="167">
        <v>-18.3</v>
      </c>
      <c r="BE64" s="167">
        <v>2.2400000000000002</v>
      </c>
      <c r="BF64" s="81">
        <v>-8.19</v>
      </c>
      <c r="BG64" s="167">
        <v>4.4E-16</v>
      </c>
      <c r="BH64" s="81" t="s">
        <v>389</v>
      </c>
      <c r="BQ64" s="81" t="s">
        <v>403</v>
      </c>
      <c r="BR64" s="167">
        <v>-14.3</v>
      </c>
      <c r="BS64" s="167">
        <v>664</v>
      </c>
      <c r="BT64" s="81">
        <v>-0.02</v>
      </c>
      <c r="BU64" s="81">
        <v>0.98280999999999996</v>
      </c>
      <c r="CP64" s="258" t="s">
        <v>442</v>
      </c>
      <c r="CQ64" s="258" t="s">
        <v>387</v>
      </c>
      <c r="CR64" s="259">
        <v>292</v>
      </c>
      <c r="CS64" s="259">
        <v>9.9299999999999999E-2</v>
      </c>
      <c r="CT64" s="258">
        <v>2937.88</v>
      </c>
      <c r="CU64" s="258" t="s">
        <v>422</v>
      </c>
      <c r="CV64" s="167">
        <v>2E-16</v>
      </c>
      <c r="CW64" s="81" t="s">
        <v>389</v>
      </c>
      <c r="CZ64" s="261"/>
      <c r="DF64" s="291"/>
    </row>
    <row r="65" spans="55:112" thickTop="1" thickBot="1" x14ac:dyDescent="0.3">
      <c r="BC65" s="81" t="s">
        <v>403</v>
      </c>
      <c r="BD65" s="167">
        <v>-16.100000000000001</v>
      </c>
      <c r="BE65" s="167">
        <v>1.95</v>
      </c>
      <c r="BF65" s="81">
        <v>-8.25</v>
      </c>
      <c r="BG65" s="167">
        <v>2.2E-16</v>
      </c>
      <c r="BH65" s="81" t="s">
        <v>389</v>
      </c>
      <c r="BQ65" s="81" t="s">
        <v>405</v>
      </c>
      <c r="BR65" s="167">
        <v>0.23</v>
      </c>
      <c r="BS65" s="167">
        <v>2.3800000000000002E-3</v>
      </c>
      <c r="BT65" s="81">
        <v>96.68</v>
      </c>
      <c r="BU65" s="81" t="s">
        <v>422</v>
      </c>
      <c r="BV65" s="167">
        <v>2E-16</v>
      </c>
      <c r="BW65" s="81" t="s">
        <v>389</v>
      </c>
      <c r="CP65" s="258" t="s">
        <v>442</v>
      </c>
      <c r="CQ65" s="258" t="s">
        <v>390</v>
      </c>
      <c r="CR65" s="259">
        <v>287</v>
      </c>
      <c r="CS65" s="259">
        <v>9.4600000000000004E-2</v>
      </c>
      <c r="CT65" s="258">
        <v>3028.48</v>
      </c>
      <c r="CU65" s="258" t="s">
        <v>422</v>
      </c>
      <c r="CV65" s="167">
        <v>2E-16</v>
      </c>
      <c r="CW65" s="81" t="s">
        <v>389</v>
      </c>
      <c r="CX65" s="260" t="s">
        <v>467</v>
      </c>
      <c r="CY65" s="266" t="s">
        <v>347</v>
      </c>
      <c r="CZ65" s="261" t="s">
        <v>323</v>
      </c>
      <c r="DA65" s="262">
        <f>CR92</f>
        <v>7.4099999999999999E-2</v>
      </c>
      <c r="DB65" s="260" t="s">
        <v>322</v>
      </c>
      <c r="DD65" s="170" t="s">
        <v>467</v>
      </c>
      <c r="DE65" s="296" t="s">
        <v>347</v>
      </c>
      <c r="DF65" s="291" t="s">
        <v>323</v>
      </c>
      <c r="DG65" s="170">
        <f>AP33</f>
        <v>5.9801339860034178E-2</v>
      </c>
      <c r="DH65" s="170" t="s">
        <v>322</v>
      </c>
    </row>
    <row r="66" spans="55:112" thickTop="1" thickBot="1" x14ac:dyDescent="0.3">
      <c r="BC66" s="81" t="s">
        <v>405</v>
      </c>
      <c r="BD66" s="167">
        <v>0.38</v>
      </c>
      <c r="BE66" s="167">
        <v>5.0499999999999998E-3</v>
      </c>
      <c r="BF66" s="81">
        <v>75.36</v>
      </c>
      <c r="BG66" s="81" t="s">
        <v>422</v>
      </c>
      <c r="BH66" s="167">
        <v>2E-16</v>
      </c>
      <c r="BI66" s="81" t="s">
        <v>389</v>
      </c>
      <c r="BQ66" s="81" t="s">
        <v>406</v>
      </c>
      <c r="BR66" s="167">
        <v>4.8599999999999997E-2</v>
      </c>
      <c r="BS66" s="167">
        <v>4.2499999999999998E-4</v>
      </c>
      <c r="BT66" s="81">
        <v>114.51</v>
      </c>
      <c r="BU66" s="81" t="s">
        <v>422</v>
      </c>
      <c r="BV66" s="167">
        <v>2E-16</v>
      </c>
      <c r="BW66" s="81" t="s">
        <v>389</v>
      </c>
      <c r="CP66" s="258" t="s">
        <v>442</v>
      </c>
      <c r="CQ66" s="258" t="s">
        <v>391</v>
      </c>
      <c r="CR66" s="259">
        <v>291</v>
      </c>
      <c r="CS66" s="259">
        <v>5.1799999999999999E-2</v>
      </c>
      <c r="CT66" s="258">
        <v>5626.89</v>
      </c>
      <c r="CU66" s="258" t="s">
        <v>422</v>
      </c>
      <c r="CV66" s="167">
        <v>2E-16</v>
      </c>
      <c r="CW66" s="81" t="s">
        <v>389</v>
      </c>
      <c r="CX66" s="260" t="s">
        <v>467</v>
      </c>
      <c r="CY66" s="266" t="s">
        <v>348</v>
      </c>
      <c r="CZ66" s="261" t="s">
        <v>323</v>
      </c>
      <c r="DA66" s="262">
        <f t="shared" ref="DA66:DA68" si="45">CR93</f>
        <v>0.23300000000000001</v>
      </c>
      <c r="DB66" s="260" t="s">
        <v>322</v>
      </c>
      <c r="DD66" s="170" t="s">
        <v>467</v>
      </c>
      <c r="DE66" s="296" t="s">
        <v>348</v>
      </c>
      <c r="DF66" s="291" t="s">
        <v>323</v>
      </c>
      <c r="DG66" s="170">
        <f>AP34</f>
        <v>0.20626713651098688</v>
      </c>
      <c r="DH66" s="170" t="s">
        <v>322</v>
      </c>
    </row>
    <row r="67" spans="55:112" thickTop="1" thickBot="1" x14ac:dyDescent="0.3">
      <c r="BC67" s="81" t="s">
        <v>406</v>
      </c>
      <c r="BD67" s="167">
        <v>7.2800000000000004E-2</v>
      </c>
      <c r="BE67" s="167">
        <v>4.1599999999999997E-4</v>
      </c>
      <c r="BF67" s="81">
        <v>175.16</v>
      </c>
      <c r="BG67" s="81" t="s">
        <v>422</v>
      </c>
      <c r="BH67" s="167">
        <v>2E-16</v>
      </c>
      <c r="BI67" s="81" t="s">
        <v>389</v>
      </c>
      <c r="BQ67" s="81" t="s">
        <v>407</v>
      </c>
      <c r="BR67" s="167">
        <v>0.63200000000000001</v>
      </c>
      <c r="BS67" s="167">
        <v>1.03E-2</v>
      </c>
      <c r="BT67" s="81">
        <v>61.45</v>
      </c>
      <c r="BU67" s="81" t="s">
        <v>422</v>
      </c>
      <c r="BV67" s="167">
        <v>2E-16</v>
      </c>
      <c r="BW67" s="81" t="s">
        <v>389</v>
      </c>
      <c r="CP67" s="258" t="s">
        <v>442</v>
      </c>
      <c r="CQ67" s="258" t="s">
        <v>392</v>
      </c>
      <c r="CR67" s="259">
        <v>293</v>
      </c>
      <c r="CS67" s="259">
        <v>5.7000000000000002E-2</v>
      </c>
      <c r="CT67" s="258">
        <v>5140.46</v>
      </c>
      <c r="CU67" s="258" t="s">
        <v>422</v>
      </c>
      <c r="CV67" s="167">
        <v>2E-16</v>
      </c>
      <c r="CW67" s="81" t="s">
        <v>389</v>
      </c>
      <c r="CX67" s="260" t="s">
        <v>467</v>
      </c>
      <c r="CY67" s="266" t="s">
        <v>350</v>
      </c>
      <c r="CZ67" s="261" t="s">
        <v>323</v>
      </c>
      <c r="DA67" s="262">
        <f t="shared" si="45"/>
        <v>0.61099999999999999</v>
      </c>
      <c r="DB67" s="260" t="s">
        <v>322</v>
      </c>
      <c r="DD67" s="170" t="s">
        <v>467</v>
      </c>
      <c r="DE67" s="296" t="s">
        <v>350</v>
      </c>
      <c r="DF67" s="291" t="s">
        <v>323</v>
      </c>
      <c r="DG67" s="170">
        <f>AP35</f>
        <v>0.70557903757781049</v>
      </c>
      <c r="DH67" s="170" t="s">
        <v>322</v>
      </c>
    </row>
    <row r="68" spans="55:112" thickTop="1" thickBot="1" x14ac:dyDescent="0.3">
      <c r="BC68" s="81" t="s">
        <v>407</v>
      </c>
      <c r="BD68" s="167">
        <v>0.41799999999999998</v>
      </c>
      <c r="BE68" s="167">
        <v>5.2300000000000003E-3</v>
      </c>
      <c r="BF68" s="81">
        <v>79.87</v>
      </c>
      <c r="BG68" s="81" t="s">
        <v>422</v>
      </c>
      <c r="BH68" s="167">
        <v>2E-16</v>
      </c>
      <c r="BI68" s="81" t="s">
        <v>389</v>
      </c>
      <c r="BQ68" s="81" t="s">
        <v>408</v>
      </c>
      <c r="BR68" s="167">
        <v>7.3200000000000001E-2</v>
      </c>
      <c r="BS68" s="167">
        <v>1.1100000000000001E-3</v>
      </c>
      <c r="BT68" s="81">
        <v>65.86</v>
      </c>
      <c r="BU68" s="81" t="s">
        <v>422</v>
      </c>
      <c r="BV68" s="167">
        <v>2E-16</v>
      </c>
      <c r="BW68" s="81" t="s">
        <v>389</v>
      </c>
      <c r="CP68" s="258" t="s">
        <v>442</v>
      </c>
      <c r="CQ68" s="258" t="s">
        <v>444</v>
      </c>
      <c r="CR68" s="259">
        <v>0.29599999999999999</v>
      </c>
      <c r="CS68" s="259">
        <v>1.35E-2</v>
      </c>
      <c r="CT68" s="258">
        <v>21.91</v>
      </c>
      <c r="CU68" s="258" t="s">
        <v>422</v>
      </c>
      <c r="CV68" s="167">
        <v>2E-16</v>
      </c>
      <c r="CW68" s="81" t="s">
        <v>389</v>
      </c>
      <c r="CX68" s="260" t="s">
        <v>467</v>
      </c>
      <c r="CY68" s="266" t="s">
        <v>429</v>
      </c>
      <c r="CZ68" s="261" t="s">
        <v>323</v>
      </c>
      <c r="DA68" s="262">
        <f t="shared" si="45"/>
        <v>3.0599999999999999E-2</v>
      </c>
      <c r="DB68" s="260" t="s">
        <v>322</v>
      </c>
      <c r="DD68" s="170" t="s">
        <v>467</v>
      </c>
      <c r="DE68" s="296" t="s">
        <v>429</v>
      </c>
      <c r="DF68" s="291" t="s">
        <v>323</v>
      </c>
      <c r="DG68" s="170">
        <f>AP47</f>
        <v>2.8352486051168378E-2</v>
      </c>
      <c r="DH68" s="170" t="s">
        <v>322</v>
      </c>
    </row>
    <row r="69" spans="55:112" thickTop="1" thickBot="1" x14ac:dyDescent="0.3">
      <c r="BC69" s="81" t="s">
        <v>408</v>
      </c>
      <c r="BD69" s="167">
        <v>0.126</v>
      </c>
      <c r="BE69" s="167">
        <v>1.1999999999999999E-3</v>
      </c>
      <c r="BF69" s="81">
        <v>104.99</v>
      </c>
      <c r="BG69" s="81" t="s">
        <v>422</v>
      </c>
      <c r="BH69" s="167">
        <v>2E-16</v>
      </c>
      <c r="BI69" s="81" t="s">
        <v>389</v>
      </c>
      <c r="BQ69" s="81" t="s">
        <v>410</v>
      </c>
      <c r="BR69" s="167">
        <v>219</v>
      </c>
      <c r="BS69" s="167">
        <v>4.1900000000000004</v>
      </c>
      <c r="BT69" s="81">
        <v>52.26</v>
      </c>
      <c r="BU69" s="81" t="s">
        <v>422</v>
      </c>
      <c r="BV69" s="167">
        <v>2E-16</v>
      </c>
      <c r="BW69" s="81" t="s">
        <v>389</v>
      </c>
      <c r="CP69" s="258" t="s">
        <v>442</v>
      </c>
      <c r="CQ69" s="258" t="s">
        <v>341</v>
      </c>
      <c r="CR69" s="259">
        <v>8.2200000000000003E-7</v>
      </c>
      <c r="CS69" s="259">
        <v>4.2100000000000003E-6</v>
      </c>
      <c r="CT69" s="258">
        <v>0.2</v>
      </c>
      <c r="CU69" s="258">
        <v>0.84530000000000005</v>
      </c>
      <c r="CZ69" s="261"/>
      <c r="DF69" s="291"/>
    </row>
    <row r="70" spans="55:112" thickTop="1" thickBot="1" x14ac:dyDescent="0.3">
      <c r="BC70" s="81" t="s">
        <v>410</v>
      </c>
      <c r="BD70" s="167">
        <v>568</v>
      </c>
      <c r="BE70" s="167">
        <v>16.100000000000001</v>
      </c>
      <c r="BF70" s="81">
        <v>35.270000000000003</v>
      </c>
      <c r="BG70" s="81" t="s">
        <v>422</v>
      </c>
      <c r="BH70" s="167">
        <v>2E-16</v>
      </c>
      <c r="BI70" s="81" t="s">
        <v>389</v>
      </c>
      <c r="BQ70" s="81" t="s">
        <v>295</v>
      </c>
      <c r="BR70" s="167">
        <v>85.9</v>
      </c>
      <c r="BS70" s="167">
        <v>0.65300000000000002</v>
      </c>
      <c r="BT70" s="81">
        <v>131.52000000000001</v>
      </c>
      <c r="BU70" s="81" t="s">
        <v>422</v>
      </c>
      <c r="BV70" s="167">
        <v>2E-16</v>
      </c>
      <c r="BW70" s="81" t="s">
        <v>389</v>
      </c>
      <c r="CP70" s="258" t="s">
        <v>442</v>
      </c>
      <c r="CQ70" s="258" t="s">
        <v>445</v>
      </c>
      <c r="CR70" s="259">
        <v>0.29699999999999999</v>
      </c>
      <c r="CS70" s="259">
        <v>7.1599999999999997E-3</v>
      </c>
      <c r="CT70" s="258">
        <v>41.51</v>
      </c>
      <c r="CU70" s="258" t="s">
        <v>422</v>
      </c>
      <c r="CV70" s="167">
        <v>2E-16</v>
      </c>
      <c r="CW70" s="81" t="s">
        <v>389</v>
      </c>
      <c r="CX70" s="260" t="s">
        <v>467</v>
      </c>
      <c r="CY70" s="266" t="s">
        <v>352</v>
      </c>
      <c r="CZ70" s="261" t="s">
        <v>323</v>
      </c>
      <c r="DA70" s="262">
        <f>CR96</f>
        <v>184</v>
      </c>
      <c r="DB70" s="260" t="s">
        <v>322</v>
      </c>
      <c r="DD70" s="170" t="s">
        <v>467</v>
      </c>
      <c r="DE70" s="296" t="s">
        <v>352</v>
      </c>
      <c r="DF70" s="291" t="s">
        <v>323</v>
      </c>
      <c r="DG70" s="170">
        <f>AP37</f>
        <v>172.50907413856567</v>
      </c>
      <c r="DH70" s="170" t="s">
        <v>322</v>
      </c>
    </row>
    <row r="71" spans="55:112" thickTop="1" thickBot="1" x14ac:dyDescent="0.3">
      <c r="BC71" s="81" t="s">
        <v>295</v>
      </c>
      <c r="BD71" s="167">
        <v>238</v>
      </c>
      <c r="BE71" s="167">
        <v>1.01</v>
      </c>
      <c r="BF71" s="81">
        <v>236.64</v>
      </c>
      <c r="BG71" s="81" t="s">
        <v>422</v>
      </c>
      <c r="BH71" s="167">
        <v>2E-16</v>
      </c>
      <c r="BI71" s="81" t="s">
        <v>389</v>
      </c>
      <c r="BQ71" s="81" t="s">
        <v>120</v>
      </c>
      <c r="BR71" s="167">
        <v>49.4</v>
      </c>
      <c r="BS71" s="167">
        <v>1.8</v>
      </c>
      <c r="BT71" s="81">
        <v>27.51</v>
      </c>
      <c r="BU71" s="81" t="s">
        <v>422</v>
      </c>
      <c r="BV71" s="167">
        <v>2E-16</v>
      </c>
      <c r="BW71" s="81" t="s">
        <v>389</v>
      </c>
      <c r="CP71" s="258" t="s">
        <v>442</v>
      </c>
      <c r="CQ71" s="258" t="s">
        <v>446</v>
      </c>
      <c r="CR71" s="259">
        <v>0.32</v>
      </c>
      <c r="CS71" s="259">
        <v>1.2500000000000001E-2</v>
      </c>
      <c r="CT71" s="258">
        <v>25.56</v>
      </c>
      <c r="CU71" s="258" t="s">
        <v>422</v>
      </c>
      <c r="CV71" s="167">
        <v>2E-16</v>
      </c>
      <c r="CW71" s="81" t="s">
        <v>389</v>
      </c>
      <c r="CX71" s="260" t="s">
        <v>467</v>
      </c>
      <c r="CY71" s="266" t="s">
        <v>354</v>
      </c>
      <c r="CZ71" s="261" t="s">
        <v>323</v>
      </c>
      <c r="DA71" s="262">
        <f t="shared" ref="DA71:DA72" si="46">CR97</f>
        <v>574</v>
      </c>
      <c r="DB71" s="260" t="s">
        <v>322</v>
      </c>
      <c r="DD71" s="170" t="s">
        <v>467</v>
      </c>
      <c r="DE71" s="296" t="s">
        <v>354</v>
      </c>
      <c r="DF71" s="291" t="s">
        <v>323</v>
      </c>
      <c r="DG71" s="170">
        <f>AP38</f>
        <v>539.94646809973131</v>
      </c>
      <c r="DH71" s="170" t="s">
        <v>322</v>
      </c>
    </row>
    <row r="72" spans="55:112" thickTop="1" thickBot="1" x14ac:dyDescent="0.3">
      <c r="BC72" s="81" t="s">
        <v>120</v>
      </c>
      <c r="BD72" s="167">
        <v>58</v>
      </c>
      <c r="BE72" s="167">
        <v>0.107</v>
      </c>
      <c r="BF72" s="81">
        <v>543.78</v>
      </c>
      <c r="BG72" s="81" t="s">
        <v>422</v>
      </c>
      <c r="BH72" s="167">
        <v>2E-16</v>
      </c>
      <c r="BI72" s="81" t="s">
        <v>389</v>
      </c>
      <c r="BQ72" s="81" t="s">
        <v>412</v>
      </c>
      <c r="BR72" s="167">
        <v>-4.6100000000000003</v>
      </c>
      <c r="BS72" s="167">
        <v>2.1399999999999999E-2</v>
      </c>
      <c r="BT72" s="81">
        <v>-215.25</v>
      </c>
      <c r="BU72" s="81" t="s">
        <v>422</v>
      </c>
      <c r="BV72" s="167">
        <v>2E-16</v>
      </c>
      <c r="BW72" s="81" t="s">
        <v>389</v>
      </c>
      <c r="CP72" s="258" t="s">
        <v>442</v>
      </c>
      <c r="CQ72" s="258" t="s">
        <v>447</v>
      </c>
      <c r="CR72" s="259">
        <v>1.2</v>
      </c>
      <c r="CS72" s="259">
        <v>2.5600000000000001E-2</v>
      </c>
      <c r="CT72" s="258">
        <v>47.11</v>
      </c>
      <c r="CU72" s="258" t="s">
        <v>422</v>
      </c>
      <c r="CV72" s="167">
        <v>2E-16</v>
      </c>
      <c r="CW72" s="81" t="s">
        <v>389</v>
      </c>
      <c r="CX72" s="260" t="s">
        <v>467</v>
      </c>
      <c r="CY72" s="266" t="s">
        <v>355</v>
      </c>
      <c r="CZ72" s="261" t="s">
        <v>323</v>
      </c>
      <c r="DA72" s="262">
        <f t="shared" si="46"/>
        <v>49.7</v>
      </c>
      <c r="DB72" s="260" t="s">
        <v>322</v>
      </c>
      <c r="DD72" s="170" t="s">
        <v>467</v>
      </c>
      <c r="DE72" s="296" t="s">
        <v>355</v>
      </c>
      <c r="DF72" s="291" t="s">
        <v>323</v>
      </c>
      <c r="DG72" s="170">
        <f>AP39</f>
        <v>50.307964117309652</v>
      </c>
      <c r="DH72" s="170" t="s">
        <v>322</v>
      </c>
    </row>
    <row r="73" spans="55:112" thickTop="1" thickBot="1" x14ac:dyDescent="0.3">
      <c r="BC73" s="81" t="s">
        <v>412</v>
      </c>
      <c r="BD73" s="167">
        <v>-15.3</v>
      </c>
      <c r="BE73" s="167">
        <v>0.30099999999999999</v>
      </c>
      <c r="BF73" s="81">
        <v>-50.74</v>
      </c>
      <c r="BG73" s="81" t="s">
        <v>422</v>
      </c>
      <c r="BH73" s="167">
        <v>2E-16</v>
      </c>
      <c r="BI73" s="81" t="s">
        <v>389</v>
      </c>
      <c r="BQ73" s="81" t="s">
        <v>413</v>
      </c>
      <c r="BR73" s="167">
        <v>-4.8499999999999996</v>
      </c>
      <c r="BS73" s="167">
        <v>2.2599999999999999E-2</v>
      </c>
      <c r="BT73" s="81">
        <v>-214.32</v>
      </c>
      <c r="BU73" s="81" t="s">
        <v>422</v>
      </c>
      <c r="BV73" s="167">
        <v>2E-16</v>
      </c>
      <c r="BW73" s="81" t="s">
        <v>389</v>
      </c>
      <c r="CP73" s="258" t="s">
        <v>442</v>
      </c>
      <c r="CQ73" s="258" t="s">
        <v>342</v>
      </c>
      <c r="CR73" s="259">
        <v>0.48099999999999998</v>
      </c>
      <c r="CS73" s="259">
        <v>8.1500000000000003E-2</v>
      </c>
      <c r="CT73" s="258">
        <v>5.9</v>
      </c>
      <c r="CU73" s="259">
        <v>3.8000000000000001E-9</v>
      </c>
      <c r="CV73" s="81" t="s">
        <v>389</v>
      </c>
      <c r="CX73" s="260" t="s">
        <v>467</v>
      </c>
      <c r="CY73" s="266" t="s">
        <v>357</v>
      </c>
      <c r="CZ73" s="261" t="s">
        <v>323</v>
      </c>
      <c r="DA73" s="262">
        <f>1/CR103</f>
        <v>280.89887640449439</v>
      </c>
      <c r="DB73" s="260" t="s">
        <v>322</v>
      </c>
      <c r="DD73" s="170" t="s">
        <v>467</v>
      </c>
      <c r="DE73" s="296" t="s">
        <v>357</v>
      </c>
      <c r="DF73" s="291" t="s">
        <v>323</v>
      </c>
      <c r="DG73" s="170">
        <f>AP40</f>
        <v>63.462555609483644</v>
      </c>
      <c r="DH73" s="170" t="s">
        <v>322</v>
      </c>
    </row>
    <row r="74" spans="55:112" thickTop="1" thickBot="1" x14ac:dyDescent="0.3">
      <c r="BC74" s="81" t="s">
        <v>413</v>
      </c>
      <c r="BD74" s="167">
        <v>-5.4</v>
      </c>
      <c r="BE74" s="167">
        <v>2.6700000000000002E-2</v>
      </c>
      <c r="BF74" s="81">
        <v>-202.07</v>
      </c>
      <c r="BG74" s="81" t="s">
        <v>422</v>
      </c>
      <c r="BH74" s="167">
        <v>2E-16</v>
      </c>
      <c r="BI74" s="81" t="s">
        <v>389</v>
      </c>
      <c r="BQ74" s="81" t="s">
        <v>414</v>
      </c>
      <c r="BR74" s="167">
        <v>-5.68</v>
      </c>
      <c r="BS74" s="167">
        <v>2.2200000000000001E-2</v>
      </c>
      <c r="BT74" s="81">
        <v>-255.8</v>
      </c>
      <c r="BU74" s="81" t="s">
        <v>422</v>
      </c>
      <c r="BV74" s="167">
        <v>2E-16</v>
      </c>
      <c r="BW74" s="81" t="s">
        <v>389</v>
      </c>
      <c r="CP74" s="258" t="s">
        <v>442</v>
      </c>
      <c r="CQ74" s="258" t="s">
        <v>448</v>
      </c>
      <c r="CR74" s="259">
        <v>0.94299999999999995</v>
      </c>
      <c r="CS74" s="259">
        <v>1.3899999999999999E-2</v>
      </c>
      <c r="CT74" s="258">
        <v>67.61</v>
      </c>
      <c r="CU74" s="258" t="s">
        <v>422</v>
      </c>
      <c r="CV74" s="167">
        <v>2E-16</v>
      </c>
      <c r="CW74" s="81" t="s">
        <v>389</v>
      </c>
      <c r="CZ74" s="261"/>
      <c r="DF74" s="291"/>
    </row>
    <row r="75" spans="55:112" thickTop="1" thickBot="1" x14ac:dyDescent="0.3">
      <c r="BC75" s="81" t="s">
        <v>414</v>
      </c>
      <c r="BD75" s="167">
        <v>-7.38</v>
      </c>
      <c r="BE75" s="167">
        <v>2.1499999999999998E-2</v>
      </c>
      <c r="BF75" s="81">
        <v>-343.38</v>
      </c>
      <c r="BG75" s="81" t="s">
        <v>422</v>
      </c>
      <c r="BH75" s="167">
        <v>2E-16</v>
      </c>
      <c r="BI75" s="81" t="s">
        <v>389</v>
      </c>
      <c r="BQ75" s="81" t="s">
        <v>415</v>
      </c>
      <c r="BR75" s="167">
        <v>-5.31</v>
      </c>
      <c r="BS75" s="167">
        <v>2.2599999999999999E-2</v>
      </c>
      <c r="BT75" s="81">
        <v>-234.52</v>
      </c>
      <c r="BU75" s="81" t="s">
        <v>422</v>
      </c>
      <c r="BV75" s="167">
        <v>2E-16</v>
      </c>
      <c r="BW75" s="81" t="s">
        <v>389</v>
      </c>
      <c r="CP75" s="258" t="s">
        <v>442</v>
      </c>
      <c r="CQ75" s="258" t="s">
        <v>449</v>
      </c>
      <c r="CR75" s="259">
        <v>0.98499999999999999</v>
      </c>
      <c r="CS75" s="259">
        <v>2.4199999999999999E-2</v>
      </c>
      <c r="CT75" s="258">
        <v>40.700000000000003</v>
      </c>
      <c r="CU75" s="258" t="s">
        <v>422</v>
      </c>
      <c r="CV75" s="167">
        <v>2E-16</v>
      </c>
      <c r="CW75" s="81" t="s">
        <v>389</v>
      </c>
      <c r="CX75" s="260" t="s">
        <v>467</v>
      </c>
      <c r="CY75" s="266" t="s">
        <v>424</v>
      </c>
      <c r="CZ75" s="261" t="s">
        <v>323</v>
      </c>
      <c r="DA75" s="262">
        <f>CR116</f>
        <v>4760000</v>
      </c>
      <c r="DB75" s="260" t="s">
        <v>322</v>
      </c>
      <c r="DD75" s="170" t="s">
        <v>467</v>
      </c>
      <c r="DE75" s="296" t="s">
        <v>424</v>
      </c>
      <c r="DF75" s="291" t="s">
        <v>323</v>
      </c>
      <c r="DG75" s="170">
        <f>AP44</f>
        <v>14177850</v>
      </c>
      <c r="DH75" s="170" t="s">
        <v>322</v>
      </c>
    </row>
    <row r="76" spans="55:112" thickTop="1" thickBot="1" x14ac:dyDescent="0.3">
      <c r="BC76" s="81" t="s">
        <v>415</v>
      </c>
      <c r="BD76" s="167">
        <v>-6.87</v>
      </c>
      <c r="BE76" s="167">
        <v>1.9699999999999999E-2</v>
      </c>
      <c r="BF76" s="81">
        <v>-347.91</v>
      </c>
      <c r="BG76" s="81" t="s">
        <v>422</v>
      </c>
      <c r="BH76" s="167">
        <v>2E-16</v>
      </c>
      <c r="BI76" s="81" t="s">
        <v>389</v>
      </c>
      <c r="BQ76" s="81" t="s">
        <v>417</v>
      </c>
      <c r="BR76" s="167">
        <v>2.8500000000000001E-3</v>
      </c>
      <c r="BS76" s="167">
        <v>7.6799999999999997E-5</v>
      </c>
      <c r="BT76" s="81">
        <v>37.07</v>
      </c>
      <c r="BU76" s="81" t="s">
        <v>422</v>
      </c>
      <c r="BV76" s="167">
        <v>2E-16</v>
      </c>
      <c r="BW76" s="81" t="s">
        <v>389</v>
      </c>
      <c r="CP76" s="258" t="s">
        <v>442</v>
      </c>
      <c r="CQ76" s="258" t="s">
        <v>450</v>
      </c>
      <c r="CR76" s="259">
        <v>0.33100000000000002</v>
      </c>
      <c r="CS76" s="259">
        <v>6.8199999999999997E-2</v>
      </c>
      <c r="CT76" s="258">
        <v>4.8499999999999996</v>
      </c>
      <c r="CU76" s="259">
        <v>1.1999999999999999E-6</v>
      </c>
      <c r="CV76" s="81" t="s">
        <v>389</v>
      </c>
      <c r="CX76" s="260" t="s">
        <v>467</v>
      </c>
      <c r="CY76" s="266" t="s">
        <v>364</v>
      </c>
      <c r="CZ76" s="261" t="s">
        <v>323</v>
      </c>
      <c r="DA76" s="262">
        <f>CR117</f>
        <v>111000</v>
      </c>
      <c r="DB76" s="260" t="s">
        <v>322</v>
      </c>
      <c r="DD76" s="170" t="s">
        <v>467</v>
      </c>
      <c r="DE76" s="296" t="s">
        <v>364</v>
      </c>
      <c r="DF76" s="291" t="s">
        <v>323</v>
      </c>
      <c r="DG76" s="170">
        <f>AP45</f>
        <v>14177850</v>
      </c>
      <c r="DH76" s="170" t="s">
        <v>322</v>
      </c>
    </row>
    <row r="77" spans="55:112" thickTop="1" thickBot="1" x14ac:dyDescent="0.3">
      <c r="BC77" s="81" t="s">
        <v>417</v>
      </c>
      <c r="BD77" s="167">
        <v>4.64E-3</v>
      </c>
      <c r="BE77" s="167">
        <v>2.4600000000000002E-5</v>
      </c>
      <c r="BF77" s="81">
        <v>188.79</v>
      </c>
      <c r="BG77" s="81" t="s">
        <v>422</v>
      </c>
      <c r="BH77" s="167">
        <v>2E-16</v>
      </c>
      <c r="BI77" s="81" t="s">
        <v>389</v>
      </c>
      <c r="BQ77" s="81" t="s">
        <v>418</v>
      </c>
      <c r="BR77" s="167">
        <v>170</v>
      </c>
      <c r="BS77" s="167">
        <v>1.77</v>
      </c>
      <c r="BT77" s="81">
        <v>96.07</v>
      </c>
      <c r="BU77" s="81" t="s">
        <v>422</v>
      </c>
      <c r="BV77" s="167">
        <v>2E-16</v>
      </c>
      <c r="BW77" s="81" t="s">
        <v>389</v>
      </c>
      <c r="CP77" s="258" t="s">
        <v>442</v>
      </c>
      <c r="CQ77" s="258" t="s">
        <v>343</v>
      </c>
      <c r="CR77" s="259">
        <v>1.6500000000000001E-6</v>
      </c>
      <c r="CS77" s="259">
        <v>9.4099999999999997E-6</v>
      </c>
      <c r="CT77" s="258">
        <v>0.18</v>
      </c>
      <c r="CU77" s="258">
        <v>0.86060000000000003</v>
      </c>
      <c r="CX77" s="260" t="s">
        <v>467</v>
      </c>
      <c r="CY77" s="266" t="s">
        <v>370</v>
      </c>
      <c r="CZ77" s="261" t="s">
        <v>323</v>
      </c>
      <c r="DA77" s="262">
        <f>CR124</f>
        <v>49.6</v>
      </c>
      <c r="DB77" s="260" t="s">
        <v>322</v>
      </c>
      <c r="DD77" s="170" t="s">
        <v>467</v>
      </c>
      <c r="DE77" s="296" t="s">
        <v>370</v>
      </c>
      <c r="DF77" s="291" t="s">
        <v>323</v>
      </c>
      <c r="DG77" s="170">
        <f>AP48</f>
        <v>264.58933107535984</v>
      </c>
      <c r="DH77" s="170" t="s">
        <v>322</v>
      </c>
    </row>
    <row r="78" spans="55:112" thickTop="1" thickBot="1" x14ac:dyDescent="0.3">
      <c r="BC78" s="81" t="s">
        <v>418</v>
      </c>
      <c r="BD78" s="167">
        <v>492</v>
      </c>
      <c r="BE78" s="167">
        <v>2.67</v>
      </c>
      <c r="BF78" s="81">
        <v>184.53</v>
      </c>
      <c r="BG78" s="81" t="s">
        <v>422</v>
      </c>
      <c r="BH78" s="167">
        <v>2E-16</v>
      </c>
      <c r="BI78" s="81" t="s">
        <v>389</v>
      </c>
      <c r="BQ78" s="81" t="s">
        <v>419</v>
      </c>
      <c r="BR78" s="167">
        <v>1380</v>
      </c>
      <c r="BS78" s="167">
        <v>946</v>
      </c>
      <c r="BT78" s="81">
        <v>1.46</v>
      </c>
      <c r="BU78" s="81">
        <v>0.14507999999999999</v>
      </c>
      <c r="CP78" s="258" t="s">
        <v>442</v>
      </c>
      <c r="CQ78" s="258" t="s">
        <v>451</v>
      </c>
      <c r="CR78" s="259">
        <v>1.35E-6</v>
      </c>
      <c r="CS78" s="259">
        <v>8.3999999999999992E-6</v>
      </c>
      <c r="CT78" s="258">
        <v>0.16</v>
      </c>
      <c r="CU78" s="258">
        <v>0.872</v>
      </c>
      <c r="CX78" s="260" t="s">
        <v>467</v>
      </c>
      <c r="CY78" s="266" t="s">
        <v>372</v>
      </c>
      <c r="CZ78" s="261" t="s">
        <v>323</v>
      </c>
      <c r="DA78" s="262">
        <f t="shared" ref="DA78:DA79" si="47">CR125</f>
        <v>3100</v>
      </c>
      <c r="DB78" s="260" t="s">
        <v>322</v>
      </c>
      <c r="DD78" s="170" t="s">
        <v>467</v>
      </c>
      <c r="DE78" s="296" t="s">
        <v>372</v>
      </c>
      <c r="DF78" s="291" t="s">
        <v>323</v>
      </c>
      <c r="DG78" s="170">
        <f>AP49</f>
        <v>132.29466553767992</v>
      </c>
      <c r="DH78" s="170" t="s">
        <v>322</v>
      </c>
    </row>
    <row r="79" spans="55:112" thickTop="1" thickBot="1" x14ac:dyDescent="0.3">
      <c r="BC79" s="81" t="s">
        <v>419</v>
      </c>
      <c r="BD79" s="167">
        <v>210</v>
      </c>
      <c r="BE79" s="167">
        <v>7.91</v>
      </c>
      <c r="BF79" s="81">
        <v>26.58</v>
      </c>
      <c r="BG79" s="81" t="s">
        <v>422</v>
      </c>
      <c r="BH79" s="167">
        <v>2E-16</v>
      </c>
      <c r="BI79" s="81" t="s">
        <v>389</v>
      </c>
      <c r="CP79" s="258" t="s">
        <v>442</v>
      </c>
      <c r="CQ79" s="258" t="s">
        <v>452</v>
      </c>
      <c r="CR79" s="259">
        <v>3.15E-2</v>
      </c>
      <c r="CS79" s="259">
        <v>6.6400000000000001E-2</v>
      </c>
      <c r="CT79" s="258">
        <v>0.47</v>
      </c>
      <c r="CU79" s="258">
        <v>0.63539999999999996</v>
      </c>
      <c r="CX79" s="260" t="s">
        <v>467</v>
      </c>
      <c r="CY79" s="266" t="s">
        <v>374</v>
      </c>
      <c r="CZ79" s="261" t="s">
        <v>323</v>
      </c>
      <c r="DA79" s="262">
        <f t="shared" si="47"/>
        <v>68.599999999999994</v>
      </c>
      <c r="DB79" s="260" t="s">
        <v>322</v>
      </c>
      <c r="DD79" s="170" t="s">
        <v>467</v>
      </c>
      <c r="DE79" s="296" t="s">
        <v>374</v>
      </c>
      <c r="DF79" s="291" t="s">
        <v>323</v>
      </c>
      <c r="DG79" s="170">
        <f>AP50</f>
        <v>264.58933107535984</v>
      </c>
      <c r="DH79" s="170" t="s">
        <v>322</v>
      </c>
    </row>
    <row r="80" spans="55:112" thickTop="1" thickBot="1" x14ac:dyDescent="0.3">
      <c r="BQ80" s="81" t="s">
        <v>433</v>
      </c>
      <c r="BR80" s="81" t="s">
        <v>435</v>
      </c>
      <c r="CP80" s="258" t="s">
        <v>442</v>
      </c>
      <c r="CQ80" s="258" t="s">
        <v>453</v>
      </c>
      <c r="CR80" s="259">
        <v>0.17100000000000001</v>
      </c>
      <c r="CS80" s="259">
        <v>4.1099999999999999E-3</v>
      </c>
      <c r="CT80" s="258">
        <v>41.56</v>
      </c>
      <c r="CU80" s="258" t="s">
        <v>422</v>
      </c>
      <c r="CV80" s="167">
        <v>2E-16</v>
      </c>
      <c r="CW80" s="81" t="s">
        <v>389</v>
      </c>
    </row>
    <row r="81" spans="55:101" thickTop="1" thickBot="1" x14ac:dyDescent="0.3">
      <c r="BQ81" s="81" t="s">
        <v>380</v>
      </c>
      <c r="CP81" s="258" t="s">
        <v>442</v>
      </c>
      <c r="CQ81" s="258" t="s">
        <v>454</v>
      </c>
      <c r="CR81" s="259">
        <v>0.152</v>
      </c>
      <c r="CS81" s="259">
        <v>1.4E-2</v>
      </c>
      <c r="CT81" s="258">
        <v>10.81</v>
      </c>
      <c r="CU81" s="258" t="s">
        <v>422</v>
      </c>
      <c r="CV81" s="167">
        <v>2E-16</v>
      </c>
      <c r="CW81" s="81" t="s">
        <v>389</v>
      </c>
    </row>
    <row r="82" spans="55:101" thickTop="1" thickBot="1" x14ac:dyDescent="0.3">
      <c r="BD82" s="81" t="s">
        <v>431</v>
      </c>
      <c r="BQ82" s="81" t="s">
        <v>381</v>
      </c>
      <c r="BR82" s="81" t="s">
        <v>382</v>
      </c>
      <c r="BS82" s="81" t="s">
        <v>383</v>
      </c>
      <c r="BT82" s="81" t="s">
        <v>384</v>
      </c>
      <c r="BU82" s="81" t="s">
        <v>385</v>
      </c>
      <c r="BV82" s="81" t="s">
        <v>386</v>
      </c>
      <c r="CP82" s="258" t="s">
        <v>442</v>
      </c>
      <c r="CQ82" s="258" t="s">
        <v>455</v>
      </c>
      <c r="CR82" s="259">
        <v>0.13500000000000001</v>
      </c>
      <c r="CS82" s="259">
        <v>2.2699999999999999E-3</v>
      </c>
      <c r="CT82" s="258">
        <v>59.37</v>
      </c>
      <c r="CU82" s="258" t="s">
        <v>422</v>
      </c>
      <c r="CV82" s="167">
        <v>2E-16</v>
      </c>
      <c r="CW82" s="81" t="s">
        <v>389</v>
      </c>
    </row>
    <row r="83" spans="55:101" thickTop="1" thickBot="1" x14ac:dyDescent="0.3">
      <c r="BD83" s="167">
        <v>297</v>
      </c>
      <c r="BE83" s="167">
        <v>8.0100000000000005E-2</v>
      </c>
      <c r="BF83" s="81">
        <v>3708.09</v>
      </c>
      <c r="BG83" s="81" t="s">
        <v>388</v>
      </c>
      <c r="BH83" s="81" t="s">
        <v>389</v>
      </c>
      <c r="BQ83" s="81" t="s">
        <v>436</v>
      </c>
      <c r="BR83" s="167">
        <v>290</v>
      </c>
      <c r="BS83" s="167">
        <v>0.36799999999999999</v>
      </c>
      <c r="BT83" s="81">
        <v>790.07</v>
      </c>
      <c r="BU83" s="81" t="s">
        <v>422</v>
      </c>
      <c r="BV83" s="167">
        <v>2E-16</v>
      </c>
      <c r="BW83" s="81" t="s">
        <v>389</v>
      </c>
      <c r="CP83" s="258" t="s">
        <v>442</v>
      </c>
      <c r="CQ83" s="258" t="s">
        <v>456</v>
      </c>
      <c r="CR83" s="259">
        <v>0.13300000000000001</v>
      </c>
      <c r="CS83" s="259">
        <v>4.0299999999999997E-3</v>
      </c>
      <c r="CT83" s="258">
        <v>33.04</v>
      </c>
      <c r="CU83" s="259" t="s">
        <v>422</v>
      </c>
      <c r="CV83" s="167">
        <v>2E-16</v>
      </c>
      <c r="CW83" s="81" t="s">
        <v>389</v>
      </c>
    </row>
    <row r="84" spans="55:101" thickTop="1" thickBot="1" x14ac:dyDescent="0.3">
      <c r="BC84" s="81" t="s">
        <v>423</v>
      </c>
      <c r="BD84" s="167">
        <v>294</v>
      </c>
      <c r="BE84" s="167">
        <v>4.2999999999999997E-2</v>
      </c>
      <c r="BF84" s="81">
        <v>6835.63</v>
      </c>
      <c r="BG84" s="81" t="s">
        <v>388</v>
      </c>
      <c r="BH84" s="81" t="s">
        <v>389</v>
      </c>
      <c r="BQ84" s="81" t="s">
        <v>423</v>
      </c>
      <c r="BR84" s="167">
        <v>292</v>
      </c>
      <c r="BS84" s="167">
        <v>0.36699999999999999</v>
      </c>
      <c r="BT84" s="81">
        <v>796.23</v>
      </c>
      <c r="BU84" s="81" t="s">
        <v>422</v>
      </c>
      <c r="BV84" s="167">
        <v>2E-16</v>
      </c>
      <c r="BW84" s="81" t="s">
        <v>389</v>
      </c>
      <c r="CP84" s="258" t="s">
        <v>442</v>
      </c>
      <c r="CQ84" s="258" t="s">
        <v>308</v>
      </c>
      <c r="CR84" s="259">
        <v>991000000</v>
      </c>
      <c r="CS84" s="259">
        <v>22600000</v>
      </c>
      <c r="CT84" s="258">
        <v>43.94</v>
      </c>
      <c r="CU84" s="259" t="s">
        <v>422</v>
      </c>
      <c r="CV84" s="167">
        <v>2E-16</v>
      </c>
      <c r="CW84" s="81" t="s">
        <v>389</v>
      </c>
    </row>
    <row r="85" spans="55:101" thickTop="1" thickBot="1" x14ac:dyDescent="0.3">
      <c r="BC85" s="81" t="s">
        <v>358</v>
      </c>
      <c r="BD85" s="167">
        <v>0.09</v>
      </c>
      <c r="BE85" s="167">
        <v>1.75E-3</v>
      </c>
      <c r="BF85" s="81">
        <v>51.34</v>
      </c>
      <c r="BG85" s="81" t="s">
        <v>388</v>
      </c>
      <c r="BH85" s="81" t="s">
        <v>389</v>
      </c>
      <c r="BQ85" s="81" t="s">
        <v>358</v>
      </c>
      <c r="BR85" s="167">
        <v>1.24E-7</v>
      </c>
      <c r="BS85" s="167">
        <v>2.21E-6</v>
      </c>
      <c r="BT85" s="81">
        <v>0.06</v>
      </c>
      <c r="BU85" s="81">
        <v>0.96</v>
      </c>
      <c r="CP85" s="258" t="s">
        <v>442</v>
      </c>
      <c r="CQ85" s="258" t="s">
        <v>399</v>
      </c>
      <c r="CR85" s="259">
        <v>1470000</v>
      </c>
      <c r="CS85" s="259">
        <v>21100</v>
      </c>
      <c r="CT85" s="258">
        <v>69.45</v>
      </c>
      <c r="CU85" s="258" t="s">
        <v>422</v>
      </c>
      <c r="CV85" s="167">
        <v>2E-16</v>
      </c>
      <c r="CW85" s="81" t="s">
        <v>389</v>
      </c>
    </row>
    <row r="86" spans="55:101" thickTop="1" thickBot="1" x14ac:dyDescent="0.3">
      <c r="BC86" s="81" t="s">
        <v>360</v>
      </c>
      <c r="BD86" s="167">
        <v>0.192</v>
      </c>
      <c r="BE86" s="167">
        <v>3.5400000000000002E-3</v>
      </c>
      <c r="BF86" s="81">
        <v>54.37</v>
      </c>
      <c r="BG86" s="81" t="s">
        <v>388</v>
      </c>
      <c r="BH86" s="81" t="s">
        <v>389</v>
      </c>
      <c r="BQ86" s="81" t="s">
        <v>360</v>
      </c>
      <c r="BR86" s="167">
        <v>4.1799999999999997E-8</v>
      </c>
      <c r="BS86" s="167">
        <v>8.2999999999999999E-7</v>
      </c>
      <c r="BT86" s="81">
        <v>0.05</v>
      </c>
      <c r="BU86" s="81">
        <v>0.96</v>
      </c>
      <c r="CP86" s="258" t="s">
        <v>442</v>
      </c>
      <c r="CQ86" s="258" t="s">
        <v>301</v>
      </c>
      <c r="CR86" s="259">
        <v>9760000</v>
      </c>
      <c r="CS86" s="259">
        <v>476000</v>
      </c>
      <c r="CT86" s="258">
        <v>20.51</v>
      </c>
      <c r="CU86" s="258" t="s">
        <v>422</v>
      </c>
      <c r="CV86" s="167">
        <v>2E-16</v>
      </c>
      <c r="CW86" s="81" t="s">
        <v>389</v>
      </c>
    </row>
    <row r="87" spans="55:101" thickTop="1" thickBot="1" x14ac:dyDescent="0.3">
      <c r="BC87" s="81" t="s">
        <v>424</v>
      </c>
      <c r="BD87" s="167">
        <v>8270000</v>
      </c>
      <c r="BE87" s="167">
        <v>124000</v>
      </c>
      <c r="BF87" s="81">
        <v>66.77</v>
      </c>
      <c r="BG87" s="81" t="s">
        <v>388</v>
      </c>
      <c r="BH87" s="81" t="s">
        <v>389</v>
      </c>
      <c r="BQ87" s="81" t="s">
        <v>424</v>
      </c>
      <c r="BR87" s="167">
        <v>19200000</v>
      </c>
      <c r="BS87" s="167">
        <v>2600000</v>
      </c>
      <c r="BT87" s="81">
        <v>7.38</v>
      </c>
      <c r="BU87" s="167">
        <v>2.0999999999999999E-13</v>
      </c>
      <c r="BV87" s="81" t="s">
        <v>389</v>
      </c>
      <c r="CP87" s="258" t="s">
        <v>442</v>
      </c>
      <c r="CQ87" s="258" t="s">
        <v>303</v>
      </c>
      <c r="CR87" s="259">
        <v>35800000</v>
      </c>
      <c r="CS87" s="259">
        <v>1890000</v>
      </c>
      <c r="CT87" s="258">
        <v>18.91</v>
      </c>
      <c r="CU87" s="258" t="s">
        <v>422</v>
      </c>
      <c r="CV87" s="167">
        <v>2E-16</v>
      </c>
      <c r="CW87" s="81" t="s">
        <v>389</v>
      </c>
    </row>
    <row r="88" spans="55:101" thickTop="1" thickBot="1" x14ac:dyDescent="0.3">
      <c r="BC88" s="81" t="s">
        <v>364</v>
      </c>
      <c r="BD88" s="167">
        <v>25000000</v>
      </c>
      <c r="BE88" s="167">
        <v>376000</v>
      </c>
      <c r="BF88" s="81">
        <v>66.52</v>
      </c>
      <c r="BG88" s="81" t="s">
        <v>388</v>
      </c>
      <c r="BH88" s="81" t="s">
        <v>389</v>
      </c>
      <c r="CP88" s="258" t="s">
        <v>442</v>
      </c>
      <c r="CQ88" s="258" t="s">
        <v>400</v>
      </c>
      <c r="CR88" s="259">
        <v>-6.1</v>
      </c>
      <c r="CS88" s="259">
        <v>6.2899999999999998E-2</v>
      </c>
      <c r="CT88" s="258">
        <v>-96.96</v>
      </c>
      <c r="CU88" s="258" t="s">
        <v>422</v>
      </c>
      <c r="CV88" s="167">
        <v>2E-16</v>
      </c>
      <c r="CW88" s="81" t="s">
        <v>389</v>
      </c>
    </row>
    <row r="89" spans="55:101" thickTop="1" thickBot="1" x14ac:dyDescent="0.3">
      <c r="BC89" s="81" t="s">
        <v>404</v>
      </c>
      <c r="BD89" s="167">
        <v>3.73</v>
      </c>
      <c r="BE89" s="167">
        <v>1.42</v>
      </c>
      <c r="BF89" s="81">
        <v>2.62</v>
      </c>
      <c r="BG89" s="81">
        <v>8.6999999999999994E-3</v>
      </c>
      <c r="BH89" s="81" t="s">
        <v>425</v>
      </c>
      <c r="BQ89" s="81" t="s">
        <v>364</v>
      </c>
      <c r="BR89" s="167">
        <v>65100000</v>
      </c>
      <c r="BS89" s="167">
        <v>33200000</v>
      </c>
      <c r="BT89" s="81">
        <v>1.96</v>
      </c>
      <c r="BU89" s="81">
        <v>0.05</v>
      </c>
      <c r="BV89" s="81" t="s">
        <v>434</v>
      </c>
      <c r="CP89" s="258" t="s">
        <v>442</v>
      </c>
      <c r="CQ89" s="258" t="s">
        <v>401</v>
      </c>
      <c r="CR89" s="259">
        <v>-16.7</v>
      </c>
      <c r="CS89" s="259">
        <v>6.32</v>
      </c>
      <c r="CT89" s="258">
        <v>-2.64</v>
      </c>
      <c r="CU89" s="258">
        <v>8.3999999999999995E-3</v>
      </c>
      <c r="CV89" s="81" t="s">
        <v>425</v>
      </c>
    </row>
    <row r="90" spans="55:101" thickTop="1" thickBot="1" x14ac:dyDescent="0.3">
      <c r="BC90" s="81" t="s">
        <v>426</v>
      </c>
      <c r="BD90" s="167">
        <v>-13.1</v>
      </c>
      <c r="BE90" s="167">
        <v>7.16</v>
      </c>
      <c r="BF90" s="81">
        <v>-1.83</v>
      </c>
      <c r="BG90" s="81">
        <v>6.7599999999999993E-2</v>
      </c>
      <c r="BH90" s="81" t="s">
        <v>427</v>
      </c>
      <c r="BQ90" s="81" t="s">
        <v>404</v>
      </c>
      <c r="BR90" s="167">
        <v>8.17</v>
      </c>
      <c r="BS90" s="167">
        <v>7.2700000000000001E-2</v>
      </c>
      <c r="BT90" s="81">
        <v>112.45</v>
      </c>
      <c r="BU90" s="81" t="s">
        <v>422</v>
      </c>
      <c r="BV90" s="167">
        <v>2E-16</v>
      </c>
      <c r="BW90" s="81" t="s">
        <v>389</v>
      </c>
      <c r="CP90" s="258" t="s">
        <v>442</v>
      </c>
      <c r="CQ90" s="258" t="s">
        <v>402</v>
      </c>
      <c r="CR90" s="259">
        <v>-19.8</v>
      </c>
      <c r="CS90" s="259">
        <v>9.51</v>
      </c>
      <c r="CT90" s="258">
        <v>-2.08</v>
      </c>
      <c r="CU90" s="258">
        <v>3.7400000000000003E-2</v>
      </c>
      <c r="CV90" s="81" t="s">
        <v>434</v>
      </c>
    </row>
    <row r="91" spans="55:101" thickTop="1" thickBot="1" x14ac:dyDescent="0.3">
      <c r="BC91" s="81" t="s">
        <v>428</v>
      </c>
      <c r="BD91" s="167">
        <v>6.5799999999999997E-2</v>
      </c>
      <c r="BE91" s="167">
        <v>7.0699999999999995E-4</v>
      </c>
      <c r="BF91" s="81">
        <v>93.12</v>
      </c>
      <c r="BG91" s="81" t="s">
        <v>388</v>
      </c>
      <c r="BH91" s="81" t="s">
        <v>389</v>
      </c>
      <c r="BQ91" s="81" t="s">
        <v>426</v>
      </c>
      <c r="BR91" s="167">
        <v>7.12</v>
      </c>
      <c r="BS91" s="167">
        <v>0.13500000000000001</v>
      </c>
      <c r="BT91" s="81">
        <v>52.65</v>
      </c>
      <c r="BU91" s="81" t="s">
        <v>422</v>
      </c>
      <c r="BV91" s="167">
        <v>2E-16</v>
      </c>
      <c r="BW91" s="81" t="s">
        <v>389</v>
      </c>
      <c r="CP91" s="258" t="s">
        <v>442</v>
      </c>
      <c r="CQ91" s="258" t="s">
        <v>403</v>
      </c>
      <c r="CR91" s="259">
        <v>-18.399999999999999</v>
      </c>
      <c r="CS91" s="259">
        <v>4.38</v>
      </c>
      <c r="CT91" s="258">
        <v>-4.1900000000000004</v>
      </c>
      <c r="CU91" s="259">
        <v>2.8E-5</v>
      </c>
      <c r="CV91" s="81" t="s">
        <v>389</v>
      </c>
    </row>
    <row r="92" spans="55:101" thickTop="1" thickBot="1" x14ac:dyDescent="0.3">
      <c r="BC92" s="81" t="s">
        <v>429</v>
      </c>
      <c r="BD92" s="167">
        <v>0.11799999999999999</v>
      </c>
      <c r="BE92" s="167">
        <v>1.1299999999999999E-3</v>
      </c>
      <c r="BF92" s="81">
        <v>104.59</v>
      </c>
      <c r="BG92" s="81" t="s">
        <v>388</v>
      </c>
      <c r="BH92" s="81" t="s">
        <v>389</v>
      </c>
      <c r="BQ92" s="81" t="s">
        <v>416</v>
      </c>
      <c r="BR92" s="167">
        <v>-5.0599999999999996</v>
      </c>
      <c r="BS92" s="167">
        <v>5.1200000000000002E-2</v>
      </c>
      <c r="BT92" s="81">
        <v>-98.95</v>
      </c>
      <c r="BU92" s="81" t="s">
        <v>422</v>
      </c>
      <c r="BV92" s="167">
        <v>2E-16</v>
      </c>
      <c r="BW92" s="81" t="s">
        <v>389</v>
      </c>
      <c r="CP92" s="258" t="s">
        <v>442</v>
      </c>
      <c r="CQ92" s="258" t="s">
        <v>405</v>
      </c>
      <c r="CR92" s="259">
        <v>7.4099999999999999E-2</v>
      </c>
      <c r="CS92" s="259">
        <v>3.3300000000000002E-4</v>
      </c>
      <c r="CT92" s="258">
        <v>222.75</v>
      </c>
      <c r="CU92" s="258" t="s">
        <v>422</v>
      </c>
      <c r="CV92" s="167">
        <v>2E-16</v>
      </c>
      <c r="CW92" s="81" t="s">
        <v>389</v>
      </c>
    </row>
    <row r="93" spans="55:101" thickTop="1" thickBot="1" x14ac:dyDescent="0.3">
      <c r="BC93" s="81" t="s">
        <v>416</v>
      </c>
      <c r="BD93" s="167">
        <v>-6.92</v>
      </c>
      <c r="BE93" s="167">
        <v>2.1600000000000001E-2</v>
      </c>
      <c r="BF93" s="81">
        <v>-319.69</v>
      </c>
      <c r="BG93" s="81" t="s">
        <v>388</v>
      </c>
      <c r="BH93" s="81" t="s">
        <v>389</v>
      </c>
      <c r="BQ93" s="81" t="s">
        <v>430</v>
      </c>
      <c r="BR93" s="167">
        <v>-4.8899999999999997</v>
      </c>
      <c r="BS93" s="167">
        <v>3.73E-2</v>
      </c>
      <c r="BT93" s="81">
        <v>-131.12</v>
      </c>
      <c r="BU93" s="81" t="s">
        <v>422</v>
      </c>
      <c r="BV93" s="167">
        <v>2E-16</v>
      </c>
      <c r="BW93" s="81" t="s">
        <v>389</v>
      </c>
      <c r="CP93" s="258" t="s">
        <v>442</v>
      </c>
      <c r="CQ93" s="258" t="s">
        <v>406</v>
      </c>
      <c r="CR93" s="259">
        <v>0.23300000000000001</v>
      </c>
      <c r="CS93" s="259">
        <v>7.2800000000000002E-4</v>
      </c>
      <c r="CT93" s="258">
        <v>319.68</v>
      </c>
      <c r="CU93" s="258" t="s">
        <v>422</v>
      </c>
      <c r="CV93" s="167">
        <v>2E-16</v>
      </c>
      <c r="CW93" s="81" t="s">
        <v>389</v>
      </c>
    </row>
    <row r="94" spans="55:101" thickTop="1" thickBot="1" x14ac:dyDescent="0.3">
      <c r="BC94" s="81" t="s">
        <v>430</v>
      </c>
      <c r="BD94" s="167">
        <v>-6.23</v>
      </c>
      <c r="BE94" s="167">
        <v>3.3000000000000002E-2</v>
      </c>
      <c r="BF94" s="81">
        <v>-188.82</v>
      </c>
      <c r="BG94" s="81" t="s">
        <v>388</v>
      </c>
      <c r="BH94" s="81" t="s">
        <v>389</v>
      </c>
      <c r="BQ94" s="81" t="s">
        <v>370</v>
      </c>
      <c r="BR94" s="167">
        <v>198</v>
      </c>
      <c r="BS94" s="167">
        <v>4.01</v>
      </c>
      <c r="BT94" s="81">
        <v>49.45</v>
      </c>
      <c r="BU94" s="81" t="s">
        <v>422</v>
      </c>
      <c r="BV94" s="167">
        <v>2E-16</v>
      </c>
      <c r="BW94" s="81" t="s">
        <v>389</v>
      </c>
      <c r="CP94" s="258" t="s">
        <v>442</v>
      </c>
      <c r="CQ94" s="258" t="s">
        <v>407</v>
      </c>
      <c r="CR94" s="259">
        <v>0.61099999999999999</v>
      </c>
      <c r="CS94" s="259">
        <v>5.5399999999999998E-3</v>
      </c>
      <c r="CT94" s="258">
        <v>110.31</v>
      </c>
      <c r="CU94" s="258" t="s">
        <v>422</v>
      </c>
      <c r="CV94" s="167">
        <v>2E-16</v>
      </c>
      <c r="CW94" s="81" t="s">
        <v>389</v>
      </c>
    </row>
    <row r="95" spans="55:101" thickTop="1" thickBot="1" x14ac:dyDescent="0.3">
      <c r="BC95" s="81" t="s">
        <v>370</v>
      </c>
      <c r="BD95" s="167">
        <v>502</v>
      </c>
      <c r="BE95" s="167">
        <v>7.41</v>
      </c>
      <c r="BF95" s="81">
        <v>67.760000000000005</v>
      </c>
      <c r="BG95" s="81" t="s">
        <v>388</v>
      </c>
      <c r="BH95" s="81" t="s">
        <v>389</v>
      </c>
      <c r="BQ95" s="81" t="s">
        <v>372</v>
      </c>
      <c r="BR95" s="167">
        <v>3.48E-4</v>
      </c>
      <c r="BS95" s="167">
        <v>3.0400000000000002E-3</v>
      </c>
      <c r="BT95" s="81">
        <v>0.11</v>
      </c>
      <c r="BU95" s="81">
        <v>0.91</v>
      </c>
      <c r="CP95" s="258" t="s">
        <v>442</v>
      </c>
      <c r="CQ95" s="258" t="s">
        <v>408</v>
      </c>
      <c r="CR95" s="259">
        <v>3.0599999999999999E-2</v>
      </c>
      <c r="CS95" s="259">
        <v>1.08E-4</v>
      </c>
      <c r="CT95" s="258">
        <v>284.43</v>
      </c>
      <c r="CU95" s="258" t="s">
        <v>422</v>
      </c>
      <c r="CV95" s="167">
        <v>2E-16</v>
      </c>
      <c r="CW95" s="81" t="s">
        <v>389</v>
      </c>
    </row>
    <row r="96" spans="55:101" thickTop="1" thickBot="1" x14ac:dyDescent="0.3">
      <c r="BC96" s="81" t="s">
        <v>372</v>
      </c>
      <c r="BD96" s="167">
        <v>393</v>
      </c>
      <c r="BE96" s="167">
        <v>5.6</v>
      </c>
      <c r="BF96" s="81">
        <v>70.16</v>
      </c>
      <c r="BG96" s="81" t="s">
        <v>388</v>
      </c>
      <c r="BH96" s="81" t="s">
        <v>389</v>
      </c>
      <c r="BQ96" s="81" t="s">
        <v>374</v>
      </c>
      <c r="BR96" s="167">
        <v>221</v>
      </c>
      <c r="BS96" s="167">
        <v>3.53</v>
      </c>
      <c r="BT96" s="81">
        <v>62.76</v>
      </c>
      <c r="BU96" s="81" t="s">
        <v>422</v>
      </c>
      <c r="BV96" s="167">
        <v>2E-16</v>
      </c>
      <c r="BW96" s="81" t="s">
        <v>389</v>
      </c>
      <c r="CP96" s="258" t="s">
        <v>442</v>
      </c>
      <c r="CQ96" s="258" t="s">
        <v>410</v>
      </c>
      <c r="CR96" s="259">
        <v>184</v>
      </c>
      <c r="CS96" s="259">
        <v>1.44</v>
      </c>
      <c r="CT96" s="258">
        <v>127.6</v>
      </c>
      <c r="CU96" s="258" t="s">
        <v>422</v>
      </c>
      <c r="CV96" s="167">
        <v>2E-16</v>
      </c>
      <c r="CW96" s="81" t="s">
        <v>389</v>
      </c>
    </row>
    <row r="97" spans="55:101" thickTop="1" thickBot="1" x14ac:dyDescent="0.3">
      <c r="BC97" s="81" t="s">
        <v>374</v>
      </c>
      <c r="BD97" s="167">
        <v>506</v>
      </c>
      <c r="BE97" s="167">
        <v>2.4900000000000002</v>
      </c>
      <c r="BF97" s="81">
        <v>203.18</v>
      </c>
      <c r="BG97" s="81" t="s">
        <v>388</v>
      </c>
      <c r="BH97" s="81" t="s">
        <v>389</v>
      </c>
      <c r="CP97" s="258" t="s">
        <v>442</v>
      </c>
      <c r="CQ97" s="258" t="s">
        <v>295</v>
      </c>
      <c r="CR97" s="259">
        <v>574</v>
      </c>
      <c r="CS97" s="259">
        <v>2.73</v>
      </c>
      <c r="CT97" s="258">
        <v>210.32</v>
      </c>
      <c r="CU97" s="258" t="s">
        <v>422</v>
      </c>
      <c r="CV97" s="167">
        <v>2E-16</v>
      </c>
      <c r="CW97" s="81" t="s">
        <v>389</v>
      </c>
    </row>
    <row r="98" spans="55:101" thickTop="1" thickBot="1" x14ac:dyDescent="0.3">
      <c r="CP98" s="258" t="s">
        <v>442</v>
      </c>
      <c r="CQ98" s="258" t="s">
        <v>120</v>
      </c>
      <c r="CR98" s="259">
        <v>49.7</v>
      </c>
      <c r="CS98" s="259">
        <v>1.02</v>
      </c>
      <c r="CT98" s="258">
        <v>48.79</v>
      </c>
      <c r="CU98" s="258" t="s">
        <v>422</v>
      </c>
      <c r="CV98" s="167">
        <v>2E-16</v>
      </c>
      <c r="CW98" s="81" t="s">
        <v>389</v>
      </c>
    </row>
    <row r="99" spans="55:101" thickTop="1" thickBot="1" x14ac:dyDescent="0.3">
      <c r="CP99" s="258" t="s">
        <v>442</v>
      </c>
      <c r="CQ99" s="258" t="s">
        <v>412</v>
      </c>
      <c r="CR99" s="259">
        <v>-5.39</v>
      </c>
      <c r="CS99" s="259">
        <v>1.54E-2</v>
      </c>
      <c r="CT99" s="258">
        <v>-349.28</v>
      </c>
      <c r="CU99" s="258" t="s">
        <v>422</v>
      </c>
      <c r="CV99" s="167">
        <v>2E-16</v>
      </c>
      <c r="CW99" s="81" t="s">
        <v>389</v>
      </c>
    </row>
    <row r="100" spans="55:101" thickTop="1" thickBot="1" x14ac:dyDescent="0.3">
      <c r="CP100" s="258" t="s">
        <v>442</v>
      </c>
      <c r="CQ100" s="258" t="s">
        <v>413</v>
      </c>
      <c r="CR100" s="259">
        <v>-5.82</v>
      </c>
      <c r="CS100" s="259">
        <v>1.67E-2</v>
      </c>
      <c r="CT100" s="258">
        <v>-347.65</v>
      </c>
      <c r="CU100" s="258" t="s">
        <v>422</v>
      </c>
      <c r="CV100" s="167">
        <v>2E-16</v>
      </c>
      <c r="CW100" s="81" t="s">
        <v>389</v>
      </c>
    </row>
    <row r="101" spans="55:101" thickTop="1" thickBot="1" x14ac:dyDescent="0.3">
      <c r="CP101" s="258" t="s">
        <v>442</v>
      </c>
      <c r="CQ101" s="258" t="s">
        <v>414</v>
      </c>
      <c r="CR101" s="259">
        <v>-6.66</v>
      </c>
      <c r="CS101" s="259">
        <v>2.46E-2</v>
      </c>
      <c r="CT101" s="258">
        <v>-270.35000000000002</v>
      </c>
      <c r="CU101" s="258" t="s">
        <v>422</v>
      </c>
      <c r="CV101" s="167">
        <v>2E-16</v>
      </c>
      <c r="CW101" s="81" t="s">
        <v>389</v>
      </c>
    </row>
    <row r="102" spans="55:101" thickTop="1" thickBot="1" x14ac:dyDescent="0.3">
      <c r="CP102" s="258" t="s">
        <v>442</v>
      </c>
      <c r="CQ102" s="258" t="s">
        <v>415</v>
      </c>
      <c r="CR102" s="259">
        <v>-6.53</v>
      </c>
      <c r="CS102" s="259">
        <v>2.3099999999999999E-2</v>
      </c>
      <c r="CT102" s="258">
        <v>-282.49</v>
      </c>
      <c r="CU102" s="258" t="s">
        <v>422</v>
      </c>
      <c r="CV102" s="167">
        <v>2E-16</v>
      </c>
      <c r="CW102" s="81" t="s">
        <v>389</v>
      </c>
    </row>
    <row r="103" spans="55:101" thickTop="1" thickBot="1" x14ac:dyDescent="0.3">
      <c r="CP103" s="258" t="s">
        <v>442</v>
      </c>
      <c r="CQ103" s="258" t="s">
        <v>417</v>
      </c>
      <c r="CR103" s="259">
        <v>3.5599999999999998E-3</v>
      </c>
      <c r="CS103" s="259">
        <v>5.4799999999999997E-5</v>
      </c>
      <c r="CT103" s="258">
        <v>64.97</v>
      </c>
      <c r="CU103" s="258" t="s">
        <v>422</v>
      </c>
      <c r="CV103" s="167">
        <v>2E-16</v>
      </c>
      <c r="CW103" s="81" t="s">
        <v>389</v>
      </c>
    </row>
    <row r="104" spans="55:101" thickTop="1" thickBot="1" x14ac:dyDescent="0.3">
      <c r="CP104" s="258" t="s">
        <v>442</v>
      </c>
      <c r="CQ104" s="258" t="s">
        <v>418</v>
      </c>
      <c r="CR104" s="259">
        <v>83.6</v>
      </c>
      <c r="CS104" s="259">
        <v>0.40699999999999997</v>
      </c>
      <c r="CT104" s="258">
        <v>205.34</v>
      </c>
      <c r="CU104" s="258" t="s">
        <v>422</v>
      </c>
      <c r="CV104" s="167">
        <v>2E-16</v>
      </c>
      <c r="CW104" s="81" t="s">
        <v>389</v>
      </c>
    </row>
    <row r="105" spans="55:101" thickTop="1" thickBot="1" x14ac:dyDescent="0.3">
      <c r="CP105" s="258" t="s">
        <v>442</v>
      </c>
      <c r="CQ105" s="258" t="s">
        <v>419</v>
      </c>
      <c r="CR105" s="259">
        <v>1790</v>
      </c>
      <c r="CS105" s="259">
        <v>417</v>
      </c>
      <c r="CT105" s="258">
        <v>4.29</v>
      </c>
      <c r="CU105" s="259">
        <v>1.8E-5</v>
      </c>
      <c r="CV105" s="81" t="s">
        <v>389</v>
      </c>
    </row>
    <row r="106" spans="55:101" thickTop="1" thickBot="1" x14ac:dyDescent="0.3">
      <c r="CP106" s="258" t="s">
        <v>442</v>
      </c>
      <c r="CQ106" s="258" t="s">
        <v>461</v>
      </c>
    </row>
    <row r="107" spans="55:101" thickTop="1" thickBot="1" x14ac:dyDescent="0.3">
      <c r="CP107" s="258" t="s">
        <v>442</v>
      </c>
      <c r="CQ107" s="258" t="s">
        <v>462</v>
      </c>
      <c r="CR107" s="258" t="s">
        <v>463</v>
      </c>
      <c r="CS107" s="258">
        <v>0</v>
      </c>
      <c r="CT107" s="258" t="s">
        <v>464</v>
      </c>
      <c r="CU107" s="258">
        <v>1E-3</v>
      </c>
      <c r="CV107" s="81" t="s">
        <v>465</v>
      </c>
      <c r="CW107" s="81">
        <v>0.01</v>
      </c>
    </row>
    <row r="109" spans="55:101" thickTop="1" thickBot="1" x14ac:dyDescent="0.3">
      <c r="CP109" s="258" t="s">
        <v>442</v>
      </c>
      <c r="CQ109" s="258" t="s">
        <v>433</v>
      </c>
      <c r="CR109" s="258" t="s">
        <v>435</v>
      </c>
    </row>
    <row r="110" spans="55:101" thickTop="1" thickBot="1" x14ac:dyDescent="0.3">
      <c r="CP110" s="258" t="s">
        <v>442</v>
      </c>
      <c r="CQ110" s="258" t="s">
        <v>380</v>
      </c>
    </row>
    <row r="111" spans="55:101" thickTop="1" thickBot="1" x14ac:dyDescent="0.3">
      <c r="CP111" s="258" t="s">
        <v>442</v>
      </c>
      <c r="CQ111" s="258" t="s">
        <v>381</v>
      </c>
      <c r="CR111" s="258" t="s">
        <v>382</v>
      </c>
      <c r="CS111" s="258" t="s">
        <v>383</v>
      </c>
      <c r="CT111" s="258" t="s">
        <v>384</v>
      </c>
      <c r="CU111" s="258" t="s">
        <v>385</v>
      </c>
      <c r="CV111" s="81" t="s">
        <v>386</v>
      </c>
    </row>
    <row r="112" spans="55:101" thickTop="1" thickBot="1" x14ac:dyDescent="0.3">
      <c r="CP112" s="258" t="s">
        <v>442</v>
      </c>
      <c r="CQ112" s="258" t="s">
        <v>436</v>
      </c>
      <c r="CR112" s="259">
        <v>319</v>
      </c>
      <c r="CS112" s="259">
        <v>0.11</v>
      </c>
      <c r="CT112" s="258">
        <v>2905.62</v>
      </c>
      <c r="CU112" s="258" t="s">
        <v>388</v>
      </c>
      <c r="CV112" s="167" t="s">
        <v>389</v>
      </c>
      <c r="CW112" s="81" t="s">
        <v>389</v>
      </c>
    </row>
    <row r="113" spans="94:101" thickTop="1" thickBot="1" x14ac:dyDescent="0.3">
      <c r="CP113" s="258" t="s">
        <v>442</v>
      </c>
      <c r="CQ113" s="258" t="s">
        <v>423</v>
      </c>
      <c r="CR113" s="259">
        <v>293</v>
      </c>
      <c r="CS113" s="259">
        <v>1.25</v>
      </c>
      <c r="CT113" s="258">
        <v>234.45</v>
      </c>
      <c r="CU113" s="258" t="s">
        <v>388</v>
      </c>
      <c r="CV113" s="167" t="s">
        <v>389</v>
      </c>
      <c r="CW113" s="81" t="s">
        <v>389</v>
      </c>
    </row>
    <row r="114" spans="94:101" thickTop="1" thickBot="1" x14ac:dyDescent="0.3">
      <c r="CP114" s="258" t="s">
        <v>442</v>
      </c>
      <c r="CQ114" s="258" t="s">
        <v>358</v>
      </c>
      <c r="CR114" s="259">
        <v>0.13600000000000001</v>
      </c>
      <c r="CS114" s="259">
        <v>1.91E-3</v>
      </c>
      <c r="CT114" s="258">
        <v>71</v>
      </c>
      <c r="CU114" s="258" t="s">
        <v>388</v>
      </c>
      <c r="CV114" s="81" t="s">
        <v>389</v>
      </c>
    </row>
    <row r="115" spans="94:101" thickTop="1" thickBot="1" x14ac:dyDescent="0.3">
      <c r="CP115" s="258" t="s">
        <v>442</v>
      </c>
      <c r="CQ115" s="258" t="s">
        <v>360</v>
      </c>
      <c r="CR115" s="259">
        <v>0.14000000000000001</v>
      </c>
      <c r="CS115" s="259">
        <v>3.6800000000000001E-3</v>
      </c>
      <c r="CT115" s="258">
        <v>38</v>
      </c>
      <c r="CU115" s="258" t="s">
        <v>388</v>
      </c>
      <c r="CV115" s="81" t="s">
        <v>389</v>
      </c>
    </row>
    <row r="116" spans="94:101" thickTop="1" thickBot="1" x14ac:dyDescent="0.3">
      <c r="CP116" s="258" t="s">
        <v>442</v>
      </c>
      <c r="CQ116" s="258" t="s">
        <v>424</v>
      </c>
      <c r="CR116" s="259">
        <v>4760000</v>
      </c>
      <c r="CS116" s="259">
        <v>174000</v>
      </c>
      <c r="CT116" s="258">
        <v>27.38</v>
      </c>
      <c r="CU116" s="259" t="s">
        <v>388</v>
      </c>
      <c r="CV116" s="81" t="s">
        <v>389</v>
      </c>
    </row>
    <row r="117" spans="94:101" thickTop="1" thickBot="1" x14ac:dyDescent="0.3">
      <c r="CP117" s="258" t="s">
        <v>442</v>
      </c>
      <c r="CQ117" s="258" t="s">
        <v>364</v>
      </c>
      <c r="CR117" s="259">
        <v>111000</v>
      </c>
      <c r="CS117" s="259">
        <v>3660</v>
      </c>
      <c r="CT117" s="258">
        <v>30.29</v>
      </c>
      <c r="CU117" s="258" t="s">
        <v>388</v>
      </c>
      <c r="CV117" s="81" t="s">
        <v>389</v>
      </c>
    </row>
    <row r="118" spans="94:101" thickTop="1" thickBot="1" x14ac:dyDescent="0.3">
      <c r="CP118" s="258" t="s">
        <v>442</v>
      </c>
      <c r="CQ118" s="258" t="s">
        <v>404</v>
      </c>
      <c r="CR118" s="259">
        <v>-2.97</v>
      </c>
      <c r="CS118" s="259">
        <v>0.76200000000000001</v>
      </c>
      <c r="CT118" s="258">
        <v>-3.89</v>
      </c>
      <c r="CU118" s="258">
        <v>1E-4</v>
      </c>
      <c r="CV118" s="167" t="s">
        <v>389</v>
      </c>
      <c r="CW118" s="81" t="s">
        <v>389</v>
      </c>
    </row>
    <row r="119" spans="94:101" thickTop="1" thickBot="1" x14ac:dyDescent="0.3">
      <c r="CP119" s="258" t="s">
        <v>442</v>
      </c>
      <c r="CQ119" s="258" t="s">
        <v>426</v>
      </c>
      <c r="CR119" s="259">
        <v>-0.77100000000000002</v>
      </c>
      <c r="CS119" s="259">
        <v>0.65700000000000003</v>
      </c>
      <c r="CT119" s="258">
        <v>-1.17</v>
      </c>
      <c r="CU119" s="258">
        <v>0.2407</v>
      </c>
      <c r="CV119" s="167"/>
      <c r="CW119" s="81" t="s">
        <v>389</v>
      </c>
    </row>
    <row r="120" spans="94:101" thickTop="1" thickBot="1" x14ac:dyDescent="0.3">
      <c r="CP120" s="258" t="s">
        <v>442</v>
      </c>
      <c r="CQ120" s="258" t="s">
        <v>428</v>
      </c>
      <c r="CR120" s="259">
        <v>4.7399999999999998E-2</v>
      </c>
      <c r="CS120" s="259">
        <v>9.9400000000000009E-4</v>
      </c>
      <c r="CT120" s="258">
        <v>47.69</v>
      </c>
      <c r="CU120" s="258" t="s">
        <v>388</v>
      </c>
      <c r="CV120" s="167" t="s">
        <v>389</v>
      </c>
      <c r="CW120" s="81" t="s">
        <v>389</v>
      </c>
    </row>
    <row r="121" spans="94:101" thickTop="1" thickBot="1" x14ac:dyDescent="0.3">
      <c r="CP121" s="258" t="s">
        <v>442</v>
      </c>
      <c r="CQ121" s="258" t="s">
        <v>429</v>
      </c>
      <c r="CR121" s="259">
        <v>2.47E-3</v>
      </c>
      <c r="CS121" s="259">
        <v>7.2100000000000004E-5</v>
      </c>
      <c r="CT121" s="258">
        <v>34.32</v>
      </c>
      <c r="CU121" s="258" t="s">
        <v>388</v>
      </c>
      <c r="CV121" s="167" t="s">
        <v>389</v>
      </c>
      <c r="CW121" s="81" t="s">
        <v>389</v>
      </c>
    </row>
    <row r="122" spans="94:101" thickTop="1" thickBot="1" x14ac:dyDescent="0.3">
      <c r="CP122" s="258" t="s">
        <v>442</v>
      </c>
      <c r="CQ122" s="258" t="s">
        <v>416</v>
      </c>
      <c r="CR122" s="259">
        <v>-1.53</v>
      </c>
      <c r="CS122" s="259">
        <v>3.5299999999999998E-2</v>
      </c>
      <c r="CT122" s="258">
        <v>-43.26</v>
      </c>
      <c r="CU122" s="258" t="s">
        <v>388</v>
      </c>
      <c r="CV122" s="167" t="s">
        <v>389</v>
      </c>
      <c r="CW122" s="81" t="s">
        <v>389</v>
      </c>
    </row>
    <row r="123" spans="94:101" thickTop="1" thickBot="1" x14ac:dyDescent="0.3">
      <c r="CP123" s="258" t="s">
        <v>442</v>
      </c>
      <c r="CQ123" s="258" t="s">
        <v>430</v>
      </c>
      <c r="CR123" s="259">
        <v>-6.54</v>
      </c>
      <c r="CS123" s="259">
        <v>7.6200000000000004E-2</v>
      </c>
      <c r="CT123" s="258">
        <v>-85.87</v>
      </c>
      <c r="CU123" s="258" t="s">
        <v>388</v>
      </c>
      <c r="CV123" s="81" t="s">
        <v>389</v>
      </c>
    </row>
    <row r="124" spans="94:101" thickTop="1" thickBot="1" x14ac:dyDescent="0.3">
      <c r="CP124" s="258" t="s">
        <v>442</v>
      </c>
      <c r="CQ124" s="258" t="s">
        <v>370</v>
      </c>
      <c r="CR124" s="259">
        <v>49.6</v>
      </c>
      <c r="CS124" s="259">
        <v>0.57499999999999996</v>
      </c>
      <c r="CT124" s="258">
        <v>86.28</v>
      </c>
      <c r="CU124" s="258" t="s">
        <v>388</v>
      </c>
      <c r="CV124" s="167" t="s">
        <v>389</v>
      </c>
      <c r="CW124" s="81" t="s">
        <v>389</v>
      </c>
    </row>
    <row r="125" spans="94:101" thickTop="1" thickBot="1" x14ac:dyDescent="0.3">
      <c r="CP125" s="258" t="s">
        <v>442</v>
      </c>
      <c r="CQ125" s="258" t="s">
        <v>372</v>
      </c>
      <c r="CR125" s="259">
        <v>3100</v>
      </c>
      <c r="CS125" s="259">
        <v>11</v>
      </c>
      <c r="CT125" s="258">
        <v>281.77999999999997</v>
      </c>
      <c r="CU125" s="258" t="s">
        <v>388</v>
      </c>
      <c r="CV125" s="81" t="s">
        <v>389</v>
      </c>
    </row>
    <row r="126" spans="94:101" thickTop="1" thickBot="1" x14ac:dyDescent="0.3">
      <c r="CP126" s="258" t="s">
        <v>442</v>
      </c>
      <c r="CQ126" s="258" t="s">
        <v>374</v>
      </c>
      <c r="CR126" s="259">
        <v>68.599999999999994</v>
      </c>
      <c r="CS126" s="259">
        <v>1.9</v>
      </c>
      <c r="CT126" s="258">
        <v>36.11</v>
      </c>
      <c r="CU126" s="258" t="s">
        <v>388</v>
      </c>
      <c r="CV126" s="81" t="s">
        <v>389</v>
      </c>
    </row>
  </sheetData>
  <mergeCells count="8">
    <mergeCell ref="E36:F36"/>
    <mergeCell ref="A1:G1"/>
    <mergeCell ref="A3:H3"/>
    <mergeCell ref="K3:U3"/>
    <mergeCell ref="W3:AH3"/>
    <mergeCell ref="L4:P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115" zoomScaleNormal="100" workbookViewId="0">
      <selection activeCell="B140" sqref="B140"/>
    </sheetView>
  </sheetViews>
  <sheetFormatPr defaultRowHeight="15" x14ac:dyDescent="0.25"/>
  <cols>
    <col min="1" max="1" width="9.140625" style="3"/>
    <col min="2" max="2" width="16.7109375" style="3" bestFit="1" customWidth="1"/>
    <col min="3" max="3" width="9.140625" style="3"/>
    <col min="4" max="4" width="20" style="3"/>
    <col min="5" max="1025" width="9.140625" style="3"/>
  </cols>
  <sheetData>
    <row r="1" spans="1:25" ht="20.25" customHeight="1" x14ac:dyDescent="0.25">
      <c r="A1" s="320" t="s">
        <v>164</v>
      </c>
      <c r="B1" s="320"/>
      <c r="C1" s="320"/>
      <c r="D1" s="320"/>
      <c r="E1" s="320"/>
      <c r="F1" s="320"/>
      <c r="G1" s="320"/>
      <c r="H1" s="320"/>
      <c r="I1" s="320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17" t="s">
        <v>168</v>
      </c>
      <c r="W5" s="317"/>
      <c r="X5" s="317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22" t="s">
        <v>171</v>
      </c>
      <c r="B7" s="322"/>
      <c r="C7" s="322"/>
      <c r="D7" s="322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5394.2167143255001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5694.9751170205827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x14ac:dyDescent="0.25">
      <c r="A12" s="96"/>
      <c r="B12" s="107" t="str">
        <f>'Gebouwgegevens Tabula 2zone'!K6</f>
        <v>W1</v>
      </c>
      <c r="C12" s="108">
        <f>VLOOKUP(B12,'Gebouwgegevens Tabula 2zone'!$K$5:$R$83,3,0)</f>
        <v>1</v>
      </c>
      <c r="D12" s="108" t="str">
        <f>VLOOKUP(B12,'Gebouwgegevens Tabula 2zone'!$K$5:$R$83,4,0)</f>
        <v>Wall External</v>
      </c>
      <c r="E12" s="108">
        <f>VLOOKUP(B12,'Gebouwgegevens Tabula 2zone'!$K$5:$R$83,5,0)</f>
        <v>15.214497920380273</v>
      </c>
      <c r="F12" s="108" t="str">
        <f>VLOOKUP(B12,'Gebouwgegevens Tabula 2zone'!$K$5:$R$83,6,0)</f>
        <v>front</v>
      </c>
      <c r="G12" s="108">
        <f>VLOOKUP(B12,'Gebouwgegevens Tabula 2zone'!$K$5:$R$83,7,0)</f>
        <v>0.99033657090706906</v>
      </c>
      <c r="H12" s="109">
        <f>VLOOKUP(B12,'Gebouwgegevens Tabula 2zone'!$K$5:$R$83,8,0)</f>
        <v>15.067473698542132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x14ac:dyDescent="0.25">
      <c r="A13" s="96"/>
      <c r="B13" s="107" t="str">
        <f>'Gebouwgegevens Tabula 2zone'!K7</f>
        <v>W2</v>
      </c>
      <c r="C13" s="108">
        <f>VLOOKUP(B13,'Gebouwgegevens Tabula 2zone'!$K$5:$R$83,3,0)</f>
        <v>1</v>
      </c>
      <c r="D13" s="108" t="str">
        <f>VLOOKUP(B13,'Gebouwgegevens Tabula 2zone'!$K$5:$R$83,4,0)</f>
        <v>Wall External</v>
      </c>
      <c r="E13" s="108">
        <f>VLOOKUP(B13,'Gebouwgegevens Tabula 2zone'!$K$5:$R$83,5,0)</f>
        <v>0</v>
      </c>
      <c r="F13" s="108" t="str">
        <f>VLOOKUP(B13,'Gebouwgegevens Tabula 2zone'!$K$5:$R$83,6,0)</f>
        <v>right</v>
      </c>
      <c r="G13" s="108">
        <f>VLOOKUP(B13,'Gebouwgegevens Tabula 2zone'!$K$5:$R$83,7,0)</f>
        <v>0.99033657090706906</v>
      </c>
      <c r="H13" s="109">
        <f>VLOOKUP(B13,'Gebouwgegevens Tabula 2zone'!$K$5:$R$83,8,0)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x14ac:dyDescent="0.25">
      <c r="A14" s="96"/>
      <c r="B14" s="107" t="str">
        <f>'Gebouwgegevens Tabula 2zone'!K8</f>
        <v>W3</v>
      </c>
      <c r="C14" s="108">
        <f>VLOOKUP(B14,'Gebouwgegevens Tabula 2zone'!$K$5:$R$83,3,0)</f>
        <v>1</v>
      </c>
      <c r="D14" s="108" t="str">
        <f>VLOOKUP(B14,'Gebouwgegevens Tabula 2zone'!$K$5:$R$83,4,0)</f>
        <v>Wall External</v>
      </c>
      <c r="E14" s="108">
        <f>VLOOKUP(B14,'Gebouwgegevens Tabula 2zone'!$K$5:$R$83,5,0)</f>
        <v>15.214497920380273</v>
      </c>
      <c r="F14" s="108" t="str">
        <f>VLOOKUP(B14,'Gebouwgegevens Tabula 2zone'!$K$5:$R$83,6,0)</f>
        <v>back</v>
      </c>
      <c r="G14" s="108">
        <f>VLOOKUP(B14,'Gebouwgegevens Tabula 2zone'!$K$5:$R$83,7,0)</f>
        <v>0.99033657090706906</v>
      </c>
      <c r="H14" s="109">
        <f>VLOOKUP(B14,'Gebouwgegevens Tabula 2zone'!$K$5:$R$83,8,0)</f>
        <v>15.067473698542132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x14ac:dyDescent="0.25">
      <c r="A15" s="96"/>
      <c r="B15" s="107" t="str">
        <f>'Gebouwgegevens Tabula 2zone'!K9</f>
        <v>W4</v>
      </c>
      <c r="C15" s="108">
        <f>VLOOKUP(B15,'Gebouwgegevens Tabula 2zone'!$K$5:$R$83,3,0)</f>
        <v>1</v>
      </c>
      <c r="D15" s="108" t="str">
        <f>VLOOKUP(B15,'Gebouwgegevens Tabula 2zone'!$K$5:$R$83,4,0)</f>
        <v>Wall External</v>
      </c>
      <c r="E15" s="108">
        <f>VLOOKUP(B15,'Gebouwgegevens Tabula 2zone'!$K$5:$R$83,5,0)</f>
        <v>0</v>
      </c>
      <c r="F15" s="108" t="str">
        <f>VLOOKUP(B15,'Gebouwgegevens Tabula 2zone'!$K$5:$R$83,6,0)</f>
        <v>left</v>
      </c>
      <c r="G15" s="108">
        <f>VLOOKUP(B15,'Gebouwgegevens Tabula 2zone'!$K$5:$R$83,7,0)</f>
        <v>0.99033657090706906</v>
      </c>
      <c r="H15" s="109">
        <f>VLOOKUP(B15,'Gebouwgegevens Tabula 2zone'!$K$5:$R$83,8,0)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x14ac:dyDescent="0.25">
      <c r="A16" s="96"/>
      <c r="B16" s="107" t="str">
        <f>'Gebouwgegevens Tabula 2zone'!K10</f>
        <v>W5</v>
      </c>
      <c r="C16" s="108">
        <f>VLOOKUP(B16,'Gebouwgegevens Tabula 2zone'!$K$5:$R$83,3,0)</f>
        <v>1</v>
      </c>
      <c r="D16" s="108" t="str">
        <f>VLOOKUP(B16,'Gebouwgegevens Tabula 2zone'!$K$5:$R$83,4,0)</f>
        <v>Window</v>
      </c>
      <c r="E16" s="108">
        <f>VLOOKUP(B16,'Gebouwgegevens Tabula 2zone'!$K$5:$R$83,5,0)</f>
        <v>2.85</v>
      </c>
      <c r="F16" s="108" t="str">
        <f>VLOOKUP(B16,'Gebouwgegevens Tabula 2zone'!$K$5:$R$83,6,0)</f>
        <v>front</v>
      </c>
      <c r="G16" s="108">
        <f>VLOOKUP(B16,'Gebouwgegevens Tabula 2zone'!$K$5:$R$83,7,0)</f>
        <v>3.5</v>
      </c>
      <c r="H16" s="109">
        <f>VLOOKUP(B16,'Gebouwgegevens Tabula 2zone'!$K$5:$R$83,8,0)</f>
        <v>9.9749999999999996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x14ac:dyDescent="0.25">
      <c r="A17" s="96"/>
      <c r="B17" s="107" t="str">
        <f>'Gebouwgegevens Tabula 2zone'!K11</f>
        <v>W6</v>
      </c>
      <c r="C17" s="108">
        <f>VLOOKUP(B17,'Gebouwgegevens Tabula 2zone'!$K$5:$R$83,3,0)</f>
        <v>1</v>
      </c>
      <c r="D17" s="108" t="str">
        <f>VLOOKUP(B17,'Gebouwgegevens Tabula 2zone'!$K$5:$R$83,4,0)</f>
        <v>Window</v>
      </c>
      <c r="E17" s="108">
        <f>VLOOKUP(B17,'Gebouwgegevens Tabula 2zone'!$K$5:$R$83,5,0)</f>
        <v>3.15</v>
      </c>
      <c r="F17" s="108" t="str">
        <f>VLOOKUP(B17,'Gebouwgegevens Tabula 2zone'!$K$5:$R$83,6,0)</f>
        <v>right</v>
      </c>
      <c r="G17" s="108">
        <f>VLOOKUP(B17,'Gebouwgegevens Tabula 2zone'!$K$5:$R$83,7,0)</f>
        <v>3.5</v>
      </c>
      <c r="H17" s="109">
        <f>VLOOKUP(B17,'Gebouwgegevens Tabula 2zone'!$K$5:$R$83,8,0)</f>
        <v>11.025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Tabula 2zone'!K12</f>
        <v>W7</v>
      </c>
      <c r="C18" s="108">
        <f>VLOOKUP(B18,'Gebouwgegevens Tabula 2zone'!$K$5:$R$83,3,0)</f>
        <v>1</v>
      </c>
      <c r="D18" s="108" t="str">
        <f>VLOOKUP(B18,'Gebouwgegevens Tabula 2zone'!$K$5:$R$83,4,0)</f>
        <v>Window</v>
      </c>
      <c r="E18" s="108">
        <f>VLOOKUP(B18,'Gebouwgegevens Tabula 2zone'!$K$5:$R$83,5,0)</f>
        <v>2.95</v>
      </c>
      <c r="F18" s="108" t="str">
        <f>VLOOKUP(B18,'Gebouwgegevens Tabula 2zone'!$K$5:$R$83,6,0)</f>
        <v>back</v>
      </c>
      <c r="G18" s="108">
        <f>VLOOKUP(B18,'Gebouwgegevens Tabula 2zone'!$K$5:$R$83,7,0)</f>
        <v>3.5</v>
      </c>
      <c r="H18" s="109">
        <f>VLOOKUP(B18,'Gebouwgegevens Tabula 2zone'!$K$5:$R$83,8,0)</f>
        <v>10.325000000000001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11089.191831346083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Tabula 2zone'!K13</f>
        <v>W8</v>
      </c>
      <c r="C19" s="108">
        <f>VLOOKUP(B19,'Gebouwgegevens Tabula 2zone'!$K$5:$R$83,3,0)</f>
        <v>1</v>
      </c>
      <c r="D19" s="108" t="str">
        <f>VLOOKUP(B19,'Gebouwgegevens Tabula 2zone'!$K$5:$R$83,4,0)</f>
        <v>Window</v>
      </c>
      <c r="E19" s="108">
        <f>VLOOKUP(B19,'Gebouwgegevens Tabula 2zone'!$K$5:$R$83,5,0)</f>
        <v>3.25</v>
      </c>
      <c r="F19" s="108" t="str">
        <f>VLOOKUP(B19,'Gebouwgegevens Tabula 2zone'!$K$5:$R$83,6,0)</f>
        <v>left</v>
      </c>
      <c r="G19" s="108">
        <f>VLOOKUP(B19,'Gebouwgegevens Tabula 2zone'!$K$5:$R$83,7,0)</f>
        <v>3.5</v>
      </c>
      <c r="H19" s="109">
        <f>VLOOKUP(B19,'Gebouwgegevens Tabula 2zone'!$K$5:$R$83,8,0)</f>
        <v>11.375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 2zone'!$K$5:$R$83,3,0)</f>
        <v>1</v>
      </c>
      <c r="D21" s="108" t="str">
        <f>VLOOKUP(B21,'Gebouwgegevens Tabula 2zone'!$K$5:$R$83,4,0)</f>
        <v>Roof</v>
      </c>
      <c r="E21" s="108">
        <f>VLOOKUP(B21,'Gebouwgegevens Tabula 2zone'!$K$5:$R$83,5,0)</f>
        <v>0</v>
      </c>
      <c r="F21" s="108">
        <f>VLOOKUP(B21,'Gebouwgegevens Tabula 2zone'!$K$5:$R$83,6,0)</f>
        <v>0</v>
      </c>
      <c r="G21" s="108">
        <f>VLOOKUP(B21,'Gebouwgegevens Tabula 2zone'!$K$5:$R$83,7,0)</f>
        <v>0.84975369458128069</v>
      </c>
      <c r="H21" s="109">
        <f>VLOOKUP(B21,'Gebouwgegevens Tabula 2zone'!$K$5:$R$83,8,0)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5933.6383857580504</v>
      </c>
      <c r="X21" s="99"/>
      <c r="Y21" s="99"/>
    </row>
    <row r="22" spans="1:25" ht="16.5" customHeight="1" x14ac:dyDescent="0.25">
      <c r="A22" s="96"/>
      <c r="B22" s="107" t="str">
        <f>'Gebouwgegevens Allacker'!J16</f>
        <v>W11</v>
      </c>
      <c r="C22" s="108">
        <f>VLOOKUP(B22,'Gebouwgegevens Tabula 2zone'!$K$5:$R$83,3,0)</f>
        <v>1</v>
      </c>
      <c r="D22" s="108" t="str">
        <f>VLOOKUP(B22,'Gebouwgegevens Tabula 2zone'!$K$5:$R$83,4,0)</f>
        <v>Door</v>
      </c>
      <c r="E22" s="108">
        <f>VLOOKUP(B22,'Gebouwgegevens Tabula 2zone'!$K$5:$R$83,5,0)</f>
        <v>9.5</v>
      </c>
      <c r="F22" s="108">
        <f>VLOOKUP(B22,'Gebouwgegevens Tabula 2zone'!$K$5:$R$83,6,0)</f>
        <v>0</v>
      </c>
      <c r="G22" s="108">
        <f>VLOOKUP(B22,'Gebouwgegevens Tabula 2zone'!$K$5:$R$83,7,0)</f>
        <v>4</v>
      </c>
      <c r="H22" s="109">
        <f>VLOOKUP(B22,'Gebouwgegevens Tabula 2zone'!$K$5:$R$83,8,0)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 2zone'!$K$5:$R$83,3,0)</f>
        <v>1</v>
      </c>
      <c r="D28" s="118" t="str">
        <f>VLOOKUP(B28,'Gebouwgegevens Tabula 2zone'!$K$5:$R$83,4,0)</f>
        <v>Floor</v>
      </c>
      <c r="E28" s="118">
        <f>VLOOKUP(B28,'Gebouwgegevens Tabula 2zone'!$K$5:$R$83,5,0)</f>
        <v>62</v>
      </c>
      <c r="F28" s="118">
        <f>VLOOKUP(B28,'Gebouwgegevens Tabula 2zone'!$K$5:$R$83,7,0)</f>
        <v>0.84168336673346678</v>
      </c>
      <c r="G28" s="119">
        <f>VLOOKUP(B28,'Gebouwgegevens Tabula 2zone'!$K$5:$R$83,8,0)</f>
        <v>52.184368737474941</v>
      </c>
      <c r="H28" s="119">
        <f>N28/F28*1.45/29*(21-12)</f>
        <v>0.24970372928472973</v>
      </c>
      <c r="I28" s="118">
        <f>'Gebouwgegevens Tabula 2zone'!O14</f>
        <v>62</v>
      </c>
      <c r="J28" s="117">
        <f>SQRT(I28)*4</f>
        <v>31.496031496047245</v>
      </c>
      <c r="K28" s="117">
        <f>SUM('Gebouwgegevens Tabula 2zone'!Z16:Z19)</f>
        <v>0.23</v>
      </c>
      <c r="L28" s="120">
        <f>I28/(0.5*J28)</f>
        <v>3.9370039370059056</v>
      </c>
      <c r="M28" s="120">
        <f>K28+2*(1/F28)</f>
        <v>2.6061904761904766</v>
      </c>
      <c r="N28" s="121">
        <f>IF(M28&lt;L28,2*2/(PI()*L28+M28)*LN(PI()*L28/M28+1),2/(0.457*L28+M28))</f>
        <v>0.46704772344505219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>
        <f>1.1*W18</f>
        <v>12198.111014480692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 t="s">
        <v>98</v>
      </c>
      <c r="C33" s="123">
        <f>IF(VLOOKUP(B33,'Gebouwgegevens Tabula 2zone'!$K$5:$R$83,2,0)=B$6,VLOOKUP(B33,'Gebouwgegevens Tabula 2zone'!$K$5:$R$83,2,0),VLOOKUP(B33,'Gebouwgegevens Tabula 2zone'!$K$5:$R$83,3,0))</f>
        <v>1</v>
      </c>
      <c r="D33" s="123">
        <f>IF(VLOOKUP(B33,'Gebouwgegevens Tabula 2zone'!$K$5:$R$83,2,0)=B$6,VLOOKUP(B33,'Gebouwgegevens Tabula 2zone'!$K$5:$R$83,3,0),VLOOKUP(B33,'Gebouwgegevens Tabula 2zone'!$K$5:$R$83,2,0))</f>
        <v>2</v>
      </c>
      <c r="E33" s="123" t="str">
        <f>VLOOKUP(B33,'Gebouwgegevens Tabula 2zone'!$K$5:$R$83,4,0)</f>
        <v>Floor internal</v>
      </c>
      <c r="F33" s="123">
        <f>VLOOKUP(B33,'Gebouwgegevens Tabula 2zone'!$K$5:$R$83,5,0)</f>
        <v>62</v>
      </c>
      <c r="G33" s="123">
        <f>VLOOKUP('Verwarming Tabula 2zone'!C33,'Gebouwgegevens Tabula 2zone'!$A$34:$F$45,5,0)</f>
        <v>21</v>
      </c>
      <c r="H33" s="123">
        <f>VLOOKUP('Verwarming Tabula 2zone'!D33,'Gebouwgegevens Tabula 2zone'!$A$34:$F$45,5,0)</f>
        <v>16</v>
      </c>
      <c r="I33" s="123">
        <f>VLOOKUP(B33,'Gebouwgegevens Tabula 2zone'!$K$5:$R$83,7,0)</f>
        <v>1.4911242603550294</v>
      </c>
      <c r="J33" s="119">
        <f>VLOOKUP(B33,'Gebouwgegevens Tabula 2zone'!$K$5:$R$83,8,0)</f>
        <v>92.449704142011825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x14ac:dyDescent="0.25">
      <c r="A34" s="96"/>
      <c r="B34" s="122" t="s">
        <v>101</v>
      </c>
      <c r="C34" s="123">
        <f>IF(VLOOKUP(B34,'Gebouwgegevens Tabula 2zone'!$K$5:$R$83,2,0)=B$6,VLOOKUP(B34,'Gebouwgegevens Tabula 2zone'!$K$5:$R$83,2,0),VLOOKUP(B34,'Gebouwgegevens Tabula 2zone'!$K$5:$R$83,3,0))</f>
        <v>1</v>
      </c>
      <c r="D34" s="123">
        <f>IF(VLOOKUP(B34,'Gebouwgegevens Tabula 2zone'!$K$5:$R$83,2,0)=B$6,VLOOKUP(B34,'Gebouwgegevens Tabula 2zone'!$K$5:$R$83,3,0),VLOOKUP(B34,'Gebouwgegevens Tabula 2zone'!$K$5:$R$83,2,0))</f>
        <v>1</v>
      </c>
      <c r="E34" s="123" t="str">
        <f>VLOOKUP(B34,'Gebouwgegevens Tabula 2zone'!$K$5:$R$83,4,0)</f>
        <v>Wall internal</v>
      </c>
      <c r="F34" s="123">
        <f>VLOOKUP(B34,'Gebouwgegevens Tabula 2zone'!$K$5:$R$83,5,0)</f>
        <v>68.065579028785521</v>
      </c>
      <c r="G34" s="123">
        <f>VLOOKUP('Verwarming Tabula 2zone'!C34,'Gebouwgegevens Tabula 2zone'!$A$34:$F$45,5,0)</f>
        <v>21</v>
      </c>
      <c r="H34" s="123">
        <f>VLOOKUP('Verwarming Tabula 2zone'!D34,'Gebouwgegevens Tabula 2zone'!$A$34:$F$45,5,0)</f>
        <v>21</v>
      </c>
      <c r="I34" s="123">
        <f>VLOOKUP(B34,'Gebouwgegevens Tabula 2zone'!$K$5:$R$83,7,0)</f>
        <v>1.7363344051446945</v>
      </c>
      <c r="J34" s="119">
        <f>VLOOKUP(B34,'Gebouwgegevens Tabula 2zone'!$K$5:$R$83,8,0)</f>
        <v>118.18460667377551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139.80518304361703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4054.350308264894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22" t="s">
        <v>197</v>
      </c>
      <c r="B45" s="322"/>
      <c r="C45" s="322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f>'Tabula data'!B33</f>
        <v>7.8269014693171979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 2zone'!B34</f>
        <v>66.720730837789645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 2zone'!G34</f>
        <v>62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66.720730837789645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0.32151160280736329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22.68504848484848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657.86640606060587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22" t="s">
        <v>213</v>
      </c>
      <c r="B63" s="322"/>
      <c r="C63" s="322"/>
      <c r="D63" s="322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 2zone'!B7</f>
        <v>62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 2zone'!$B$4)</f>
        <v>23.517241379310345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682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186.00747290777588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5394.2167143255001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22" t="s">
        <v>171</v>
      </c>
      <c r="B79" s="322"/>
      <c r="C79" s="322"/>
      <c r="D79" s="322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71</v>
      </c>
      <c r="C84" s="108">
        <f>VLOOKUP(B84,'Gebouwgegevens Tabula 2zone'!$K$5:$R$83,3,0)</f>
        <v>2</v>
      </c>
      <c r="D84" s="108" t="str">
        <f>VLOOKUP(B84,'Gebouwgegevens Tabula 2zone'!$K$5:$R$83,4,0)</f>
        <v>Wall External</v>
      </c>
      <c r="E84" s="108">
        <f>VLOOKUP(B84,'Gebouwgegevens Tabula 2zone'!$K$5:$R$83,5,0)</f>
        <v>26.085502079619726</v>
      </c>
      <c r="F84" s="108" t="str">
        <f>VLOOKUP(B84,'Gebouwgegevens Tabula 2zone'!$K$5:$R$83,6,0)</f>
        <v>front</v>
      </c>
      <c r="G84" s="108">
        <f>VLOOKUP(B84,'Gebouwgegevens Tabula 2zone'!$K$5:$R$83,7,0)</f>
        <v>0.99033657090706906</v>
      </c>
      <c r="H84" s="109">
        <f>VLOOKUP(B84,'Gebouwgegevens Tabula 2zone'!$K$5:$R$83,8,0)</f>
        <v>25.833426679919818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75</v>
      </c>
      <c r="C85" s="108">
        <f>VLOOKUP(B85,'Gebouwgegevens Tabula 2zone'!$K$5:$R$83,3,0)</f>
        <v>2</v>
      </c>
      <c r="D85" s="108" t="str">
        <f>VLOOKUP(B85,'Gebouwgegevens Tabula 2zone'!$K$5:$R$83,4,0)</f>
        <v>Wall External</v>
      </c>
      <c r="E85" s="108">
        <f>VLOOKUP(B85,'Gebouwgegevens Tabula 2zone'!$K$5:$R$83,5,0)</f>
        <v>0</v>
      </c>
      <c r="F85" s="108" t="str">
        <f>VLOOKUP(B85,'Gebouwgegevens Tabula 2zone'!$K$5:$R$83,6,0)</f>
        <v>right</v>
      </c>
      <c r="G85" s="108">
        <f>VLOOKUP(B85,'Gebouwgegevens Tabula 2zone'!$K$5:$R$83,7,0)</f>
        <v>0.99033657090706906</v>
      </c>
      <c r="H85" s="109">
        <f>VLOOKUP(B85,'Gebouwgegevens Tabula 2zone'!$K$5:$R$83,8,0)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79</v>
      </c>
      <c r="C86" s="108">
        <f>VLOOKUP(B86,'Gebouwgegevens Tabula 2zone'!$K$5:$R$83,3,0)</f>
        <v>2</v>
      </c>
      <c r="D86" s="108" t="str">
        <f>VLOOKUP(B86,'Gebouwgegevens Tabula 2zone'!$K$5:$R$83,4,0)</f>
        <v>Wall External</v>
      </c>
      <c r="E86" s="108">
        <f>VLOOKUP(B86,'Gebouwgegevens Tabula 2zone'!$K$5:$R$83,5,0)</f>
        <v>26.085502079619726</v>
      </c>
      <c r="F86" s="108" t="str">
        <f>VLOOKUP(B86,'Gebouwgegevens Tabula 2zone'!$K$5:$R$83,6,0)</f>
        <v>back</v>
      </c>
      <c r="G86" s="108">
        <f>VLOOKUP(B86,'Gebouwgegevens Tabula 2zone'!$K$5:$R$83,7,0)</f>
        <v>0.99033657090706906</v>
      </c>
      <c r="H86" s="109">
        <f>VLOOKUP(B86,'Gebouwgegevens Tabula 2zone'!$K$5:$R$83,8,0)</f>
        <v>25.833426679919818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 t="s">
        <v>82</v>
      </c>
      <c r="C87" s="108">
        <f>VLOOKUP(B87,'Gebouwgegevens Tabula 2zone'!$K$5:$R$83,3,0)</f>
        <v>2</v>
      </c>
      <c r="D87" s="108" t="str">
        <f>VLOOKUP(B87,'Gebouwgegevens Tabula 2zone'!$K$5:$R$83,4,0)</f>
        <v>Wall External</v>
      </c>
      <c r="E87" s="108">
        <f>VLOOKUP(B87,'Gebouwgegevens Tabula 2zone'!$K$5:$R$83,5,0)</f>
        <v>0</v>
      </c>
      <c r="F87" s="108" t="str">
        <f>VLOOKUP(B87,'Gebouwgegevens Tabula 2zone'!$K$5:$R$83,6,0)</f>
        <v>left</v>
      </c>
      <c r="G87" s="108">
        <f>VLOOKUP(B87,'Gebouwgegevens Tabula 2zone'!$K$5:$R$83,7,0)</f>
        <v>0.99033657090706906</v>
      </c>
      <c r="H87" s="109">
        <f>VLOOKUP(B87,'Gebouwgegevens Tabula 2zone'!$K$5:$R$83,8,0)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 t="s">
        <v>84</v>
      </c>
      <c r="C88" s="108">
        <f>VLOOKUP(B88,'Gebouwgegevens Tabula 2zone'!$K$5:$R$83,3,0)</f>
        <v>2</v>
      </c>
      <c r="D88" s="108" t="str">
        <f>VLOOKUP(B88,'Gebouwgegevens Tabula 2zone'!$K$5:$R$83,4,0)</f>
        <v>Window</v>
      </c>
      <c r="E88" s="108">
        <f>VLOOKUP(B88,'Gebouwgegevens Tabula 2zone'!$K$5:$R$83,5,0)</f>
        <v>2.85</v>
      </c>
      <c r="F88" s="108" t="str">
        <f>VLOOKUP(B88,'Gebouwgegevens Tabula 2zone'!$K$5:$R$83,6,0)</f>
        <v>front</v>
      </c>
      <c r="G88" s="108">
        <f>VLOOKUP(B88,'Gebouwgegevens Tabula 2zone'!$K$5:$R$83,7,0)</f>
        <v>3.5</v>
      </c>
      <c r="H88" s="109">
        <f>VLOOKUP(B88,'Gebouwgegevens Tabula 2zone'!$K$5:$R$83,8,0)</f>
        <v>9.9749999999999996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 t="s">
        <v>87</v>
      </c>
      <c r="C89" s="108">
        <f>VLOOKUP(B89,'Gebouwgegevens Tabula 2zone'!$K$5:$R$83,3,0)</f>
        <v>2</v>
      </c>
      <c r="D89" s="108" t="str">
        <f>VLOOKUP(B89,'Gebouwgegevens Tabula 2zone'!$K$5:$R$83,4,0)</f>
        <v>Window</v>
      </c>
      <c r="E89" s="108">
        <f>VLOOKUP(B89,'Gebouwgegevens Tabula 2zone'!$K$5:$R$83,5,0)</f>
        <v>3.15</v>
      </c>
      <c r="F89" s="108" t="str">
        <f>VLOOKUP(B89,'Gebouwgegevens Tabula 2zone'!$K$5:$R$83,6,0)</f>
        <v>right</v>
      </c>
      <c r="G89" s="108">
        <f>VLOOKUP(B89,'Gebouwgegevens Tabula 2zone'!$K$5:$R$83,7,0)</f>
        <v>3.5</v>
      </c>
      <c r="H89" s="109">
        <f>VLOOKUP(B89,'Gebouwgegevens Tabula 2zone'!$K$5:$R$83,8,0)</f>
        <v>11.025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 t="s">
        <v>89</v>
      </c>
      <c r="C90" s="108">
        <f>VLOOKUP(B90,'Gebouwgegevens Tabula 2zone'!$K$5:$R$83,3,0)</f>
        <v>2</v>
      </c>
      <c r="D90" s="108" t="str">
        <f>VLOOKUP(B90,'Gebouwgegevens Tabula 2zone'!$K$5:$R$83,4,0)</f>
        <v>Window</v>
      </c>
      <c r="E90" s="108">
        <f>VLOOKUP(B90,'Gebouwgegevens Tabula 2zone'!$K$5:$R$83,5,0)</f>
        <v>2.95</v>
      </c>
      <c r="F90" s="108" t="str">
        <f>VLOOKUP(B90,'Gebouwgegevens Tabula 2zone'!$K$5:$R$83,6,0)</f>
        <v>back</v>
      </c>
      <c r="G90" s="108">
        <f>VLOOKUP(B90,'Gebouwgegevens Tabula 2zone'!$K$5:$R$83,7,0)</f>
        <v>3.5</v>
      </c>
      <c r="H90" s="109">
        <f>VLOOKUP(B90,'Gebouwgegevens Tabula 2zone'!$K$5:$R$83,8,0)</f>
        <v>10.325000000000001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 t="s">
        <v>92</v>
      </c>
      <c r="C91" s="108">
        <f>VLOOKUP(B91,'Gebouwgegevens Tabula 2zone'!$K$5:$R$83,3,0)</f>
        <v>2</v>
      </c>
      <c r="D91" s="108" t="str">
        <f>VLOOKUP(B91,'Gebouwgegevens Tabula 2zone'!$K$5:$R$83,4,0)</f>
        <v>Window</v>
      </c>
      <c r="E91" s="108">
        <f>VLOOKUP(B91,'Gebouwgegevens Tabula 2zone'!$K$5:$R$83,5,0)</f>
        <v>3.25</v>
      </c>
      <c r="F91" s="108" t="str">
        <f>VLOOKUP(B91,'Gebouwgegevens Tabula 2zone'!$K$5:$R$83,6,0)</f>
        <v>left</v>
      </c>
      <c r="G91" s="108">
        <f>VLOOKUP(B91,'Gebouwgegevens Tabula 2zone'!$K$5:$R$83,7,0)</f>
        <v>3.5</v>
      </c>
      <c r="H91" s="109">
        <f>VLOOKUP(B91,'Gebouwgegevens Tabula 2zone'!$K$5:$R$83,8,0)</f>
        <v>11.375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 t="s">
        <v>96</v>
      </c>
      <c r="C92" s="108">
        <f>VLOOKUP(B92,'Gebouwgegevens Tabula 2zone'!$K$5:$R$83,3,0)</f>
        <v>2</v>
      </c>
      <c r="D92" s="108" t="str">
        <f>VLOOKUP(B92,'Gebouwgegevens Tabula 2zone'!$K$5:$R$83,4,0)</f>
        <v>Roof</v>
      </c>
      <c r="E92" s="108">
        <f>VLOOKUP(B92,'Gebouwgegevens Tabula 2zone'!$K$5:$R$83,5,0)</f>
        <v>78.599999999999994</v>
      </c>
      <c r="F92" s="108" t="str">
        <f>VLOOKUP(B92,'Gebouwgegevens Tabula 2zone'!$K$5:$R$83,6,0)</f>
        <v>front/back</v>
      </c>
      <c r="G92" s="108">
        <f>VLOOKUP(B92,'Gebouwgegevens Tabula 2zone'!$K$5:$R$83,7,0)</f>
        <v>0.84975369458128069</v>
      </c>
      <c r="H92" s="109">
        <f>VLOOKUP(B92,'Gebouwgegevens Tabula 2zone'!$K$5:$R$83,8,0)</f>
        <v>66.790640394088655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98</v>
      </c>
      <c r="C108" s="123">
        <f>IF(VLOOKUP(B108,'Gebouwgegevens Tabula 2zone'!$K$5:$R$83,2,0)=$B$78,VLOOKUP(B108,'Gebouwgegevens Tabula 2zone'!$K$5:$R$83,2,0),VLOOKUP(B108,'Gebouwgegevens Tabula 2zone'!$K$5:$R$83,3,0))</f>
        <v>2</v>
      </c>
      <c r="D108" s="123">
        <f>IF(VLOOKUP(B108,'Gebouwgegevens Tabula 2zone'!$K$5:$R$83,2,0)=$B$78,VLOOKUP(B108,'Gebouwgegevens Tabula 2zone'!$K$5:$R$83,3,0),VLOOKUP(B108,'Gebouwgegevens Tabula 2zone'!$K$5:$R$83,2,0))</f>
        <v>1</v>
      </c>
      <c r="E108" s="123" t="str">
        <f>VLOOKUP(B108,'Gebouwgegevens Tabula 2zone'!$K$5:$R$83,4,0)</f>
        <v>Floor internal</v>
      </c>
      <c r="F108" s="123">
        <f>VLOOKUP(B108,'Gebouwgegevens Tabula 2zone'!$K$5:$R$83,5,0)</f>
        <v>62</v>
      </c>
      <c r="G108" s="123">
        <f>VLOOKUP('Verwarming Tabula 2zone'!C108,'Gebouwgegevens Tabula 2zone'!$A$34:$F$45,5,0)</f>
        <v>16</v>
      </c>
      <c r="H108" s="123">
        <f>VLOOKUP('Verwarming Tabula 2zone'!D108,'Gebouwgegevens Tabula 2zone'!$A$34:$F$45,5,0)</f>
        <v>21</v>
      </c>
      <c r="I108" s="123">
        <f>VLOOKUP(B108,'Gebouwgegevens Tabula 2zone'!$K$5:$R$83,7,0)</f>
        <v>1.4911242603550294</v>
      </c>
      <c r="J108" s="119">
        <f>VLOOKUP(B108,'Gebouwgegevens Tabula 2zone'!$K$5:$R$83,8,0)</f>
        <v>92.449704142011825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102</v>
      </c>
      <c r="C109" s="123">
        <f>IF(VLOOKUP(B109,'Gebouwgegevens Tabula 2zone'!$K$5:$R$83,2,0)=$B$78,VLOOKUP(B109,'Gebouwgegevens Tabula 2zone'!$K$5:$R$83,2,0),VLOOKUP(B109,'Gebouwgegevens Tabula 2zone'!$K$5:$R$83,3,0))</f>
        <v>2</v>
      </c>
      <c r="D109" s="123">
        <f>IF(VLOOKUP(B109,'Gebouwgegevens Tabula 2zone'!$K$5:$R$83,2,0)=$B$78,VLOOKUP(B109,'Gebouwgegevens Tabula 2zone'!$K$5:$R$83,3,0),VLOOKUP(B109,'Gebouwgegevens Tabula 2zone'!$K$5:$R$83,2,0))</f>
        <v>2</v>
      </c>
      <c r="E109" s="123" t="str">
        <f>VLOOKUP(B109,'Gebouwgegevens Tabula 2zone'!$K$5:$R$83,4,0)</f>
        <v>Wall internal</v>
      </c>
      <c r="F109" s="123">
        <f>VLOOKUP(B109,'Gebouwgegevens Tabula 2zone'!$K$5:$R$83,5,0)</f>
        <v>116.69953307677261</v>
      </c>
      <c r="G109" s="123">
        <f>VLOOKUP('Verwarming Tabula 2zone'!C109,'Gebouwgegevens Tabula 2zone'!$A$34:$F$45,5,0)</f>
        <v>16</v>
      </c>
      <c r="H109" s="123">
        <f>VLOOKUP('Verwarming Tabula 2zone'!D109,'Gebouwgegevens Tabula 2zone'!$A$34:$F$45,5,0)</f>
        <v>16</v>
      </c>
      <c r="I109" s="123">
        <f>VLOOKUP(B109,'Gebouwgegevens Tabula 2zone'!$K$5:$R$83,7,0)</f>
        <v>1.7363344051446945</v>
      </c>
      <c r="J109" s="119">
        <f>VLOOKUP(B109,'Gebouwgegevens Tabula 2zone'!$K$5:$R$83,8,0)</f>
        <v>202.62941434552158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141.89713872434248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3405.5313293842196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22" t="s">
        <v>197</v>
      </c>
      <c r="B124" s="322"/>
      <c r="C124" s="322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f>'Tabula data'!B33</f>
        <v>7.8269014693171979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Tabula 2zone'!$A$34:$F$45,2,0)*B127*B128*B129</f>
        <v>137.27252299465238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'Gebouwgegevens Tabula 2zone'!G35</f>
        <v>106.30000000000001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137.27252299465238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0.86070753282160639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0.34*(B137+B131)</f>
        <v>46.672657818181811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1120.1437876363634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22" t="s">
        <v>213</v>
      </c>
      <c r="B142" s="322"/>
      <c r="C142" s="322"/>
      <c r="D142" s="322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B133</f>
        <v>106.30000000000001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 2zone'!$B$4)</f>
        <v>146.16250000000002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1169.3000000000002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>
        <f>SUM(B121,B139,B146)</f>
        <v>334.7322965425243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5694.9751170205827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22" t="s">
        <v>171</v>
      </c>
      <c r="B159" s="322"/>
      <c r="C159" s="322"/>
      <c r="D159" s="322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2zone'!C188,'Gebouwgegevens Allacker'!$A$35:$F$46,5,0)</f>
        <v>#N/A</v>
      </c>
      <c r="H188" s="123" t="e">
        <f>VLOOKUP('Verwarming Tabula 2zone'!D188,'Gebouwgegevens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2zone'!C189,'Gebouwgegevens Allacker'!$A$35:$F$46,5,0)</f>
        <v>#N/A</v>
      </c>
      <c r="H189" s="123" t="e">
        <f>VLOOKUP('Verwarming Tabula 2zone'!D189,'Gebouwgegevens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2zone'!C190,'Gebouwgegevens Allacker'!$A$35:$F$46,5,0)</f>
        <v>#N/A</v>
      </c>
      <c r="H190" s="123" t="e">
        <f>VLOOKUP('Verwarming Tabula 2zone'!D190,'Gebouwgegevens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22" t="s">
        <v>197</v>
      </c>
      <c r="B204" s="322"/>
      <c r="C204" s="322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22" t="s">
        <v>213</v>
      </c>
      <c r="B222" s="322"/>
      <c r="C222" s="322"/>
      <c r="D222" s="322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22" t="s">
        <v>171</v>
      </c>
      <c r="B238" s="322"/>
      <c r="C238" s="322"/>
      <c r="D238" s="322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2zone'!C267,'Gebouwgegevens Allacker'!$A$35:$F$46,5,0)</f>
        <v>#N/A</v>
      </c>
      <c r="H267" s="123" t="e">
        <f>VLOOKUP('Verwarming Tabula 2zone'!D267,'Gebouwgegevens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2zone'!C268,'Gebouwgegevens Allacker'!$A$35:$F$46,5,0)</f>
        <v>#N/A</v>
      </c>
      <c r="H268" s="123" t="e">
        <f>VLOOKUP('Verwarming Tabula 2zone'!D268,'Gebouwgegevens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2zone'!C269,'Gebouwgegevens Allacker'!$A$35:$F$46,5,0)</f>
        <v>#N/A</v>
      </c>
      <c r="H269" s="123" t="e">
        <f>VLOOKUP('Verwarming Tabula 2zone'!D269,'Gebouwgegevens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2zone'!C270,'Gebouwgegevens Allacker'!$A$35:$F$46,5,0)</f>
        <v>#N/A</v>
      </c>
      <c r="H270" s="123" t="e">
        <f>VLOOKUP('Verwarming Tabula 2zone'!D270,'Gebouwgegevens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22" t="s">
        <v>197</v>
      </c>
      <c r="B283" s="322"/>
      <c r="C283" s="322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22" t="s">
        <v>213</v>
      </c>
      <c r="B301" s="322"/>
      <c r="C301" s="322"/>
      <c r="D301" s="322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22" t="s">
        <v>171</v>
      </c>
      <c r="B317" s="322"/>
      <c r="C317" s="322"/>
      <c r="D317" s="322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2zone'!C346,'Gebouwgegevens Allacker'!$A$35:$F$46,5,0)</f>
        <v>#N/A</v>
      </c>
      <c r="H346" s="123" t="e">
        <f>VLOOKUP('Verwarming Tabula 2zone'!D346,'Gebouwgegevens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2zone'!C347,'Gebouwgegevens Allacker'!$A$35:$F$46,5,0)</f>
        <v>#N/A</v>
      </c>
      <c r="H347" s="123" t="e">
        <f>VLOOKUP('Verwarming Tabula 2zone'!D347,'Gebouwgegevens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2zone'!C348,'Gebouwgegevens Allacker'!$A$35:$F$46,5,0)</f>
        <v>#N/A</v>
      </c>
      <c r="H348" s="123" t="e">
        <f>VLOOKUP('Verwarming Tabula 2zone'!D348,'Gebouwgegevens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2zone'!C349,'Gebouwgegevens Allacker'!$A$35:$F$46,5,0)</f>
        <v>#N/A</v>
      </c>
      <c r="H349" s="123" t="e">
        <f>VLOOKUP('Verwarming Tabula 2zone'!D349,'Gebouwgegevens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2zone'!C350,'Gebouwgegevens Allacker'!$A$35:$F$46,5,0)</f>
        <v>#N/A</v>
      </c>
      <c r="H350" s="123" t="e">
        <f>VLOOKUP('Verwarming Tabula 2zone'!D350,'Gebouwgegevens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22" t="s">
        <v>197</v>
      </c>
      <c r="B362" s="322"/>
      <c r="C362" s="322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22" t="s">
        <v>213</v>
      </c>
      <c r="B380" s="322"/>
      <c r="C380" s="322"/>
      <c r="D380" s="322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22" t="s">
        <v>171</v>
      </c>
      <c r="B395" s="322"/>
      <c r="C395" s="322"/>
      <c r="D395" s="322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2zone'!C424,'Gebouwgegevens Allacker'!$A$35:$F$46,5,0)</f>
        <v>#N/A</v>
      </c>
      <c r="H424" s="123" t="e">
        <f>VLOOKUP('Verwarming Tabula 2zone'!D424,'Gebouwgegevens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2zone'!C425,'Gebouwgegevens Allacker'!$A$35:$F$46,5,0)</f>
        <v>#N/A</v>
      </c>
      <c r="H425" s="123" t="e">
        <f>VLOOKUP('Verwarming Tabula 2zone'!D425,'Gebouwgegevens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2zone'!C426,'Gebouwgegevens Allacker'!$A$35:$F$46,5,0)</f>
        <v>#N/A</v>
      </c>
      <c r="H426" s="123" t="e">
        <f>VLOOKUP('Verwarming Tabula 2zone'!D426,'Gebouwgegevens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2zone'!C427,'Gebouwgegevens Allacker'!$A$35:$F$46,5,0)</f>
        <v>#N/A</v>
      </c>
      <c r="H427" s="123" t="e">
        <f>VLOOKUP('Verwarming Tabula 2zone'!D427,'Gebouwgegevens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2zone'!C428,'Gebouwgegevens Allacker'!$A$35:$F$46,5,0)</f>
        <v>#N/A</v>
      </c>
      <c r="H428" s="123" t="e">
        <f>VLOOKUP('Verwarming Tabula 2zone'!D428,'Gebouwgegevens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22" t="s">
        <v>197</v>
      </c>
      <c r="B440" s="322"/>
      <c r="C440" s="322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22" t="s">
        <v>213</v>
      </c>
      <c r="B458" s="322"/>
      <c r="C458" s="322"/>
      <c r="D458" s="322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22" t="s">
        <v>171</v>
      </c>
      <c r="B473" s="322"/>
      <c r="C473" s="322"/>
      <c r="D473" s="322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2zone'!C502,'Gebouwgegevens Allacker'!$A$35:$F$46,5,0)</f>
        <v>#N/A</v>
      </c>
      <c r="H502" s="123" t="e">
        <f>VLOOKUP('Verwarming Tabula 2zone'!D502,'Gebouwgegevens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2zone'!C503,'Gebouwgegevens Allacker'!$A$35:$F$46,5,0)</f>
        <v>#N/A</v>
      </c>
      <c r="H503" s="123" t="e">
        <f>VLOOKUP('Verwarming Tabula 2zone'!D503,'Gebouwgegevens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2zone'!C504,'Gebouwgegevens Allacker'!$A$35:$F$46,5,0)</f>
        <v>#N/A</v>
      </c>
      <c r="H504" s="123" t="e">
        <f>VLOOKUP('Verwarming Tabula 2zone'!D504,'Gebouwgegevens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22" t="s">
        <v>197</v>
      </c>
      <c r="B518" s="322"/>
      <c r="C518" s="322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22" t="s">
        <v>213</v>
      </c>
      <c r="B536" s="322"/>
      <c r="C536" s="322"/>
      <c r="D536" s="322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22" t="s">
        <v>171</v>
      </c>
      <c r="B552" s="322"/>
      <c r="C552" s="322"/>
      <c r="D552" s="322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2zone'!C581,'Gebouwgegevens Allacker'!$A$35:$F$46,5,0)</f>
        <v>#N/A</v>
      </c>
      <c r="H581" s="123" t="e">
        <f>VLOOKUP('Verwarming Tabula 2zone'!D581,'Gebouwgegevens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2zone'!C582,'Gebouwgegevens Allacker'!$A$35:$F$46,5,0)</f>
        <v>#N/A</v>
      </c>
      <c r="H582" s="123" t="e">
        <f>VLOOKUP('Verwarming Tabula 2zone'!D582,'Gebouwgegevens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2zone'!C583,'Gebouwgegevens Allacker'!$A$35:$F$46,5,0)</f>
        <v>#N/A</v>
      </c>
      <c r="H583" s="123" t="e">
        <f>VLOOKUP('Verwarming Tabula 2zone'!D583,'Gebouwgegevens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22" t="s">
        <v>197</v>
      </c>
      <c r="B597" s="322"/>
      <c r="C597" s="322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22" t="s">
        <v>213</v>
      </c>
      <c r="B615" s="322"/>
      <c r="C615" s="322"/>
      <c r="D615" s="322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22" t="s">
        <v>171</v>
      </c>
      <c r="B631" s="322"/>
      <c r="C631" s="322"/>
      <c r="D631" s="322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2zone'!C660,'Gebouwgegevens Allacker'!$A$35:$F$46,5,0)</f>
        <v>#N/A</v>
      </c>
      <c r="H660" s="123" t="e">
        <f>VLOOKUP('Verwarming Tabula 2zone'!D660,'Gebouwgegevens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2zone'!C661,'Gebouwgegevens Allacker'!$A$35:$F$46,5,0)</f>
        <v>#N/A</v>
      </c>
      <c r="H661" s="123" t="e">
        <f>VLOOKUP('Verwarming Tabula 2zone'!D661,'Gebouwgegevens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22" t="s">
        <v>197</v>
      </c>
      <c r="B676" s="322"/>
      <c r="C676" s="322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22" t="s">
        <v>213</v>
      </c>
      <c r="B694" s="322"/>
      <c r="C694" s="322"/>
      <c r="D694" s="322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22" t="s">
        <v>171</v>
      </c>
      <c r="B710" s="322"/>
      <c r="C710" s="322"/>
      <c r="D710" s="322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2zone'!C739,'Gebouwgegevens Allacker'!$A$35:$F$46,5,0)</f>
        <v>#N/A</v>
      </c>
      <c r="H739" s="123" t="e">
        <f>VLOOKUP('Verwarming Tabula 2zone'!D739,'Gebouwgegevens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2zone'!C740,'Gebouwgegevens Allacker'!$A$35:$F$46,5,0)</f>
        <v>#N/A</v>
      </c>
      <c r="H740" s="123" t="e">
        <f>VLOOKUP('Verwarming Tabula 2zone'!D740,'Gebouwgegevens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2zone'!C741,'Gebouwgegevens Allacker'!$A$35:$F$46,5,0)</f>
        <v>#N/A</v>
      </c>
      <c r="H741" s="123" t="e">
        <f>VLOOKUP('Verwarming Tabula 2zone'!D741,'Gebouwgegevens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2zone'!C742,'Gebouwgegevens Allacker'!$A$35:$F$46,5,0)</f>
        <v>#N/A</v>
      </c>
      <c r="H742" s="123" t="e">
        <f>VLOOKUP('Verwarming Tabula 2zone'!D742,'Gebouwgegevens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2zone'!C743,'Gebouwgegevens Allacker'!$A$35:$F$46,5,0)</f>
        <v>#N/A</v>
      </c>
      <c r="H743" s="123" t="e">
        <f>VLOOKUP('Verwarming Tabula 2zone'!D743,'Gebouwgegevens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2zone'!C744,'Gebouwgegevens Allacker'!$A$35:$F$46,5,0)</f>
        <v>#N/A</v>
      </c>
      <c r="H744" s="123" t="e">
        <f>VLOOKUP('Verwarming Tabula 2zone'!D744,'Gebouwgegevens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2zone'!C745,'Gebouwgegevens Allacker'!$A$35:$F$46,5,0)</f>
        <v>#N/A</v>
      </c>
      <c r="H745" s="123" t="e">
        <f>VLOOKUP('Verwarming Tabula 2zone'!D745,'Gebouwgegevens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2zone'!C746,'Gebouwgegevens Allacker'!$A$35:$F$46,5,0)</f>
        <v>#N/A</v>
      </c>
      <c r="H746" s="123" t="e">
        <f>VLOOKUP('Verwarming Tabula 2zone'!D746,'Gebouwgegevens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2zone'!C747,'Gebouwgegevens Allacker'!$A$35:$F$46,5,0)</f>
        <v>#N/A</v>
      </c>
      <c r="H747" s="123" t="e">
        <f>VLOOKUP('Verwarming Tabula 2zone'!D747,'Gebouwgegevens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2zone'!C748,'Gebouwgegevens Allacker'!$A$35:$F$46,5,0)</f>
        <v>#N/A</v>
      </c>
      <c r="H748" s="123" t="e">
        <f>VLOOKUP('Verwarming Tabula 2zone'!D748,'Gebouwgegevens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2zone'!C749,'Gebouwgegevens Allacker'!$A$35:$F$46,5,0)</f>
        <v>#N/A</v>
      </c>
      <c r="H749" s="123" t="e">
        <f>VLOOKUP('Verwarming Tabula 2zone'!D749,'Gebouwgegevens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2zone'!C750,'Gebouwgegevens Allacker'!$A$35:$F$46,5,0)</f>
        <v>#N/A</v>
      </c>
      <c r="H750" s="123" t="e">
        <f>VLOOKUP('Verwarming Tabula 2zone'!D750,'Gebouwgegevens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22" t="s">
        <v>197</v>
      </c>
      <c r="B755" s="322"/>
      <c r="C755" s="322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22" t="s">
        <v>213</v>
      </c>
      <c r="B773" s="322"/>
      <c r="C773" s="322"/>
      <c r="D773" s="322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238:D238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552:D552"/>
    <mergeCell ref="A597:C597"/>
    <mergeCell ref="A755:C755"/>
    <mergeCell ref="A773:D773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2" zoomScale="85" zoomScaleNormal="85" workbookViewId="0">
      <selection sqref="A1:I1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20" t="s">
        <v>164</v>
      </c>
      <c r="B1" s="320"/>
      <c r="C1" s="320"/>
      <c r="D1" s="320"/>
      <c r="E1" s="320"/>
      <c r="F1" s="320"/>
      <c r="G1" s="320"/>
      <c r="H1" s="320"/>
      <c r="I1" s="320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85"/>
      <c r="W4" s="285"/>
      <c r="X4" s="285"/>
      <c r="Y4" s="95"/>
    </row>
    <row r="5" spans="1:25" ht="18" customHeight="1" thickTop="1" thickBot="1" x14ac:dyDescent="0.3">
      <c r="A5" s="9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95"/>
      <c r="U5" s="96"/>
      <c r="V5" s="317" t="s">
        <v>168</v>
      </c>
      <c r="W5" s="317"/>
      <c r="X5" s="317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85"/>
      <c r="Y6" s="97"/>
    </row>
    <row r="7" spans="1:25" ht="16.5" customHeight="1" thickTop="1" x14ac:dyDescent="0.25">
      <c r="A7" s="322" t="s">
        <v>171</v>
      </c>
      <c r="B7" s="322"/>
      <c r="C7" s="322"/>
      <c r="D7" s="322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95"/>
      <c r="U7" s="96"/>
      <c r="V7" s="102">
        <f>B6</f>
        <v>1</v>
      </c>
      <c r="W7" s="103">
        <f>B73</f>
        <v>3787.5653822901763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2901.0960308818353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Ref1'!J6</f>
        <v>W1</v>
      </c>
      <c r="C12" s="108">
        <f>VLOOKUP(B12,'Tabula Ref1'!$J$5:$Q$83,3,0)</f>
        <v>1</v>
      </c>
      <c r="D12" s="108" t="str">
        <f>VLOOKUP(B12,'Tabula Ref1'!$J$5:$Q$83,4,0)</f>
        <v>Wall External</v>
      </c>
      <c r="E12" s="108">
        <f>VLOOKUP(B12,'Tabula Ref1'!$J$5:$Q$83,5,0)</f>
        <v>15.214497920380273</v>
      </c>
      <c r="F12" s="108" t="str">
        <f>VLOOKUP(B12,'Tabula Ref1'!$J$5:$Q$83,6,0)</f>
        <v>front</v>
      </c>
      <c r="G12" s="108">
        <f>VLOOKUP(B12,'Tabula Ref1'!$J$5:$Q$83,7,0)</f>
        <v>0.31684206193169995</v>
      </c>
      <c r="H12" s="109">
        <f>VLOOKUP(B12,'Tabula Ref1'!$J$5:$Q$83,8,0)</f>
        <v>4.8205928923488468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Ref1'!J7</f>
        <v>W2</v>
      </c>
      <c r="C13" s="108">
        <f>VLOOKUP(B13,'Tabula Ref1'!$J$5:$Q$83,3,0)</f>
        <v>1</v>
      </c>
      <c r="D13" s="108" t="str">
        <f>VLOOKUP(B13,'Tabula Ref1'!$J$5:$Q$83,4,0)</f>
        <v>Wall External</v>
      </c>
      <c r="E13" s="108">
        <f>VLOOKUP(B13,'Tabula Ref1'!$J$5:$Q$83,5,0)</f>
        <v>0</v>
      </c>
      <c r="F13" s="108" t="str">
        <f>VLOOKUP(B13,'Tabula Ref1'!$J$5:$Q$83,6,0)</f>
        <v>right</v>
      </c>
      <c r="G13" s="108">
        <f>VLOOKUP(B13,'Tabula Ref1'!$J$5:$Q$83,7,0)</f>
        <v>0.31684206193169995</v>
      </c>
      <c r="H13" s="109">
        <f>VLOOKUP(B13,'Tabula Ref1'!$J$5:$Q$83,8,0)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Ref1'!J8</f>
        <v>W3</v>
      </c>
      <c r="C14" s="108">
        <f>VLOOKUP(B14,'Tabula Ref1'!$J$5:$Q$83,3,0)</f>
        <v>1</v>
      </c>
      <c r="D14" s="108" t="str">
        <f>VLOOKUP(B14,'Tabula Ref1'!$J$5:$Q$83,4,0)</f>
        <v>Wall External</v>
      </c>
      <c r="E14" s="108">
        <f>VLOOKUP(B14,'Tabula Ref1'!$J$5:$Q$83,5,0)</f>
        <v>15.214497920380273</v>
      </c>
      <c r="F14" s="108" t="str">
        <f>VLOOKUP(B14,'Tabula Ref1'!$J$5:$Q$83,6,0)</f>
        <v>back</v>
      </c>
      <c r="G14" s="108">
        <f>VLOOKUP(B14,'Tabula Ref1'!$J$5:$Q$83,7,0)</f>
        <v>0.31684206193169995</v>
      </c>
      <c r="H14" s="109">
        <f>VLOOKUP(B14,'Tabula Ref1'!$J$5:$Q$83,8,0)</f>
        <v>4.8205928923488468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Ref1'!J9</f>
        <v>W4</v>
      </c>
      <c r="C15" s="108">
        <f>VLOOKUP(B15,'Tabula Ref1'!$J$5:$Q$83,3,0)</f>
        <v>1</v>
      </c>
      <c r="D15" s="108" t="str">
        <f>VLOOKUP(B15,'Tabula Ref1'!$J$5:$Q$83,4,0)</f>
        <v>Wall External</v>
      </c>
      <c r="E15" s="108">
        <f>VLOOKUP(B15,'Tabula Ref1'!$J$5:$Q$83,5,0)</f>
        <v>0</v>
      </c>
      <c r="F15" s="108" t="str">
        <f>VLOOKUP(B15,'Tabula Ref1'!$J$5:$Q$83,6,0)</f>
        <v>left</v>
      </c>
      <c r="G15" s="108">
        <f>VLOOKUP(B15,'Tabula Ref1'!$J$5:$Q$83,7,0)</f>
        <v>0.31684206193169995</v>
      </c>
      <c r="H15" s="109">
        <f>VLOOKUP(B15,'Tabula Ref1'!$J$5:$Q$83,8,0)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Ref1'!J10</f>
        <v>W5</v>
      </c>
      <c r="C16" s="108">
        <f>VLOOKUP(B16,'Tabula Ref1'!$J$5:$Q$83,3,0)</f>
        <v>1</v>
      </c>
      <c r="D16" s="108" t="str">
        <f>VLOOKUP(B16,'Tabula Ref1'!$J$5:$Q$83,4,0)</f>
        <v>Window</v>
      </c>
      <c r="E16" s="108">
        <f>VLOOKUP(B16,'Tabula Ref1'!$J$5:$Q$83,5,0)</f>
        <v>2.85</v>
      </c>
      <c r="F16" s="108" t="str">
        <f>VLOOKUP(B16,'Tabula Ref1'!$J$5:$Q$83,6,0)</f>
        <v>front</v>
      </c>
      <c r="G16" s="108">
        <f>VLOOKUP(B16,'Tabula Ref1'!$J$5:$Q$83,7,0)</f>
        <v>2</v>
      </c>
      <c r="H16" s="109">
        <f>VLOOKUP(B16,'Tabula Ref1'!$J$5:$Q$83,8,0)</f>
        <v>5.7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Ref1'!J11</f>
        <v>W6</v>
      </c>
      <c r="C17" s="108">
        <f>VLOOKUP(B17,'Tabula Ref1'!$J$5:$Q$83,3,0)</f>
        <v>1</v>
      </c>
      <c r="D17" s="108" t="str">
        <f>VLOOKUP(B17,'Tabula Ref1'!$J$5:$Q$83,4,0)</f>
        <v>Window</v>
      </c>
      <c r="E17" s="108">
        <f>VLOOKUP(B17,'Tabula Ref1'!$J$5:$Q$83,5,0)</f>
        <v>3.15</v>
      </c>
      <c r="F17" s="108" t="str">
        <f>VLOOKUP(B17,'Tabula Ref1'!$J$5:$Q$83,6,0)</f>
        <v>right</v>
      </c>
      <c r="G17" s="108">
        <f>VLOOKUP(B17,'Tabula Ref1'!$J$5:$Q$83,7,0)</f>
        <v>2</v>
      </c>
      <c r="H17" s="109">
        <f>VLOOKUP(B17,'Tabula Ref1'!$J$5:$Q$83,8,0)</f>
        <v>6.3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Ref1'!J12</f>
        <v>W7</v>
      </c>
      <c r="C18" s="108">
        <f>VLOOKUP(B18,'Tabula Ref1'!$J$5:$Q$83,3,0)</f>
        <v>1</v>
      </c>
      <c r="D18" s="108" t="str">
        <f>VLOOKUP(B18,'Tabula Ref1'!$J$5:$Q$83,4,0)</f>
        <v>Window</v>
      </c>
      <c r="E18" s="108">
        <f>VLOOKUP(B18,'Tabula Ref1'!$J$5:$Q$83,5,0)</f>
        <v>2.95</v>
      </c>
      <c r="F18" s="108" t="str">
        <f>VLOOKUP(B18,'Tabula Ref1'!$J$5:$Q$83,6,0)</f>
        <v>back</v>
      </c>
      <c r="G18" s="108">
        <f>VLOOKUP(B18,'Tabula Ref1'!$J$5:$Q$83,7,0)</f>
        <v>2</v>
      </c>
      <c r="H18" s="109">
        <f>VLOOKUP(B18,'Tabula Ref1'!$J$5:$Q$83,8,0)</f>
        <v>5.9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6688.6614131720116</v>
      </c>
      <c r="X18" s="285" t="s">
        <v>172</v>
      </c>
      <c r="Y18" s="97"/>
    </row>
    <row r="19" spans="1:25" ht="16.5" customHeight="1" thickTop="1" thickBot="1" x14ac:dyDescent="0.3">
      <c r="A19" s="96"/>
      <c r="B19" s="107" t="str">
        <f>'Tabula Ref1'!J13</f>
        <v>W8</v>
      </c>
      <c r="C19" s="108">
        <f>VLOOKUP(B19,'Tabula Ref1'!$J$5:$Q$83,3,0)</f>
        <v>1</v>
      </c>
      <c r="D19" s="108" t="str">
        <f>VLOOKUP(B19,'Tabula Ref1'!$J$5:$Q$83,4,0)</f>
        <v>Window</v>
      </c>
      <c r="E19" s="108">
        <f>VLOOKUP(B19,'Tabula Ref1'!$J$5:$Q$83,5,0)</f>
        <v>3.25</v>
      </c>
      <c r="F19" s="108" t="str">
        <f>VLOOKUP(B19,'Tabula Ref1'!$J$5:$Q$83,6,0)</f>
        <v>left</v>
      </c>
      <c r="G19" s="108">
        <f>VLOOKUP(B19,'Tabula Ref1'!$J$5:$Q$83,7,0)</f>
        <v>2</v>
      </c>
      <c r="H19" s="109">
        <f>VLOOKUP(B19,'Tabula Ref1'!$J$5:$Q$83,8,0)</f>
        <v>6.5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Ref1'!$J$5:$Q$83,3,0)</f>
        <v>1</v>
      </c>
      <c r="D21" s="108" t="str">
        <f>VLOOKUP(B21,'Tabula Ref1'!$J$5:$Q$83,4,0)</f>
        <v>Roof</v>
      </c>
      <c r="E21" s="108">
        <f>VLOOKUP(B21,'Tabula Ref1'!$J$5:$Q$83,5,0)</f>
        <v>0</v>
      </c>
      <c r="F21" s="108">
        <f>VLOOKUP(B21,'Tabula Ref1'!$J$5:$Q$83,6,0)</f>
        <v>0</v>
      </c>
      <c r="G21" s="108">
        <f>VLOOKUP(B21,'Tabula Ref1'!$J$5:$Q$83,7,0)</f>
        <v>0.3127301569316186</v>
      </c>
      <c r="H21" s="109">
        <f>VLOOKUP(B21,'Tabula Ref1'!$J$5:$Q$83,8,0)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4166.3219205191945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Ref1'!$J$5:$Q$83,3,0)</f>
        <v>1</v>
      </c>
      <c r="D22" s="108" t="str">
        <f>VLOOKUP(B22,'Tabula Ref1'!$J$5:$Q$83,4,0)</f>
        <v>Door</v>
      </c>
      <c r="E22" s="108">
        <f>VLOOKUP(B22,'Tabula Ref1'!$J$5:$Q$83,5,0)</f>
        <v>9.5</v>
      </c>
      <c r="F22" s="108">
        <f>VLOOKUP(B22,'Tabula Ref1'!$J$5:$Q$83,6,0)</f>
        <v>0</v>
      </c>
      <c r="G22" s="108">
        <f>VLOOKUP(B22,'Tabula Ref1'!$J$5:$Q$83,7,0)</f>
        <v>4</v>
      </c>
      <c r="H22" s="109">
        <f>VLOOKUP(B22,'Tabula Ref1'!$J$5:$Q$83,8,0)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Ref1'!$J$5:$Q$83,3,0)</f>
        <v>1</v>
      </c>
      <c r="D28" s="118" t="str">
        <f>VLOOKUP(B28,'Tabula Ref1'!$J$5:$Q$83,4,0)</f>
        <v>Floor</v>
      </c>
      <c r="E28" s="118">
        <f>VLOOKUP(B28,'Tabula Ref1'!$J$5:$Q$83,5,0)</f>
        <v>62</v>
      </c>
      <c r="F28" s="118">
        <f>VLOOKUP(B28,'Tabula Ref1'!$J$5:$Q$83,7,0)</f>
        <v>0.3056768558951965</v>
      </c>
      <c r="G28" s="119">
        <f>VLOOKUP(B28,'Tabula Ref1'!$J$5:$Q$83,8,0)</f>
        <v>18.951965065502183</v>
      </c>
      <c r="H28" s="119">
        <f>N28/F28*1.45/29*(21-12)</f>
        <v>0.34377515996148406</v>
      </c>
      <c r="I28" s="118">
        <f>'Tabula Ref1'!N14</f>
        <v>62</v>
      </c>
      <c r="J28" s="117">
        <f>SQRT(I28)*4</f>
        <v>31.496031496047245</v>
      </c>
      <c r="K28" s="117">
        <f>SUM('Tabula Ref1'!Y16:Y19)</f>
        <v>0.2225</v>
      </c>
      <c r="L28" s="120">
        <f>I28/(0.5*J28)</f>
        <v>3.9370039370059056</v>
      </c>
      <c r="M28" s="120">
        <f>K28+2*(1/F28)</f>
        <v>6.7653571428571428</v>
      </c>
      <c r="N28" s="121">
        <f>IF(M28&lt;L28,2*2/(PI()*L28+M28)*LN(PI()*L28/M28+1),2/(0.457*L28+M28))</f>
        <v>0.23352024451532155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7357.5275544892138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Ref1'!$J$5:$Q$83,2,0)=B$6,VLOOKUP(B33,'Tabula Ref1'!$J$5:$Q$83,2,0),VLOOKUP(B33,'Tabula Ref1'!$J$5:$Q$83,3,0))</f>
        <v>1</v>
      </c>
      <c r="D33" s="123">
        <f>IF(VLOOKUP(B33,'Tabula Ref1'!$J$5:$Q$83,2,0)=B$6,VLOOKUP(B33,'Tabula Ref1'!$J$5:$Q$83,3,0),VLOOKUP(B33,'Tabula Ref1'!$J$5:$Q$83,2,0))</f>
        <v>2</v>
      </c>
      <c r="E33" s="123" t="str">
        <f>VLOOKUP(B33,'Tabula Ref1'!$J$5:$Q$83,4,0)</f>
        <v>Floor internal</v>
      </c>
      <c r="F33" s="123">
        <f>VLOOKUP(B33,'Tabula Ref1'!$J$5:$Q$83,5,0)</f>
        <v>62</v>
      </c>
      <c r="G33" s="123">
        <f>VLOOKUP('Verwarming Tabula 2zone Ref1'!C33,'Tabula Ref1'!$A$34:$F$45,5,0)</f>
        <v>21</v>
      </c>
      <c r="H33" s="123">
        <f>VLOOKUP('Verwarming Tabula 2zone Ref1'!D33,'Tabula Ref1'!$A$34:$F$45,5,0)</f>
        <v>16</v>
      </c>
      <c r="I33" s="123">
        <f>VLOOKUP(B33,'Tabula Ref1'!$J$5:$Q$83,7,0)</f>
        <v>1.4911242603550294</v>
      </c>
      <c r="J33" s="119">
        <f>VLOOKUP(B33,'Tabula Ref1'!$J$5:$Q$83,8,0)</f>
        <v>92.449704142011825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Ref1'!$J$5:$Q$83,2,0)=B$6,VLOOKUP(B34,'Tabula Ref1'!$J$5:$Q$83,2,0),VLOOKUP(B34,'Tabula Ref1'!$J$5:$Q$83,3,0))</f>
        <v>1</v>
      </c>
      <c r="D34" s="123">
        <f>IF(VLOOKUP(B34,'Tabula Ref1'!$J$5:$Q$83,2,0)=B$6,VLOOKUP(B34,'Tabula Ref1'!$J$5:$Q$83,3,0),VLOOKUP(B34,'Tabula Ref1'!$J$5:$Q$83,2,0))</f>
        <v>1</v>
      </c>
      <c r="E34" s="123" t="str">
        <f>VLOOKUP(B34,'Tabula Ref1'!$J$5:$Q$83,4,0)</f>
        <v>Wall internal</v>
      </c>
      <c r="F34" s="123">
        <f>VLOOKUP(B34,'Tabula Ref1'!$J$5:$Q$83,5,0)</f>
        <v>68.065579028785521</v>
      </c>
      <c r="G34" s="123">
        <f>VLOOKUP('Verwarming Tabula 2zone Ref1'!C34,'Tabula Ref1'!$A$34:$F$45,5,0)</f>
        <v>21</v>
      </c>
      <c r="H34" s="123">
        <f>VLOOKUP('Verwarming Tabula 2zone Ref1'!D34,'Tabula Ref1'!$A$34:$F$45,5,0)</f>
        <v>21</v>
      </c>
      <c r="I34" s="123">
        <f>VLOOKUP(B34,'Tabula Ref1'!$J$5:$Q$83,7,0)</f>
        <v>1.7363344051446945</v>
      </c>
      <c r="J34" s="119">
        <f>VLOOKUP(B34,'Tabula Ref1'!$J$5:$Q$83,8,0)</f>
        <v>118.18460667377551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94.496004769090987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2740.3841383036388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22" t="s">
        <v>197</v>
      </c>
      <c r="B45" s="322"/>
      <c r="C45" s="322"/>
      <c r="D45" s="126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4.3447082702411146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Ref1'!B34</f>
        <v>37.036637321149861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Ref1'!G34</f>
        <v>62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37.036637321149861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0.17847089619967937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12.592456689190954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365.18124398653765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22" t="s">
        <v>213</v>
      </c>
      <c r="B63" s="322"/>
      <c r="C63" s="322"/>
      <c r="D63" s="322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Ref1'!B7</f>
        <v>62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Ref1'!$B$4)</f>
        <v>23.517241379310345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682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130.60570283759228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3787.5653822901763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85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22" t="s">
        <v>171</v>
      </c>
      <c r="B79" s="322"/>
      <c r="C79" s="322"/>
      <c r="D79" s="322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Ref1'!$J$5:$Q$83,3,0)</f>
        <v>2</v>
      </c>
      <c r="D84" s="108" t="str">
        <f>VLOOKUP(B84,'Tabula Ref1'!$J$5:$Q$83,4,0)</f>
        <v>Wall External</v>
      </c>
      <c r="E84" s="108">
        <f>VLOOKUP(B84,'Tabula Ref1'!$J$5:$Q$83,5,0)</f>
        <v>26.085502079619726</v>
      </c>
      <c r="F84" s="108" t="str">
        <f>VLOOKUP(B84,'Tabula Ref1'!$J$5:$Q$83,6,0)</f>
        <v>front</v>
      </c>
      <c r="G84" s="108">
        <f>VLOOKUP(B84,'Tabula Ref1'!$J$5:$Q$83,7,0)</f>
        <v>0.31684206193169995</v>
      </c>
      <c r="H84" s="109">
        <f>VLOOKUP(B84,'Tabula Ref1'!$J$5:$Q$83,8,0)</f>
        <v>8.2649842654303605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Ref1'!$J$5:$Q$83,3,0)</f>
        <v>2</v>
      </c>
      <c r="D85" s="108" t="str">
        <f>VLOOKUP(B85,'Tabula Ref1'!$J$5:$Q$83,4,0)</f>
        <v>Wall External</v>
      </c>
      <c r="E85" s="108">
        <f>VLOOKUP(B85,'Tabula Ref1'!$J$5:$Q$83,5,0)</f>
        <v>0</v>
      </c>
      <c r="F85" s="108" t="str">
        <f>VLOOKUP(B85,'Tabula Ref1'!$J$5:$Q$83,6,0)</f>
        <v>right</v>
      </c>
      <c r="G85" s="108">
        <f>VLOOKUP(B85,'Tabula Ref1'!$J$5:$Q$83,7,0)</f>
        <v>0.31684206193169995</v>
      </c>
      <c r="H85" s="109">
        <f>VLOOKUP(B85,'Tabula Ref1'!$J$5:$Q$83,8,0)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Ref1'!$J$5:$Q$83,3,0)</f>
        <v>2</v>
      </c>
      <c r="D86" s="108" t="str">
        <f>VLOOKUP(B86,'Tabula Ref1'!$J$5:$Q$83,4,0)</f>
        <v>Wall External</v>
      </c>
      <c r="E86" s="108">
        <f>VLOOKUP(B86,'Tabula Ref1'!$J$5:$Q$83,5,0)</f>
        <v>26.085502079619726</v>
      </c>
      <c r="F86" s="108" t="str">
        <f>VLOOKUP(B86,'Tabula Ref1'!$J$5:$Q$83,6,0)</f>
        <v>back</v>
      </c>
      <c r="G86" s="108">
        <f>VLOOKUP(B86,'Tabula Ref1'!$J$5:$Q$83,7,0)</f>
        <v>0.31684206193169995</v>
      </c>
      <c r="H86" s="109">
        <f>VLOOKUP(B86,'Tabula Ref1'!$J$5:$Q$83,8,0)</f>
        <v>8.2649842654303605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Ref1'!$J$5:$Q$83,3,0)</f>
        <v>2</v>
      </c>
      <c r="D87" s="108" t="str">
        <f>VLOOKUP(B87,'Tabula Ref1'!$J$5:$Q$83,4,0)</f>
        <v>Wall External</v>
      </c>
      <c r="E87" s="108">
        <f>VLOOKUP(B87,'Tabula Ref1'!$J$5:$Q$83,5,0)</f>
        <v>0</v>
      </c>
      <c r="F87" s="108" t="str">
        <f>VLOOKUP(B87,'Tabula Ref1'!$J$5:$Q$83,6,0)</f>
        <v>left</v>
      </c>
      <c r="G87" s="108">
        <f>VLOOKUP(B87,'Tabula Ref1'!$J$5:$Q$83,7,0)</f>
        <v>0.31684206193169995</v>
      </c>
      <c r="H87" s="109">
        <f>VLOOKUP(B87,'Tabula Ref1'!$J$5:$Q$83,8,0)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Ref1'!$J$5:$Q$83,3,0)</f>
        <v>2</v>
      </c>
      <c r="D88" s="108" t="str">
        <f>VLOOKUP(B88,'Tabula Ref1'!$J$5:$Q$83,4,0)</f>
        <v>Window</v>
      </c>
      <c r="E88" s="108">
        <f>VLOOKUP(B88,'Tabula Ref1'!$J$5:$Q$83,5,0)</f>
        <v>2.85</v>
      </c>
      <c r="F88" s="108" t="str">
        <f>VLOOKUP(B88,'Tabula Ref1'!$J$5:$Q$83,6,0)</f>
        <v>front</v>
      </c>
      <c r="G88" s="108">
        <f>VLOOKUP(B88,'Tabula Ref1'!$J$5:$Q$83,7,0)</f>
        <v>2</v>
      </c>
      <c r="H88" s="109">
        <f>VLOOKUP(B88,'Tabula Ref1'!$J$5:$Q$83,8,0)</f>
        <v>5.7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Ref1'!$J$5:$Q$83,3,0)</f>
        <v>2</v>
      </c>
      <c r="D89" s="108" t="str">
        <f>VLOOKUP(B89,'Tabula Ref1'!$J$5:$Q$83,4,0)</f>
        <v>Window</v>
      </c>
      <c r="E89" s="108">
        <f>VLOOKUP(B89,'Tabula Ref1'!$J$5:$Q$83,5,0)</f>
        <v>3.15</v>
      </c>
      <c r="F89" s="108" t="str">
        <f>VLOOKUP(B89,'Tabula Ref1'!$J$5:$Q$83,6,0)</f>
        <v>right</v>
      </c>
      <c r="G89" s="108">
        <f>VLOOKUP(B89,'Tabula Ref1'!$J$5:$Q$83,7,0)</f>
        <v>2</v>
      </c>
      <c r="H89" s="109">
        <f>VLOOKUP(B89,'Tabula Ref1'!$J$5:$Q$83,8,0)</f>
        <v>6.3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Ref1'!$J$5:$Q$83,3,0)</f>
        <v>2</v>
      </c>
      <c r="D90" s="108" t="str">
        <f>VLOOKUP(B90,'Tabula Ref1'!$J$5:$Q$83,4,0)</f>
        <v>Window</v>
      </c>
      <c r="E90" s="108">
        <f>VLOOKUP(B90,'Tabula Ref1'!$J$5:$Q$83,5,0)</f>
        <v>2.95</v>
      </c>
      <c r="F90" s="108" t="str">
        <f>VLOOKUP(B90,'Tabula Ref1'!$J$5:$Q$83,6,0)</f>
        <v>back</v>
      </c>
      <c r="G90" s="108">
        <f>VLOOKUP(B90,'Tabula Ref1'!$J$5:$Q$83,7,0)</f>
        <v>2</v>
      </c>
      <c r="H90" s="109">
        <f>VLOOKUP(B90,'Tabula Ref1'!$J$5:$Q$83,8,0)</f>
        <v>5.9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Ref1'!$J$5:$Q$83,3,0)</f>
        <v>2</v>
      </c>
      <c r="D91" s="108" t="str">
        <f>VLOOKUP(B91,'Tabula Ref1'!$J$5:$Q$83,4,0)</f>
        <v>Window</v>
      </c>
      <c r="E91" s="108">
        <f>VLOOKUP(B91,'Tabula Ref1'!$J$5:$Q$83,5,0)</f>
        <v>3.25</v>
      </c>
      <c r="F91" s="108" t="str">
        <f>VLOOKUP(B91,'Tabula Ref1'!$J$5:$Q$83,6,0)</f>
        <v>left</v>
      </c>
      <c r="G91" s="108">
        <f>VLOOKUP(B91,'Tabula Ref1'!$J$5:$Q$83,7,0)</f>
        <v>2</v>
      </c>
      <c r="H91" s="109">
        <f>VLOOKUP(B91,'Tabula Ref1'!$J$5:$Q$83,8,0)</f>
        <v>6.5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Ref1'!$J$5:$Q$83,3,0)</f>
        <v>2</v>
      </c>
      <c r="D92" s="108" t="str">
        <f>VLOOKUP(B92,'Tabula Ref1'!$J$5:$Q$83,4,0)</f>
        <v>Roof</v>
      </c>
      <c r="E92" s="108">
        <f>VLOOKUP(B92,'Tabula Ref1'!$J$5:$Q$83,5,0)</f>
        <v>78.599999999999994</v>
      </c>
      <c r="F92" s="108" t="str">
        <f>VLOOKUP(B92,'Tabula Ref1'!$J$5:$Q$83,6,0)</f>
        <v>front/back</v>
      </c>
      <c r="G92" s="108">
        <f>VLOOKUP(B92,'Tabula Ref1'!$J$5:$Q$83,7,0)</f>
        <v>0.3127301569316186</v>
      </c>
      <c r="H92" s="109">
        <f>VLOOKUP(B92,'Tabula Ref1'!$J$5:$Q$83,8,0)</f>
        <v>24.580590334825221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Ref1'!$J$5:$Q$83,2,0)=$B$78,VLOOKUP(B108,'Tabula Ref1'!$J$5:$Q$83,2,0),VLOOKUP(B108,'Tabula Ref1'!$J$5:$Q$83,3,0))</f>
        <v>2</v>
      </c>
      <c r="D108" s="123">
        <f>IF(VLOOKUP(B108,'Tabula Ref1'!$J$5:$Q$83,2,0)=$B$78,VLOOKUP(B108,'Tabula Ref1'!$J$5:$Q$83,3,0),VLOOKUP(B108,'Tabula Ref1'!$J$5:$Q$83,2,0))</f>
        <v>1</v>
      </c>
      <c r="E108" s="123" t="str">
        <f>VLOOKUP(B108,'Tabula Ref1'!$J$5:$Q$83,4,0)</f>
        <v>Floor internal</v>
      </c>
      <c r="F108" s="123">
        <f>VLOOKUP(B108,'Tabula Ref1'!$J$5:$Q$83,5,0)</f>
        <v>62</v>
      </c>
      <c r="G108" s="123">
        <f>VLOOKUP('Verwarming Tabula 2zone Ref1'!C108,'Tabula Ref1'!$A$34:$F$45,5,0)</f>
        <v>16</v>
      </c>
      <c r="H108" s="123">
        <f>VLOOKUP('Verwarming Tabula 2zone Ref1'!D108,'Tabula Ref1'!$A$34:$F$45,5,0)</f>
        <v>21</v>
      </c>
      <c r="I108" s="123">
        <f>VLOOKUP(B108,'Tabula Ref1'!$J$5:$Q$83,7,0)</f>
        <v>1.4911242603550294</v>
      </c>
      <c r="J108" s="119">
        <f>VLOOKUP(B108,'Tabula Ref1'!$J$5:$Q$83,8,0)</f>
        <v>92.449704142011825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Ref1'!$J$5:$Q$83,2,0)=$B$78,VLOOKUP(B109,'Tabula Ref1'!$J$5:$Q$83,2,0),VLOOKUP(B109,'Tabula Ref1'!$J$5:$Q$83,3,0))</f>
        <v>2</v>
      </c>
      <c r="D109" s="123">
        <f>IF(VLOOKUP(B109,'Tabula Ref1'!$J$5:$Q$83,2,0)=$B$78,VLOOKUP(B109,'Tabula Ref1'!$J$5:$Q$83,3,0),VLOOKUP(B109,'Tabula Ref1'!$J$5:$Q$83,2,0))</f>
        <v>2</v>
      </c>
      <c r="E109" s="123" t="str">
        <f>VLOOKUP(B109,'Tabula Ref1'!$J$5:$Q$83,4,0)</f>
        <v>Wall internal</v>
      </c>
      <c r="F109" s="123">
        <f>VLOOKUP(B109,'Tabula Ref1'!$J$5:$Q$83,5,0)</f>
        <v>116.69953307677261</v>
      </c>
      <c r="G109" s="123">
        <f>VLOOKUP('Verwarming Tabula 2zone Ref1'!C109,'Tabula Ref1'!$A$34:$F$45,5,0)</f>
        <v>16</v>
      </c>
      <c r="H109" s="123">
        <f>VLOOKUP('Verwarming Tabula 2zone Ref1'!D109,'Tabula Ref1'!$A$34:$F$45,5,0)</f>
        <v>16</v>
      </c>
      <c r="I109" s="123">
        <f>VLOOKUP(B109,'Tabula Ref1'!$J$5:$Q$83,7,0)</f>
        <v>1.7363344051446945</v>
      </c>
      <c r="J109" s="119">
        <f>VLOOKUP(B109,'Tabula Ref1'!$J$5:$Q$83,8,0)</f>
        <v>202.62941434552158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46.250203836100141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1110.0048920664035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22" t="s">
        <v>197</v>
      </c>
      <c r="B124" s="322"/>
      <c r="C124" s="322"/>
      <c r="D124" s="126" t="s">
        <v>225</v>
      </c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4.3447082702411146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Ref1'!$A$34:$F$45,2,0)*B127*B128*B129</f>
        <v>76.199894462675431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Ref1'!G35</f>
        <v>106.30000000000001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76.199894462675431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0.47777823073005754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0.34*(B137)</f>
        <v>25.90796411730965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621.79113881543162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22" t="s">
        <v>213</v>
      </c>
      <c r="B142" s="322"/>
      <c r="C142" s="322"/>
      <c r="D142" s="322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106.30000000000001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Ref1'!$B$4)</f>
        <v>146.16250000000002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1169.3000000000002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218.32066795340981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2901.0960308818353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85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22" t="s">
        <v>171</v>
      </c>
      <c r="B159" s="322"/>
      <c r="C159" s="322"/>
      <c r="D159" s="322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Ref1'!C188,'Gebouwgegevens Allacker'!$A$35:$F$46,5,0)</f>
        <v>#N/A</v>
      </c>
      <c r="H188" s="123" t="e">
        <f>VLOOKUP('Verwarming Tabula 2zone Ref1'!D188,'Gebouwgegevens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Ref1'!C189,'Gebouwgegevens Allacker'!$A$35:$F$46,5,0)</f>
        <v>#N/A</v>
      </c>
      <c r="H189" s="123" t="e">
        <f>VLOOKUP('Verwarming Tabula 2zone Ref1'!D189,'Gebouwgegevens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Ref1'!C190,'Gebouwgegevens Allacker'!$A$35:$F$46,5,0)</f>
        <v>#N/A</v>
      </c>
      <c r="H190" s="123" t="e">
        <f>VLOOKUP('Verwarming Tabula 2zone Ref1'!D190,'Gebouwgegevens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22" t="s">
        <v>197</v>
      </c>
      <c r="B204" s="322"/>
      <c r="C204" s="322"/>
      <c r="D204" s="126" t="s">
        <v>225</v>
      </c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22" t="s">
        <v>213</v>
      </c>
      <c r="B222" s="322"/>
      <c r="C222" s="322"/>
      <c r="D222" s="322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22" t="s">
        <v>171</v>
      </c>
      <c r="B238" s="322"/>
      <c r="C238" s="322"/>
      <c r="D238" s="322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Ref1'!C267,'Gebouwgegevens Allacker'!$A$35:$F$46,5,0)</f>
        <v>#N/A</v>
      </c>
      <c r="H267" s="123" t="e">
        <f>VLOOKUP('Verwarming Tabula 2zone Ref1'!D267,'Gebouwgegevens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Ref1'!C268,'Gebouwgegevens Allacker'!$A$35:$F$46,5,0)</f>
        <v>#N/A</v>
      </c>
      <c r="H268" s="123" t="e">
        <f>VLOOKUP('Verwarming Tabula 2zone Ref1'!D268,'Gebouwgegevens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Ref1'!C269,'Gebouwgegevens Allacker'!$A$35:$F$46,5,0)</f>
        <v>#N/A</v>
      </c>
      <c r="H269" s="123" t="e">
        <f>VLOOKUP('Verwarming Tabula 2zone Ref1'!D269,'Gebouwgegevens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Ref1'!C270,'Gebouwgegevens Allacker'!$A$35:$F$46,5,0)</f>
        <v>#N/A</v>
      </c>
      <c r="H270" s="123" t="e">
        <f>VLOOKUP('Verwarming Tabula 2zone Ref1'!D270,'Gebouwgegevens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22" t="s">
        <v>197</v>
      </c>
      <c r="B283" s="322"/>
      <c r="C283" s="322"/>
      <c r="D283" s="126" t="s">
        <v>225</v>
      </c>
      <c r="E283" s="285"/>
      <c r="F283" s="285"/>
      <c r="G283" s="285"/>
      <c r="H283" s="285"/>
      <c r="I283" s="285"/>
      <c r="J283" s="285"/>
      <c r="K283" s="285"/>
      <c r="L283" s="285"/>
      <c r="M283" s="285"/>
      <c r="N283" s="285"/>
      <c r="O283" s="28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22" t="s">
        <v>213</v>
      </c>
      <c r="B301" s="322"/>
      <c r="C301" s="322"/>
      <c r="D301" s="322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85"/>
      <c r="C315" s="285"/>
      <c r="D315" s="285"/>
      <c r="E315" s="285"/>
      <c r="F315" s="285"/>
      <c r="G315" s="285"/>
      <c r="H315" s="285"/>
      <c r="I315" s="285"/>
      <c r="J315" s="285"/>
      <c r="K315" s="285"/>
      <c r="L315" s="285"/>
      <c r="M315" s="285"/>
      <c r="N315" s="285"/>
      <c r="O315" s="285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22" t="s">
        <v>171</v>
      </c>
      <c r="B317" s="322"/>
      <c r="C317" s="322"/>
      <c r="D317" s="322"/>
      <c r="E317" s="285"/>
      <c r="F317" s="285"/>
      <c r="G317" s="285"/>
      <c r="H317" s="285"/>
      <c r="I317" s="285"/>
      <c r="J317" s="285"/>
      <c r="K317" s="285"/>
      <c r="L317" s="285"/>
      <c r="M317" s="285"/>
      <c r="N317" s="285"/>
      <c r="O317" s="28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Ref1'!C346,'Gebouwgegevens Allacker'!$A$35:$F$46,5,0)</f>
        <v>#N/A</v>
      </c>
      <c r="H346" s="123" t="e">
        <f>VLOOKUP('Verwarming Tabula 2zone Ref1'!D346,'Gebouwgegevens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Ref1'!C347,'Gebouwgegevens Allacker'!$A$35:$F$46,5,0)</f>
        <v>#N/A</v>
      </c>
      <c r="H347" s="123" t="e">
        <f>VLOOKUP('Verwarming Tabula 2zone Ref1'!D347,'Gebouwgegevens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Ref1'!C348,'Gebouwgegevens Allacker'!$A$35:$F$46,5,0)</f>
        <v>#N/A</v>
      </c>
      <c r="H348" s="123" t="e">
        <f>VLOOKUP('Verwarming Tabula 2zone Ref1'!D348,'Gebouwgegevens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Ref1'!C349,'Gebouwgegevens Allacker'!$A$35:$F$46,5,0)</f>
        <v>#N/A</v>
      </c>
      <c r="H349" s="123" t="e">
        <f>VLOOKUP('Verwarming Tabula 2zone Ref1'!D349,'Gebouwgegevens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Ref1'!C350,'Gebouwgegevens Allacker'!$A$35:$F$46,5,0)</f>
        <v>#N/A</v>
      </c>
      <c r="H350" s="123" t="e">
        <f>VLOOKUP('Verwarming Tabula 2zone Ref1'!D350,'Gebouwgegevens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22" t="s">
        <v>197</v>
      </c>
      <c r="B362" s="322"/>
      <c r="C362" s="322"/>
      <c r="D362" s="126" t="s">
        <v>225</v>
      </c>
      <c r="E362" s="285"/>
      <c r="F362" s="285"/>
      <c r="G362" s="285"/>
      <c r="H362" s="285"/>
      <c r="I362" s="285"/>
      <c r="J362" s="285"/>
      <c r="K362" s="285"/>
      <c r="L362" s="285"/>
      <c r="M362" s="285"/>
      <c r="N362" s="285"/>
      <c r="O362" s="28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22" t="s">
        <v>213</v>
      </c>
      <c r="B380" s="322"/>
      <c r="C380" s="322"/>
      <c r="D380" s="322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85"/>
      <c r="C393" s="285"/>
      <c r="D393" s="285"/>
      <c r="E393" s="285"/>
      <c r="F393" s="285"/>
      <c r="G393" s="285"/>
      <c r="H393" s="285"/>
      <c r="I393" s="285"/>
      <c r="J393" s="285"/>
      <c r="K393" s="285"/>
      <c r="L393" s="285"/>
      <c r="M393" s="285"/>
      <c r="N393" s="285"/>
      <c r="O393" s="285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22" t="s">
        <v>171</v>
      </c>
      <c r="B395" s="322"/>
      <c r="C395" s="322"/>
      <c r="D395" s="322"/>
      <c r="E395" s="285"/>
      <c r="F395" s="285"/>
      <c r="G395" s="285"/>
      <c r="H395" s="285"/>
      <c r="I395" s="285"/>
      <c r="J395" s="285"/>
      <c r="K395" s="285"/>
      <c r="L395" s="285"/>
      <c r="M395" s="285"/>
      <c r="N395" s="285"/>
      <c r="O395" s="28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Ref1'!C424,'Gebouwgegevens Allacker'!$A$35:$F$46,5,0)</f>
        <v>#N/A</v>
      </c>
      <c r="H424" s="123" t="e">
        <f>VLOOKUP('Verwarming Tabula 2zone Ref1'!D424,'Gebouwgegevens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Ref1'!C425,'Gebouwgegevens Allacker'!$A$35:$F$46,5,0)</f>
        <v>#N/A</v>
      </c>
      <c r="H425" s="123" t="e">
        <f>VLOOKUP('Verwarming Tabula 2zone Ref1'!D425,'Gebouwgegevens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Ref1'!C426,'Gebouwgegevens Allacker'!$A$35:$F$46,5,0)</f>
        <v>#N/A</v>
      </c>
      <c r="H426" s="123" t="e">
        <f>VLOOKUP('Verwarming Tabula 2zone Ref1'!D426,'Gebouwgegevens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Ref1'!C427,'Gebouwgegevens Allacker'!$A$35:$F$46,5,0)</f>
        <v>#N/A</v>
      </c>
      <c r="H427" s="123" t="e">
        <f>VLOOKUP('Verwarming Tabula 2zone Ref1'!D427,'Gebouwgegevens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Ref1'!C428,'Gebouwgegevens Allacker'!$A$35:$F$46,5,0)</f>
        <v>#N/A</v>
      </c>
      <c r="H428" s="123" t="e">
        <f>VLOOKUP('Verwarming Tabula 2zone Ref1'!D428,'Gebouwgegevens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22" t="s">
        <v>197</v>
      </c>
      <c r="B440" s="322"/>
      <c r="C440" s="322"/>
      <c r="D440" s="126" t="s">
        <v>225</v>
      </c>
      <c r="E440" s="285"/>
      <c r="F440" s="285"/>
      <c r="G440" s="285"/>
      <c r="H440" s="285"/>
      <c r="I440" s="285"/>
      <c r="J440" s="285"/>
      <c r="K440" s="285"/>
      <c r="L440" s="285"/>
      <c r="M440" s="285"/>
      <c r="N440" s="285"/>
      <c r="O440" s="28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22" t="s">
        <v>213</v>
      </c>
      <c r="B458" s="322"/>
      <c r="C458" s="322"/>
      <c r="D458" s="322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85"/>
      <c r="C471" s="285"/>
      <c r="D471" s="285"/>
      <c r="E471" s="285"/>
      <c r="F471" s="285"/>
      <c r="G471" s="285"/>
      <c r="H471" s="285"/>
      <c r="I471" s="285"/>
      <c r="J471" s="285"/>
      <c r="K471" s="285"/>
      <c r="L471" s="285"/>
      <c r="M471" s="285"/>
      <c r="N471" s="285"/>
      <c r="O471" s="285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22" t="s">
        <v>171</v>
      </c>
      <c r="B473" s="322"/>
      <c r="C473" s="322"/>
      <c r="D473" s="322"/>
      <c r="E473" s="285"/>
      <c r="F473" s="285"/>
      <c r="G473" s="285"/>
      <c r="H473" s="285"/>
      <c r="I473" s="285"/>
      <c r="J473" s="285"/>
      <c r="K473" s="285"/>
      <c r="L473" s="285"/>
      <c r="M473" s="285"/>
      <c r="N473" s="285"/>
      <c r="O473" s="28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Ref1'!C502,'Gebouwgegevens Allacker'!$A$35:$F$46,5,0)</f>
        <v>#N/A</v>
      </c>
      <c r="H502" s="123" t="e">
        <f>VLOOKUP('Verwarming Tabula 2zone Ref1'!D502,'Gebouwgegevens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Ref1'!C503,'Gebouwgegevens Allacker'!$A$35:$F$46,5,0)</f>
        <v>#N/A</v>
      </c>
      <c r="H503" s="123" t="e">
        <f>VLOOKUP('Verwarming Tabula 2zone Ref1'!D503,'Gebouwgegevens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Ref1'!C504,'Gebouwgegevens Allacker'!$A$35:$F$46,5,0)</f>
        <v>#N/A</v>
      </c>
      <c r="H504" s="123" t="e">
        <f>VLOOKUP('Verwarming Tabula 2zone Ref1'!D504,'Gebouwgegevens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22" t="s">
        <v>197</v>
      </c>
      <c r="B518" s="322"/>
      <c r="C518" s="322"/>
      <c r="D518" s="126" t="s">
        <v>225</v>
      </c>
      <c r="E518" s="285"/>
      <c r="F518" s="285"/>
      <c r="G518" s="285"/>
      <c r="H518" s="285"/>
      <c r="I518" s="285"/>
      <c r="J518" s="285"/>
      <c r="K518" s="285"/>
      <c r="L518" s="285"/>
      <c r="M518" s="285"/>
      <c r="N518" s="285"/>
      <c r="O518" s="28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22" t="s">
        <v>213</v>
      </c>
      <c r="B536" s="322"/>
      <c r="C536" s="322"/>
      <c r="D536" s="322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85"/>
      <c r="C550" s="285"/>
      <c r="D550" s="285"/>
      <c r="E550" s="285"/>
      <c r="F550" s="285"/>
      <c r="G550" s="285"/>
      <c r="H550" s="285"/>
      <c r="I550" s="285"/>
      <c r="J550" s="285"/>
      <c r="K550" s="285"/>
      <c r="L550" s="285"/>
      <c r="M550" s="285"/>
      <c r="N550" s="285"/>
      <c r="O550" s="285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22" t="s">
        <v>171</v>
      </c>
      <c r="B552" s="322"/>
      <c r="C552" s="322"/>
      <c r="D552" s="322"/>
      <c r="E552" s="285"/>
      <c r="F552" s="285"/>
      <c r="G552" s="285"/>
      <c r="H552" s="285"/>
      <c r="I552" s="285"/>
      <c r="J552" s="285"/>
      <c r="K552" s="285"/>
      <c r="L552" s="285"/>
      <c r="M552" s="285"/>
      <c r="N552" s="285"/>
      <c r="O552" s="28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Ref1'!C581,'Gebouwgegevens Allacker'!$A$35:$F$46,5,0)</f>
        <v>#N/A</v>
      </c>
      <c r="H581" s="123" t="e">
        <f>VLOOKUP('Verwarming Tabula 2zone Ref1'!D581,'Gebouwgegevens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Ref1'!C582,'Gebouwgegevens Allacker'!$A$35:$F$46,5,0)</f>
        <v>#N/A</v>
      </c>
      <c r="H582" s="123" t="e">
        <f>VLOOKUP('Verwarming Tabula 2zone Ref1'!D582,'Gebouwgegevens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Ref1'!C583,'Gebouwgegevens Allacker'!$A$35:$F$46,5,0)</f>
        <v>#N/A</v>
      </c>
      <c r="H583" s="123" t="e">
        <f>VLOOKUP('Verwarming Tabula 2zone Ref1'!D583,'Gebouwgegevens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22" t="s">
        <v>197</v>
      </c>
      <c r="B597" s="322"/>
      <c r="C597" s="322"/>
      <c r="D597" s="126" t="s">
        <v>225</v>
      </c>
      <c r="E597" s="285"/>
      <c r="F597" s="285"/>
      <c r="G597" s="285"/>
      <c r="H597" s="285"/>
      <c r="I597" s="285"/>
      <c r="J597" s="285"/>
      <c r="K597" s="285"/>
      <c r="L597" s="285"/>
      <c r="M597" s="285"/>
      <c r="N597" s="285"/>
      <c r="O597" s="28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22" t="s">
        <v>213</v>
      </c>
      <c r="B615" s="322"/>
      <c r="C615" s="322"/>
      <c r="D615" s="322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85"/>
      <c r="C629" s="285"/>
      <c r="D629" s="285"/>
      <c r="E629" s="285"/>
      <c r="F629" s="285"/>
      <c r="G629" s="285"/>
      <c r="H629" s="285"/>
      <c r="I629" s="285"/>
      <c r="J629" s="285"/>
      <c r="K629" s="285"/>
      <c r="L629" s="285"/>
      <c r="M629" s="285"/>
      <c r="N629" s="285"/>
      <c r="O629" s="285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22" t="s">
        <v>171</v>
      </c>
      <c r="B631" s="322"/>
      <c r="C631" s="322"/>
      <c r="D631" s="322"/>
      <c r="E631" s="285"/>
      <c r="F631" s="285"/>
      <c r="G631" s="285"/>
      <c r="H631" s="285"/>
      <c r="I631" s="285"/>
      <c r="J631" s="285"/>
      <c r="K631" s="285"/>
      <c r="L631" s="285"/>
      <c r="M631" s="285"/>
      <c r="N631" s="285"/>
      <c r="O631" s="28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Ref1'!C660,'Gebouwgegevens Allacker'!$A$35:$F$46,5,0)</f>
        <v>#N/A</v>
      </c>
      <c r="H660" s="123" t="e">
        <f>VLOOKUP('Verwarming Tabula 2zone Ref1'!D660,'Gebouwgegevens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Ref1'!C661,'Gebouwgegevens Allacker'!$A$35:$F$46,5,0)</f>
        <v>#N/A</v>
      </c>
      <c r="H661" s="123" t="e">
        <f>VLOOKUP('Verwarming Tabula 2zone Ref1'!D661,'Gebouwgegevens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22" t="s">
        <v>197</v>
      </c>
      <c r="B676" s="322"/>
      <c r="C676" s="322"/>
      <c r="D676" s="126" t="s">
        <v>225</v>
      </c>
      <c r="E676" s="285"/>
      <c r="F676" s="285"/>
      <c r="G676" s="285"/>
      <c r="H676" s="285"/>
      <c r="I676" s="285"/>
      <c r="J676" s="285"/>
      <c r="K676" s="285"/>
      <c r="L676" s="285"/>
      <c r="M676" s="285"/>
      <c r="N676" s="285"/>
      <c r="O676" s="28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22" t="s">
        <v>213</v>
      </c>
      <c r="B694" s="322"/>
      <c r="C694" s="322"/>
      <c r="D694" s="322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85"/>
      <c r="C708" s="285"/>
      <c r="D708" s="285"/>
      <c r="E708" s="285"/>
      <c r="F708" s="285"/>
      <c r="G708" s="285"/>
      <c r="H708" s="285"/>
      <c r="I708" s="285"/>
      <c r="J708" s="285"/>
      <c r="K708" s="285"/>
      <c r="L708" s="285"/>
      <c r="M708" s="285"/>
      <c r="N708" s="285"/>
      <c r="O708" s="285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22" t="s">
        <v>171</v>
      </c>
      <c r="B710" s="322"/>
      <c r="C710" s="322"/>
      <c r="D710" s="322"/>
      <c r="E710" s="285"/>
      <c r="F710" s="285"/>
      <c r="G710" s="285"/>
      <c r="H710" s="285"/>
      <c r="I710" s="285"/>
      <c r="J710" s="285"/>
      <c r="K710" s="285"/>
      <c r="L710" s="285"/>
      <c r="M710" s="285"/>
      <c r="N710" s="285"/>
      <c r="O710" s="28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Ref1'!C739,'Gebouwgegevens Allacker'!$A$35:$F$46,5,0)</f>
        <v>#N/A</v>
      </c>
      <c r="H739" s="123" t="e">
        <f>VLOOKUP('Verwarming Tabula 2zone Ref1'!D739,'Gebouwgegevens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Ref1'!C740,'Gebouwgegevens Allacker'!$A$35:$F$46,5,0)</f>
        <v>#N/A</v>
      </c>
      <c r="H740" s="123" t="e">
        <f>VLOOKUP('Verwarming Tabula 2zone Ref1'!D740,'Gebouwgegevens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Ref1'!C741,'Gebouwgegevens Allacker'!$A$35:$F$46,5,0)</f>
        <v>#N/A</v>
      </c>
      <c r="H741" s="123" t="e">
        <f>VLOOKUP('Verwarming Tabula 2zone Ref1'!D741,'Gebouwgegevens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Ref1'!C742,'Gebouwgegevens Allacker'!$A$35:$F$46,5,0)</f>
        <v>#N/A</v>
      </c>
      <c r="H742" s="123" t="e">
        <f>VLOOKUP('Verwarming Tabula 2zone Ref1'!D742,'Gebouwgegevens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Ref1'!C743,'Gebouwgegevens Allacker'!$A$35:$F$46,5,0)</f>
        <v>#N/A</v>
      </c>
      <c r="H743" s="123" t="e">
        <f>VLOOKUP('Verwarming Tabula 2zone Ref1'!D743,'Gebouwgegevens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Ref1'!C744,'Gebouwgegevens Allacker'!$A$35:$F$46,5,0)</f>
        <v>#N/A</v>
      </c>
      <c r="H744" s="123" t="e">
        <f>VLOOKUP('Verwarming Tabula 2zone Ref1'!D744,'Gebouwgegevens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Ref1'!C745,'Gebouwgegevens Allacker'!$A$35:$F$46,5,0)</f>
        <v>#N/A</v>
      </c>
      <c r="H745" s="123" t="e">
        <f>VLOOKUP('Verwarming Tabula 2zone Ref1'!D745,'Gebouwgegevens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Ref1'!C746,'Gebouwgegevens Allacker'!$A$35:$F$46,5,0)</f>
        <v>#N/A</v>
      </c>
      <c r="H746" s="123" t="e">
        <f>VLOOKUP('Verwarming Tabula 2zone Ref1'!D746,'Gebouwgegevens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Ref1'!C747,'Gebouwgegevens Allacker'!$A$35:$F$46,5,0)</f>
        <v>#N/A</v>
      </c>
      <c r="H747" s="123" t="e">
        <f>VLOOKUP('Verwarming Tabula 2zone Ref1'!D747,'Gebouwgegevens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Ref1'!C748,'Gebouwgegevens Allacker'!$A$35:$F$46,5,0)</f>
        <v>#N/A</v>
      </c>
      <c r="H748" s="123" t="e">
        <f>VLOOKUP('Verwarming Tabula 2zone Ref1'!D748,'Gebouwgegevens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Ref1'!C749,'Gebouwgegevens Allacker'!$A$35:$F$46,5,0)</f>
        <v>#N/A</v>
      </c>
      <c r="H749" s="123" t="e">
        <f>VLOOKUP('Verwarming Tabula 2zone Ref1'!D749,'Gebouwgegevens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Ref1'!C750,'Gebouwgegevens Allacker'!$A$35:$F$46,5,0)</f>
        <v>#N/A</v>
      </c>
      <c r="H750" s="123" t="e">
        <f>VLOOKUP('Verwarming Tabula 2zone Ref1'!D750,'Gebouwgegevens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22" t="s">
        <v>197</v>
      </c>
      <c r="B755" s="322"/>
      <c r="C755" s="322"/>
      <c r="D755" s="126" t="s">
        <v>225</v>
      </c>
      <c r="E755" s="285"/>
      <c r="F755" s="285"/>
      <c r="G755" s="285"/>
      <c r="H755" s="285"/>
      <c r="I755" s="285"/>
      <c r="J755" s="285"/>
      <c r="K755" s="285"/>
      <c r="L755" s="285"/>
      <c r="M755" s="285"/>
      <c r="N755" s="285"/>
      <c r="O755" s="28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22" t="s">
        <v>213</v>
      </c>
      <c r="B773" s="322"/>
      <c r="C773" s="322"/>
      <c r="D773" s="322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7" zoomScaleNormal="100" workbookViewId="0">
      <selection activeCell="W7" sqref="W7:W8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20" t="s">
        <v>164</v>
      </c>
      <c r="B1" s="320"/>
      <c r="C1" s="320"/>
      <c r="D1" s="320"/>
      <c r="E1" s="320"/>
      <c r="F1" s="320"/>
      <c r="G1" s="320"/>
      <c r="H1" s="320"/>
      <c r="I1" s="320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85"/>
      <c r="W4" s="285"/>
      <c r="X4" s="285"/>
      <c r="Y4" s="95"/>
    </row>
    <row r="5" spans="1:25" ht="18" customHeight="1" thickTop="1" thickBot="1" x14ac:dyDescent="0.3">
      <c r="A5" s="9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95"/>
      <c r="U5" s="96"/>
      <c r="V5" s="317" t="s">
        <v>168</v>
      </c>
      <c r="W5" s="317"/>
      <c r="X5" s="317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85"/>
      <c r="Y6" s="97"/>
    </row>
    <row r="7" spans="1:25" ht="16.5" customHeight="1" thickTop="1" x14ac:dyDescent="0.25">
      <c r="A7" s="322" t="s">
        <v>171</v>
      </c>
      <c r="B7" s="322"/>
      <c r="C7" s="322"/>
      <c r="D7" s="322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95"/>
      <c r="U7" s="96"/>
      <c r="V7" s="102">
        <f>B6</f>
        <v>1</v>
      </c>
      <c r="W7" s="103">
        <f>B73</f>
        <v>3047.0365880121044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1955.5168452733142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Ref2'!J6</f>
        <v>W1</v>
      </c>
      <c r="C12" s="108">
        <f>VLOOKUP(B12,'Tabula Ref2'!$J$5:$Q$83,3,0)</f>
        <v>1</v>
      </c>
      <c r="D12" s="108" t="str">
        <f>VLOOKUP(B12,'Tabula Ref2'!$J$5:$Q$83,4,0)</f>
        <v>Wall External</v>
      </c>
      <c r="E12" s="108">
        <f>VLOOKUP(B12,'Tabula Ref2'!$J$5:$Q$83,5,0)</f>
        <v>15.214497920380273</v>
      </c>
      <c r="F12" s="108" t="str">
        <f>VLOOKUP(B12,'Tabula Ref2'!$J$5:$Q$83,6,0)</f>
        <v>front</v>
      </c>
      <c r="G12" s="108">
        <f>VLOOKUP(B12,'Tabula Ref2'!$J$5:$Q$83,7,0)</f>
        <v>0.19316281128097962</v>
      </c>
      <c r="H12" s="109">
        <f>VLOOKUP(B12,'Tabula Ref2'!$J$5:$Q$83,8,0)</f>
        <v>2.9388751905292714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Ref2'!J7</f>
        <v>W2</v>
      </c>
      <c r="C13" s="108">
        <f>VLOOKUP(B13,'Tabula Ref2'!$J$5:$Q$83,3,0)</f>
        <v>1</v>
      </c>
      <c r="D13" s="108" t="str">
        <f>VLOOKUP(B13,'Tabula Ref2'!$J$5:$Q$83,4,0)</f>
        <v>Wall External</v>
      </c>
      <c r="E13" s="108">
        <f>VLOOKUP(B13,'Tabula Ref2'!$J$5:$Q$83,5,0)</f>
        <v>0</v>
      </c>
      <c r="F13" s="108" t="str">
        <f>VLOOKUP(B13,'Tabula Ref2'!$J$5:$Q$83,6,0)</f>
        <v>right</v>
      </c>
      <c r="G13" s="108">
        <f>VLOOKUP(B13,'Tabula Ref2'!$J$5:$Q$83,7,0)</f>
        <v>0.19316281128097962</v>
      </c>
      <c r="H13" s="109">
        <f>VLOOKUP(B13,'Tabula Ref2'!$J$5:$Q$83,8,0)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Ref2'!J8</f>
        <v>W3</v>
      </c>
      <c r="C14" s="108">
        <f>VLOOKUP(B14,'Tabula Ref2'!$J$5:$Q$83,3,0)</f>
        <v>1</v>
      </c>
      <c r="D14" s="108" t="str">
        <f>VLOOKUP(B14,'Tabula Ref2'!$J$5:$Q$83,4,0)</f>
        <v>Wall External</v>
      </c>
      <c r="E14" s="108">
        <f>VLOOKUP(B14,'Tabula Ref2'!$J$5:$Q$83,5,0)</f>
        <v>15.214497920380273</v>
      </c>
      <c r="F14" s="108" t="str">
        <f>VLOOKUP(B14,'Tabula Ref2'!$J$5:$Q$83,6,0)</f>
        <v>back</v>
      </c>
      <c r="G14" s="108">
        <f>VLOOKUP(B14,'Tabula Ref2'!$J$5:$Q$83,7,0)</f>
        <v>0.19316281128097962</v>
      </c>
      <c r="H14" s="109">
        <f>VLOOKUP(B14,'Tabula Ref2'!$J$5:$Q$83,8,0)</f>
        <v>2.9388751905292714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Ref2'!J9</f>
        <v>W4</v>
      </c>
      <c r="C15" s="108">
        <f>VLOOKUP(B15,'Tabula Ref2'!$J$5:$Q$83,3,0)</f>
        <v>1</v>
      </c>
      <c r="D15" s="108" t="str">
        <f>VLOOKUP(B15,'Tabula Ref2'!$J$5:$Q$83,4,0)</f>
        <v>Wall External</v>
      </c>
      <c r="E15" s="108">
        <f>VLOOKUP(B15,'Tabula Ref2'!$J$5:$Q$83,5,0)</f>
        <v>0</v>
      </c>
      <c r="F15" s="108" t="str">
        <f>VLOOKUP(B15,'Tabula Ref2'!$J$5:$Q$83,6,0)</f>
        <v>left</v>
      </c>
      <c r="G15" s="108">
        <f>VLOOKUP(B15,'Tabula Ref2'!$J$5:$Q$83,7,0)</f>
        <v>0.19316281128097962</v>
      </c>
      <c r="H15" s="109">
        <f>VLOOKUP(B15,'Tabula Ref2'!$J$5:$Q$83,8,0)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Ref2'!J10</f>
        <v>W5</v>
      </c>
      <c r="C16" s="108">
        <f>VLOOKUP(B16,'Tabula Ref2'!$J$5:$Q$83,3,0)</f>
        <v>1</v>
      </c>
      <c r="D16" s="108" t="str">
        <f>VLOOKUP(B16,'Tabula Ref2'!$J$5:$Q$83,4,0)</f>
        <v>Window</v>
      </c>
      <c r="E16" s="108">
        <f>VLOOKUP(B16,'Tabula Ref2'!$J$5:$Q$83,5,0)</f>
        <v>2.85</v>
      </c>
      <c r="F16" s="108" t="str">
        <f>VLOOKUP(B16,'Tabula Ref2'!$J$5:$Q$83,6,0)</f>
        <v>front</v>
      </c>
      <c r="G16" s="108">
        <f>VLOOKUP(B16,'Tabula Ref2'!$J$5:$Q$83,7,0)</f>
        <v>1.1000000000000001</v>
      </c>
      <c r="H16" s="109">
        <f>VLOOKUP(B16,'Tabula Ref2'!$J$5:$Q$83,8,0)</f>
        <v>3.1350000000000002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Ref2'!J11</f>
        <v>W6</v>
      </c>
      <c r="C17" s="108">
        <f>VLOOKUP(B17,'Tabula Ref2'!$J$5:$Q$83,3,0)</f>
        <v>1</v>
      </c>
      <c r="D17" s="108" t="str">
        <f>VLOOKUP(B17,'Tabula Ref2'!$J$5:$Q$83,4,0)</f>
        <v>Window</v>
      </c>
      <c r="E17" s="108">
        <f>VLOOKUP(B17,'Tabula Ref2'!$J$5:$Q$83,5,0)</f>
        <v>3.15</v>
      </c>
      <c r="F17" s="108" t="str">
        <f>VLOOKUP(B17,'Tabula Ref2'!$J$5:$Q$83,6,0)</f>
        <v>right</v>
      </c>
      <c r="G17" s="108">
        <f>VLOOKUP(B17,'Tabula Ref2'!$J$5:$Q$83,7,0)</f>
        <v>1.1000000000000001</v>
      </c>
      <c r="H17" s="109">
        <f>VLOOKUP(B17,'Tabula Ref2'!$J$5:$Q$83,8,0)</f>
        <v>3.4650000000000003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Ref2'!J12</f>
        <v>W7</v>
      </c>
      <c r="C18" s="108">
        <f>VLOOKUP(B18,'Tabula Ref2'!$J$5:$Q$83,3,0)</f>
        <v>1</v>
      </c>
      <c r="D18" s="108" t="str">
        <f>VLOOKUP(B18,'Tabula Ref2'!$J$5:$Q$83,4,0)</f>
        <v>Window</v>
      </c>
      <c r="E18" s="108">
        <f>VLOOKUP(B18,'Tabula Ref2'!$J$5:$Q$83,5,0)</f>
        <v>2.95</v>
      </c>
      <c r="F18" s="108" t="str">
        <f>VLOOKUP(B18,'Tabula Ref2'!$J$5:$Q$83,6,0)</f>
        <v>back</v>
      </c>
      <c r="G18" s="108">
        <f>VLOOKUP(B18,'Tabula Ref2'!$J$5:$Q$83,7,0)</f>
        <v>1.1000000000000001</v>
      </c>
      <c r="H18" s="109">
        <f>VLOOKUP(B18,'Tabula Ref2'!$J$5:$Q$83,8,0)</f>
        <v>3.2450000000000006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5002.5534332854186</v>
      </c>
      <c r="X18" s="285" t="s">
        <v>172</v>
      </c>
      <c r="Y18" s="97"/>
    </row>
    <row r="19" spans="1:25" ht="16.5" customHeight="1" thickTop="1" thickBot="1" x14ac:dyDescent="0.3">
      <c r="A19" s="96"/>
      <c r="B19" s="107" t="str">
        <f>'Tabula Ref2'!J13</f>
        <v>W8</v>
      </c>
      <c r="C19" s="108">
        <f>VLOOKUP(B19,'Tabula Ref2'!$J$5:$Q$83,3,0)</f>
        <v>1</v>
      </c>
      <c r="D19" s="108" t="str">
        <f>VLOOKUP(B19,'Tabula Ref2'!$J$5:$Q$83,4,0)</f>
        <v>Window</v>
      </c>
      <c r="E19" s="108">
        <f>VLOOKUP(B19,'Tabula Ref2'!$J$5:$Q$83,5,0)</f>
        <v>3.25</v>
      </c>
      <c r="F19" s="108" t="str">
        <f>VLOOKUP(B19,'Tabula Ref2'!$J$5:$Q$83,6,0)</f>
        <v>left</v>
      </c>
      <c r="G19" s="108">
        <f>VLOOKUP(B19,'Tabula Ref2'!$J$5:$Q$83,7,0)</f>
        <v>1.1000000000000001</v>
      </c>
      <c r="H19" s="109">
        <f>VLOOKUP(B19,'Tabula Ref2'!$J$5:$Q$83,8,0)</f>
        <v>3.5750000000000002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Ref2'!$J$5:$Q$83,3,0)</f>
        <v>1</v>
      </c>
      <c r="D21" s="108" t="str">
        <f>VLOOKUP(B21,'Tabula Ref2'!$J$5:$Q$83,4,0)</f>
        <v>Roof</v>
      </c>
      <c r="E21" s="108">
        <f>VLOOKUP(B21,'Tabula Ref2'!$J$5:$Q$83,5,0)</f>
        <v>0</v>
      </c>
      <c r="F21" s="108">
        <f>VLOOKUP(B21,'Tabula Ref2'!$J$5:$Q$83,6,0)</f>
        <v>0</v>
      </c>
      <c r="G21" s="108">
        <f>VLOOKUP(B21,'Tabula Ref2'!$J$5:$Q$83,7,0)</f>
        <v>0.1523066735339563</v>
      </c>
      <c r="H21" s="109">
        <f>VLOOKUP(B21,'Tabula Ref2'!$J$5:$Q$83,8,0)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3351.740246813315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Ref2'!$J$5:$Q$83,3,0)</f>
        <v>1</v>
      </c>
      <c r="D22" s="108" t="str">
        <f>VLOOKUP(B22,'Tabula Ref2'!$J$5:$Q$83,4,0)</f>
        <v>Door</v>
      </c>
      <c r="E22" s="108">
        <f>VLOOKUP(B22,'Tabula Ref2'!$J$5:$Q$83,5,0)</f>
        <v>9.5</v>
      </c>
      <c r="F22" s="108">
        <f>VLOOKUP(B22,'Tabula Ref2'!$J$5:$Q$83,6,0)</f>
        <v>0</v>
      </c>
      <c r="G22" s="108">
        <f>VLOOKUP(B22,'Tabula Ref2'!$J$5:$Q$83,7,0)</f>
        <v>4</v>
      </c>
      <c r="H22" s="109">
        <f>VLOOKUP(B22,'Tabula Ref2'!$J$5:$Q$83,8,0)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Ref2'!$J$5:$Q$83,3,0)</f>
        <v>1</v>
      </c>
      <c r="D28" s="118" t="str">
        <f>VLOOKUP(B28,'Tabula Ref2'!$J$5:$Q$83,4,0)</f>
        <v>Floor</v>
      </c>
      <c r="E28" s="118">
        <f>VLOOKUP(B28,'Tabula Ref2'!$J$5:$Q$83,5,0)</f>
        <v>62</v>
      </c>
      <c r="F28" s="118">
        <f>VLOOKUP(B28,'Tabula Ref2'!$J$5:$Q$83,7,0)</f>
        <v>0.18202831551574691</v>
      </c>
      <c r="G28" s="119">
        <f>VLOOKUP(B28,'Tabula Ref2'!$J$5:$Q$83,8,0)</f>
        <v>11.285755561976309</v>
      </c>
      <c r="H28" s="119">
        <f>N28/F28*1.45/29*(21-12)</f>
        <v>0.3804317317787877</v>
      </c>
      <c r="I28" s="118">
        <f>'Tabula Ref2'!N14</f>
        <v>62</v>
      </c>
      <c r="J28" s="117">
        <f>SQRT(I28)*4</f>
        <v>31.496031496047245</v>
      </c>
      <c r="K28" s="117">
        <f>SUM('Tabula Ref2'!Y16:Y19)</f>
        <v>0.21000000000000002</v>
      </c>
      <c r="L28" s="120">
        <f>I28/(0.5*J28)</f>
        <v>3.9370039370059056</v>
      </c>
      <c r="M28" s="120">
        <f>K28+2*(1/F28)</f>
        <v>11.197301587301586</v>
      </c>
      <c r="N28" s="121">
        <f>IF(M28&lt;L28,2*2/(PI()*L28+M28)*LN(PI()*L28/M28+1),2/(0.457*L28+M28))</f>
        <v>0.15388743845429148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5502.8087766139606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Ref2'!$J$5:$Q$83,2,0)=B$6,VLOOKUP(B33,'Tabula Ref2'!$J$5:$Q$83,2,0),VLOOKUP(B33,'Tabula Ref2'!$J$5:$Q$83,3,0))</f>
        <v>1</v>
      </c>
      <c r="D33" s="123">
        <f>IF(VLOOKUP(B33,'Tabula Ref2'!$J$5:$Q$83,2,0)=B$6,VLOOKUP(B33,'Tabula Ref2'!$J$5:$Q$83,3,0),VLOOKUP(B33,'Tabula Ref2'!$J$5:$Q$83,2,0))</f>
        <v>2</v>
      </c>
      <c r="E33" s="123" t="str">
        <f>VLOOKUP(B33,'Tabula Ref2'!$J$5:$Q$83,4,0)</f>
        <v>Floor internal</v>
      </c>
      <c r="F33" s="123">
        <f>VLOOKUP(B33,'Tabula Ref2'!$J$5:$Q$83,5,0)</f>
        <v>62</v>
      </c>
      <c r="G33" s="123">
        <f>VLOOKUP('Verwarming Tabula 2zone Ref2'!C33,'Tabula Ref2'!$A$34:$F$45,5,0)</f>
        <v>21</v>
      </c>
      <c r="H33" s="123">
        <f>VLOOKUP('Verwarming Tabula 2zone Ref2'!D33,'Tabula Ref2'!$A$34:$F$45,5,0)</f>
        <v>16</v>
      </c>
      <c r="I33" s="123">
        <f>VLOOKUP(B33,'Tabula Ref2'!$J$5:$Q$83,7,0)</f>
        <v>1.4911242603550294</v>
      </c>
      <c r="J33" s="119">
        <f>VLOOKUP(B33,'Tabula Ref2'!$J$5:$Q$83,8,0)</f>
        <v>92.449704142011825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Ref2'!$J$5:$Q$83,2,0)=B$6,VLOOKUP(B34,'Tabula Ref2'!$J$5:$Q$83,2,0),VLOOKUP(B34,'Tabula Ref2'!$J$5:$Q$83,3,0))</f>
        <v>1</v>
      </c>
      <c r="D34" s="123">
        <f>IF(VLOOKUP(B34,'Tabula Ref2'!$J$5:$Q$83,2,0)=B$6,VLOOKUP(B34,'Tabula Ref2'!$J$5:$Q$83,3,0),VLOOKUP(B34,'Tabula Ref2'!$J$5:$Q$83,2,0))</f>
        <v>1</v>
      </c>
      <c r="E34" s="123" t="str">
        <f>VLOOKUP(B34,'Tabula Ref2'!$J$5:$Q$83,4,0)</f>
        <v>Wall internal</v>
      </c>
      <c r="F34" s="123">
        <f>VLOOKUP(B34,'Tabula Ref2'!$J$5:$Q$83,5,0)</f>
        <v>68.065579028785521</v>
      </c>
      <c r="G34" s="123">
        <f>VLOOKUP('Verwarming Tabula 2zone Ref2'!C34,'Tabula Ref2'!$A$34:$F$45,5,0)</f>
        <v>21</v>
      </c>
      <c r="H34" s="123">
        <f>VLOOKUP('Verwarming Tabula 2zone Ref2'!D34,'Tabula Ref2'!$A$34:$F$45,5,0)</f>
        <v>21</v>
      </c>
      <c r="I34" s="123">
        <f>VLOOKUP(B34,'Tabula Ref2'!$J$5:$Q$83,7,0)</f>
        <v>1.7363344051446945</v>
      </c>
      <c r="J34" s="119">
        <f>VLOOKUP(B34,'Tabula Ref2'!$J$5:$Q$83,8,0)</f>
        <v>118.18460667377551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77.530814076349117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2248.3936082141245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22" t="s">
        <v>197</v>
      </c>
      <c r="B45" s="322"/>
      <c r="C45" s="322"/>
      <c r="D45" s="126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data'!F33</f>
        <v>1.3877484874675885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Ref2'!B34</f>
        <v>11.829916815210932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Ref2'!G34</f>
        <v>62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11.829916815210932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5.7005603334638895E-2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4.0221717171717177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116.64297979797982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22" t="s">
        <v>213</v>
      </c>
      <c r="B63" s="322"/>
      <c r="C63" s="322"/>
      <c r="D63" s="322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Ref2'!B7</f>
        <v>62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Ref2'!$B$4)</f>
        <v>23.517241379310345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682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105.07022717283118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3047.0365880121044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85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22" t="s">
        <v>171</v>
      </c>
      <c r="B79" s="322"/>
      <c r="C79" s="322"/>
      <c r="D79" s="322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Ref2'!$J$5:$Q$83,3,0)</f>
        <v>2</v>
      </c>
      <c r="D84" s="108" t="str">
        <f>VLOOKUP(B84,'Tabula Ref2'!$J$5:$Q$83,4,0)</f>
        <v>Wall External</v>
      </c>
      <c r="E84" s="108">
        <f>VLOOKUP(B84,'Tabula Ref2'!$J$5:$Q$83,5,0)</f>
        <v>26.085502079619726</v>
      </c>
      <c r="F84" s="108" t="str">
        <f>VLOOKUP(B84,'Tabula Ref2'!$J$5:$Q$83,6,0)</f>
        <v>front</v>
      </c>
      <c r="G84" s="108">
        <f>VLOOKUP(B84,'Tabula Ref2'!$J$5:$Q$83,7,0)</f>
        <v>0.19316281128097962</v>
      </c>
      <c r="H84" s="109">
        <f>VLOOKUP(B84,'Tabula Ref2'!$J$5:$Q$83,8,0)</f>
        <v>5.0387489153751863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Ref2'!$J$5:$Q$83,3,0)</f>
        <v>2</v>
      </c>
      <c r="D85" s="108" t="str">
        <f>VLOOKUP(B85,'Tabula Ref2'!$J$5:$Q$83,4,0)</f>
        <v>Wall External</v>
      </c>
      <c r="E85" s="108">
        <f>VLOOKUP(B85,'Tabula Ref2'!$J$5:$Q$83,5,0)</f>
        <v>0</v>
      </c>
      <c r="F85" s="108" t="str">
        <f>VLOOKUP(B85,'Tabula Ref2'!$J$5:$Q$83,6,0)</f>
        <v>right</v>
      </c>
      <c r="G85" s="108">
        <f>VLOOKUP(B85,'Tabula Ref2'!$J$5:$Q$83,7,0)</f>
        <v>0.19316281128097962</v>
      </c>
      <c r="H85" s="109">
        <f>VLOOKUP(B85,'Tabula Ref2'!$J$5:$Q$83,8,0)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Ref2'!$J$5:$Q$83,3,0)</f>
        <v>2</v>
      </c>
      <c r="D86" s="108" t="str">
        <f>VLOOKUP(B86,'Tabula Ref2'!$J$5:$Q$83,4,0)</f>
        <v>Wall External</v>
      </c>
      <c r="E86" s="108">
        <f>VLOOKUP(B86,'Tabula Ref2'!$J$5:$Q$83,5,0)</f>
        <v>26.085502079619726</v>
      </c>
      <c r="F86" s="108" t="str">
        <f>VLOOKUP(B86,'Tabula Ref2'!$J$5:$Q$83,6,0)</f>
        <v>back</v>
      </c>
      <c r="G86" s="108">
        <f>VLOOKUP(B86,'Tabula Ref2'!$J$5:$Q$83,7,0)</f>
        <v>0.19316281128097962</v>
      </c>
      <c r="H86" s="109">
        <f>VLOOKUP(B86,'Tabula Ref2'!$J$5:$Q$83,8,0)</f>
        <v>5.0387489153751863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Ref2'!$J$5:$Q$83,3,0)</f>
        <v>2</v>
      </c>
      <c r="D87" s="108" t="str">
        <f>VLOOKUP(B87,'Tabula Ref2'!$J$5:$Q$83,4,0)</f>
        <v>Wall External</v>
      </c>
      <c r="E87" s="108">
        <f>VLOOKUP(B87,'Tabula Ref2'!$J$5:$Q$83,5,0)</f>
        <v>0</v>
      </c>
      <c r="F87" s="108" t="str">
        <f>VLOOKUP(B87,'Tabula Ref2'!$J$5:$Q$83,6,0)</f>
        <v>left</v>
      </c>
      <c r="G87" s="108">
        <f>VLOOKUP(B87,'Tabula Ref2'!$J$5:$Q$83,7,0)</f>
        <v>0.19316281128097962</v>
      </c>
      <c r="H87" s="109">
        <f>VLOOKUP(B87,'Tabula Ref2'!$J$5:$Q$83,8,0)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Ref2'!$J$5:$Q$83,3,0)</f>
        <v>2</v>
      </c>
      <c r="D88" s="108" t="str">
        <f>VLOOKUP(B88,'Tabula Ref2'!$J$5:$Q$83,4,0)</f>
        <v>Window</v>
      </c>
      <c r="E88" s="108">
        <f>VLOOKUP(B88,'Tabula Ref2'!$J$5:$Q$83,5,0)</f>
        <v>2.85</v>
      </c>
      <c r="F88" s="108" t="str">
        <f>VLOOKUP(B88,'Tabula Ref2'!$J$5:$Q$83,6,0)</f>
        <v>front</v>
      </c>
      <c r="G88" s="108">
        <f>VLOOKUP(B88,'Tabula Ref2'!$J$5:$Q$83,7,0)</f>
        <v>1.1000000000000001</v>
      </c>
      <c r="H88" s="109">
        <f>VLOOKUP(B88,'Tabula Ref2'!$J$5:$Q$83,8,0)</f>
        <v>3.1350000000000002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Ref2'!$J$5:$Q$83,3,0)</f>
        <v>2</v>
      </c>
      <c r="D89" s="108" t="str">
        <f>VLOOKUP(B89,'Tabula Ref2'!$J$5:$Q$83,4,0)</f>
        <v>Window</v>
      </c>
      <c r="E89" s="108">
        <f>VLOOKUP(B89,'Tabula Ref2'!$J$5:$Q$83,5,0)</f>
        <v>3.15</v>
      </c>
      <c r="F89" s="108" t="str">
        <f>VLOOKUP(B89,'Tabula Ref2'!$J$5:$Q$83,6,0)</f>
        <v>right</v>
      </c>
      <c r="G89" s="108">
        <f>VLOOKUP(B89,'Tabula Ref2'!$J$5:$Q$83,7,0)</f>
        <v>1.1000000000000001</v>
      </c>
      <c r="H89" s="109">
        <f>VLOOKUP(B89,'Tabula Ref2'!$J$5:$Q$83,8,0)</f>
        <v>3.4650000000000003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Ref2'!$J$5:$Q$83,3,0)</f>
        <v>2</v>
      </c>
      <c r="D90" s="108" t="str">
        <f>VLOOKUP(B90,'Tabula Ref2'!$J$5:$Q$83,4,0)</f>
        <v>Window</v>
      </c>
      <c r="E90" s="108">
        <f>VLOOKUP(B90,'Tabula Ref2'!$J$5:$Q$83,5,0)</f>
        <v>2.95</v>
      </c>
      <c r="F90" s="108" t="str">
        <f>VLOOKUP(B90,'Tabula Ref2'!$J$5:$Q$83,6,0)</f>
        <v>back</v>
      </c>
      <c r="G90" s="108">
        <f>VLOOKUP(B90,'Tabula Ref2'!$J$5:$Q$83,7,0)</f>
        <v>1.1000000000000001</v>
      </c>
      <c r="H90" s="109">
        <f>VLOOKUP(B90,'Tabula Ref2'!$J$5:$Q$83,8,0)</f>
        <v>3.2450000000000006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Ref2'!$J$5:$Q$83,3,0)</f>
        <v>2</v>
      </c>
      <c r="D91" s="108" t="str">
        <f>VLOOKUP(B91,'Tabula Ref2'!$J$5:$Q$83,4,0)</f>
        <v>Window</v>
      </c>
      <c r="E91" s="108">
        <f>VLOOKUP(B91,'Tabula Ref2'!$J$5:$Q$83,5,0)</f>
        <v>3.25</v>
      </c>
      <c r="F91" s="108" t="str">
        <f>VLOOKUP(B91,'Tabula Ref2'!$J$5:$Q$83,6,0)</f>
        <v>left</v>
      </c>
      <c r="G91" s="108">
        <f>VLOOKUP(B91,'Tabula Ref2'!$J$5:$Q$83,7,0)</f>
        <v>1.1000000000000001</v>
      </c>
      <c r="H91" s="109">
        <f>VLOOKUP(B91,'Tabula Ref2'!$J$5:$Q$83,8,0)</f>
        <v>3.5750000000000002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Ref2'!$J$5:$Q$83,3,0)</f>
        <v>2</v>
      </c>
      <c r="D92" s="108" t="str">
        <f>VLOOKUP(B92,'Tabula Ref2'!$J$5:$Q$83,4,0)</f>
        <v>Roof</v>
      </c>
      <c r="E92" s="108">
        <f>VLOOKUP(B92,'Tabula Ref2'!$J$5:$Q$83,5,0)</f>
        <v>78.599999999999994</v>
      </c>
      <c r="F92" s="108" t="str">
        <f>VLOOKUP(B92,'Tabula Ref2'!$J$5:$Q$83,6,0)</f>
        <v>front/back</v>
      </c>
      <c r="G92" s="108">
        <f>VLOOKUP(B92,'Tabula Ref2'!$J$5:$Q$83,7,0)</f>
        <v>0.1523066735339563</v>
      </c>
      <c r="H92" s="109">
        <f>VLOOKUP(B92,'Tabula Ref2'!$J$5:$Q$83,8,0)</f>
        <v>11.971304539768964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Ref2'!$J$5:$Q$83,2,0)=$B$78,VLOOKUP(B108,'Tabula Ref2'!$J$5:$Q$83,2,0),VLOOKUP(B108,'Tabula Ref2'!$J$5:$Q$83,3,0))</f>
        <v>2</v>
      </c>
      <c r="D108" s="123">
        <f>IF(VLOOKUP(B108,'Tabula Ref2'!$J$5:$Q$83,2,0)=$B$78,VLOOKUP(B108,'Tabula Ref2'!$J$5:$Q$83,3,0),VLOOKUP(B108,'Tabula Ref2'!$J$5:$Q$83,2,0))</f>
        <v>1</v>
      </c>
      <c r="E108" s="123" t="str">
        <f>VLOOKUP(B108,'Tabula Ref2'!$J$5:$Q$83,4,0)</f>
        <v>Floor internal</v>
      </c>
      <c r="F108" s="123">
        <f>VLOOKUP(B108,'Tabula Ref2'!$J$5:$Q$83,5,0)</f>
        <v>62</v>
      </c>
      <c r="G108" s="123">
        <f>VLOOKUP('Verwarming Tabula 2zone Ref2'!C108,'Tabula Ref2'!$A$34:$F$45,5,0)</f>
        <v>16</v>
      </c>
      <c r="H108" s="123">
        <f>VLOOKUP('Verwarming Tabula 2zone Ref2'!D108,'Tabula Ref2'!$A$34:$F$45,5,0)</f>
        <v>21</v>
      </c>
      <c r="I108" s="123">
        <f>VLOOKUP(B108,'Tabula Ref2'!$J$5:$Q$83,7,0)</f>
        <v>1.4911242603550294</v>
      </c>
      <c r="J108" s="119">
        <f>VLOOKUP(B108,'Tabula Ref2'!$J$5:$Q$83,8,0)</f>
        <v>92.449704142011825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Ref2'!$J$5:$Q$83,2,0)=$B$78,VLOOKUP(B109,'Tabula Ref2'!$J$5:$Q$83,2,0),VLOOKUP(B109,'Tabula Ref2'!$J$5:$Q$83,3,0))</f>
        <v>2</v>
      </c>
      <c r="D109" s="123">
        <f>IF(VLOOKUP(B109,'Tabula Ref2'!$J$5:$Q$83,2,0)=$B$78,VLOOKUP(B109,'Tabula Ref2'!$J$5:$Q$83,3,0),VLOOKUP(B109,'Tabula Ref2'!$J$5:$Q$83,2,0))</f>
        <v>2</v>
      </c>
      <c r="E109" s="123" t="str">
        <f>VLOOKUP(B109,'Tabula Ref2'!$J$5:$Q$83,4,0)</f>
        <v>Wall internal</v>
      </c>
      <c r="F109" s="123">
        <f>VLOOKUP(B109,'Tabula Ref2'!$J$5:$Q$83,5,0)</f>
        <v>116.69953307677261</v>
      </c>
      <c r="G109" s="123">
        <f>VLOOKUP('Verwarming Tabula 2zone Ref2'!C109,'Tabula Ref2'!$A$34:$F$45,5,0)</f>
        <v>16</v>
      </c>
      <c r="H109" s="123">
        <f>VLOOKUP('Verwarming Tabula 2zone Ref2'!D109,'Tabula Ref2'!$A$34:$F$45,5,0)</f>
        <v>16</v>
      </c>
      <c r="I109" s="123">
        <f>VLOOKUP(B109,'Tabula Ref2'!$J$5:$Q$83,7,0)</f>
        <v>1.7363344051446945</v>
      </c>
      <c r="J109" s="119">
        <f>VLOOKUP(B109,'Tabula Ref2'!$J$5:$Q$83,8,0)</f>
        <v>202.62941434552158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16.208447340933535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389.00273618240487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22" t="s">
        <v>197</v>
      </c>
      <c r="B124" s="322"/>
      <c r="C124" s="322"/>
      <c r="D124" s="126" t="s">
        <v>225</v>
      </c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data'!F33</f>
        <v>1.3877484874675885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Ref2'!$A$34:$F$45,2,0)*B127*B128*B129</f>
        <v>24.339099821746878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Ref2'!G35</f>
        <v>106.30000000000001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24.339099821746878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0.15260771858539121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16.550587878787876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397.21410909090901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22" t="s">
        <v>213</v>
      </c>
      <c r="B142" s="322"/>
      <c r="C142" s="322"/>
      <c r="D142" s="322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106.30000000000001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Ref2'!$B$4)</f>
        <v>146.16250000000002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1169.3000000000002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178.92153521972142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1955.5168452733142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85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22" t="s">
        <v>171</v>
      </c>
      <c r="B159" s="322"/>
      <c r="C159" s="322"/>
      <c r="D159" s="322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Ref2'!C188,'Gebouwgegevens Allacker'!$A$35:$F$46,5,0)</f>
        <v>#N/A</v>
      </c>
      <c r="H188" s="123" t="e">
        <f>VLOOKUP('Verwarming Tabula 2zone Ref2'!D188,'Gebouwgegevens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Ref2'!C189,'Gebouwgegevens Allacker'!$A$35:$F$46,5,0)</f>
        <v>#N/A</v>
      </c>
      <c r="H189" s="123" t="e">
        <f>VLOOKUP('Verwarming Tabula 2zone Ref2'!D189,'Gebouwgegevens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Ref2'!C190,'Gebouwgegevens Allacker'!$A$35:$F$46,5,0)</f>
        <v>#N/A</v>
      </c>
      <c r="H190" s="123" t="e">
        <f>VLOOKUP('Verwarming Tabula 2zone Ref2'!D190,'Gebouwgegevens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22" t="s">
        <v>197</v>
      </c>
      <c r="B204" s="322"/>
      <c r="C204" s="322"/>
      <c r="D204" s="126" t="s">
        <v>225</v>
      </c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22" t="s">
        <v>213</v>
      </c>
      <c r="B222" s="322"/>
      <c r="C222" s="322"/>
      <c r="D222" s="322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22" t="s">
        <v>171</v>
      </c>
      <c r="B238" s="322"/>
      <c r="C238" s="322"/>
      <c r="D238" s="322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Ref2'!C267,'Gebouwgegevens Allacker'!$A$35:$F$46,5,0)</f>
        <v>#N/A</v>
      </c>
      <c r="H267" s="123" t="e">
        <f>VLOOKUP('Verwarming Tabula 2zone Ref2'!D267,'Gebouwgegevens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Ref2'!C268,'Gebouwgegevens Allacker'!$A$35:$F$46,5,0)</f>
        <v>#N/A</v>
      </c>
      <c r="H268" s="123" t="e">
        <f>VLOOKUP('Verwarming Tabula 2zone Ref2'!D268,'Gebouwgegevens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Ref2'!C269,'Gebouwgegevens Allacker'!$A$35:$F$46,5,0)</f>
        <v>#N/A</v>
      </c>
      <c r="H269" s="123" t="e">
        <f>VLOOKUP('Verwarming Tabula 2zone Ref2'!D269,'Gebouwgegevens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Ref2'!C270,'Gebouwgegevens Allacker'!$A$35:$F$46,5,0)</f>
        <v>#N/A</v>
      </c>
      <c r="H270" s="123" t="e">
        <f>VLOOKUP('Verwarming Tabula 2zone Ref2'!D270,'Gebouwgegevens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22" t="s">
        <v>197</v>
      </c>
      <c r="B283" s="322"/>
      <c r="C283" s="322"/>
      <c r="D283" s="126" t="s">
        <v>225</v>
      </c>
      <c r="E283" s="285"/>
      <c r="F283" s="285"/>
      <c r="G283" s="285"/>
      <c r="H283" s="285"/>
      <c r="I283" s="285"/>
      <c r="J283" s="285"/>
      <c r="K283" s="285"/>
      <c r="L283" s="285"/>
      <c r="M283" s="285"/>
      <c r="N283" s="285"/>
      <c r="O283" s="28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22" t="s">
        <v>213</v>
      </c>
      <c r="B301" s="322"/>
      <c r="C301" s="322"/>
      <c r="D301" s="322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85"/>
      <c r="C315" s="285"/>
      <c r="D315" s="285"/>
      <c r="E315" s="285"/>
      <c r="F315" s="285"/>
      <c r="G315" s="285"/>
      <c r="H315" s="285"/>
      <c r="I315" s="285"/>
      <c r="J315" s="285"/>
      <c r="K315" s="285"/>
      <c r="L315" s="285"/>
      <c r="M315" s="285"/>
      <c r="N315" s="285"/>
      <c r="O315" s="285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22" t="s">
        <v>171</v>
      </c>
      <c r="B317" s="322"/>
      <c r="C317" s="322"/>
      <c r="D317" s="322"/>
      <c r="E317" s="285"/>
      <c r="F317" s="285"/>
      <c r="G317" s="285"/>
      <c r="H317" s="285"/>
      <c r="I317" s="285"/>
      <c r="J317" s="285"/>
      <c r="K317" s="285"/>
      <c r="L317" s="285"/>
      <c r="M317" s="285"/>
      <c r="N317" s="285"/>
      <c r="O317" s="28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Ref2'!C346,'Gebouwgegevens Allacker'!$A$35:$F$46,5,0)</f>
        <v>#N/A</v>
      </c>
      <c r="H346" s="123" t="e">
        <f>VLOOKUP('Verwarming Tabula 2zone Ref2'!D346,'Gebouwgegevens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Ref2'!C347,'Gebouwgegevens Allacker'!$A$35:$F$46,5,0)</f>
        <v>#N/A</v>
      </c>
      <c r="H347" s="123" t="e">
        <f>VLOOKUP('Verwarming Tabula 2zone Ref2'!D347,'Gebouwgegevens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Ref2'!C348,'Gebouwgegevens Allacker'!$A$35:$F$46,5,0)</f>
        <v>#N/A</v>
      </c>
      <c r="H348" s="123" t="e">
        <f>VLOOKUP('Verwarming Tabula 2zone Ref2'!D348,'Gebouwgegevens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Ref2'!C349,'Gebouwgegevens Allacker'!$A$35:$F$46,5,0)</f>
        <v>#N/A</v>
      </c>
      <c r="H349" s="123" t="e">
        <f>VLOOKUP('Verwarming Tabula 2zone Ref2'!D349,'Gebouwgegevens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Ref2'!C350,'Gebouwgegevens Allacker'!$A$35:$F$46,5,0)</f>
        <v>#N/A</v>
      </c>
      <c r="H350" s="123" t="e">
        <f>VLOOKUP('Verwarming Tabula 2zone Ref2'!D350,'Gebouwgegevens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22" t="s">
        <v>197</v>
      </c>
      <c r="B362" s="322"/>
      <c r="C362" s="322"/>
      <c r="D362" s="126" t="s">
        <v>225</v>
      </c>
      <c r="E362" s="285"/>
      <c r="F362" s="285"/>
      <c r="G362" s="285"/>
      <c r="H362" s="285"/>
      <c r="I362" s="285"/>
      <c r="J362" s="285"/>
      <c r="K362" s="285"/>
      <c r="L362" s="285"/>
      <c r="M362" s="285"/>
      <c r="N362" s="285"/>
      <c r="O362" s="28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22" t="s">
        <v>213</v>
      </c>
      <c r="B380" s="322"/>
      <c r="C380" s="322"/>
      <c r="D380" s="322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85"/>
      <c r="C393" s="285"/>
      <c r="D393" s="285"/>
      <c r="E393" s="285"/>
      <c r="F393" s="285"/>
      <c r="G393" s="285"/>
      <c r="H393" s="285"/>
      <c r="I393" s="285"/>
      <c r="J393" s="285"/>
      <c r="K393" s="285"/>
      <c r="L393" s="285"/>
      <c r="M393" s="285"/>
      <c r="N393" s="285"/>
      <c r="O393" s="285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22" t="s">
        <v>171</v>
      </c>
      <c r="B395" s="322"/>
      <c r="C395" s="322"/>
      <c r="D395" s="322"/>
      <c r="E395" s="285"/>
      <c r="F395" s="285"/>
      <c r="G395" s="285"/>
      <c r="H395" s="285"/>
      <c r="I395" s="285"/>
      <c r="J395" s="285"/>
      <c r="K395" s="285"/>
      <c r="L395" s="285"/>
      <c r="M395" s="285"/>
      <c r="N395" s="285"/>
      <c r="O395" s="28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Ref2'!C424,'Gebouwgegevens Allacker'!$A$35:$F$46,5,0)</f>
        <v>#N/A</v>
      </c>
      <c r="H424" s="123" t="e">
        <f>VLOOKUP('Verwarming Tabula 2zone Ref2'!D424,'Gebouwgegevens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Ref2'!C425,'Gebouwgegevens Allacker'!$A$35:$F$46,5,0)</f>
        <v>#N/A</v>
      </c>
      <c r="H425" s="123" t="e">
        <f>VLOOKUP('Verwarming Tabula 2zone Ref2'!D425,'Gebouwgegevens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Ref2'!C426,'Gebouwgegevens Allacker'!$A$35:$F$46,5,0)</f>
        <v>#N/A</v>
      </c>
      <c r="H426" s="123" t="e">
        <f>VLOOKUP('Verwarming Tabula 2zone Ref2'!D426,'Gebouwgegevens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Ref2'!C427,'Gebouwgegevens Allacker'!$A$35:$F$46,5,0)</f>
        <v>#N/A</v>
      </c>
      <c r="H427" s="123" t="e">
        <f>VLOOKUP('Verwarming Tabula 2zone Ref2'!D427,'Gebouwgegevens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Ref2'!C428,'Gebouwgegevens Allacker'!$A$35:$F$46,5,0)</f>
        <v>#N/A</v>
      </c>
      <c r="H428" s="123" t="e">
        <f>VLOOKUP('Verwarming Tabula 2zone Ref2'!D428,'Gebouwgegevens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22" t="s">
        <v>197</v>
      </c>
      <c r="B440" s="322"/>
      <c r="C440" s="322"/>
      <c r="D440" s="126" t="s">
        <v>225</v>
      </c>
      <c r="E440" s="285"/>
      <c r="F440" s="285"/>
      <c r="G440" s="285"/>
      <c r="H440" s="285"/>
      <c r="I440" s="285"/>
      <c r="J440" s="285"/>
      <c r="K440" s="285"/>
      <c r="L440" s="285"/>
      <c r="M440" s="285"/>
      <c r="N440" s="285"/>
      <c r="O440" s="28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22" t="s">
        <v>213</v>
      </c>
      <c r="B458" s="322"/>
      <c r="C458" s="322"/>
      <c r="D458" s="322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85"/>
      <c r="C471" s="285"/>
      <c r="D471" s="285"/>
      <c r="E471" s="285"/>
      <c r="F471" s="285"/>
      <c r="G471" s="285"/>
      <c r="H471" s="285"/>
      <c r="I471" s="285"/>
      <c r="J471" s="285"/>
      <c r="K471" s="285"/>
      <c r="L471" s="285"/>
      <c r="M471" s="285"/>
      <c r="N471" s="285"/>
      <c r="O471" s="285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22" t="s">
        <v>171</v>
      </c>
      <c r="B473" s="322"/>
      <c r="C473" s="322"/>
      <c r="D473" s="322"/>
      <c r="E473" s="285"/>
      <c r="F473" s="285"/>
      <c r="G473" s="285"/>
      <c r="H473" s="285"/>
      <c r="I473" s="285"/>
      <c r="J473" s="285"/>
      <c r="K473" s="285"/>
      <c r="L473" s="285"/>
      <c r="M473" s="285"/>
      <c r="N473" s="285"/>
      <c r="O473" s="28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Ref2'!C502,'Gebouwgegevens Allacker'!$A$35:$F$46,5,0)</f>
        <v>#N/A</v>
      </c>
      <c r="H502" s="123" t="e">
        <f>VLOOKUP('Verwarming Tabula 2zone Ref2'!D502,'Gebouwgegevens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Ref2'!C503,'Gebouwgegevens Allacker'!$A$35:$F$46,5,0)</f>
        <v>#N/A</v>
      </c>
      <c r="H503" s="123" t="e">
        <f>VLOOKUP('Verwarming Tabula 2zone Ref2'!D503,'Gebouwgegevens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Ref2'!C504,'Gebouwgegevens Allacker'!$A$35:$F$46,5,0)</f>
        <v>#N/A</v>
      </c>
      <c r="H504" s="123" t="e">
        <f>VLOOKUP('Verwarming Tabula 2zone Ref2'!D504,'Gebouwgegevens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22" t="s">
        <v>197</v>
      </c>
      <c r="B518" s="322"/>
      <c r="C518" s="322"/>
      <c r="D518" s="126" t="s">
        <v>225</v>
      </c>
      <c r="E518" s="285"/>
      <c r="F518" s="285"/>
      <c r="G518" s="285"/>
      <c r="H518" s="285"/>
      <c r="I518" s="285"/>
      <c r="J518" s="285"/>
      <c r="K518" s="285"/>
      <c r="L518" s="285"/>
      <c r="M518" s="285"/>
      <c r="N518" s="285"/>
      <c r="O518" s="28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22" t="s">
        <v>213</v>
      </c>
      <c r="B536" s="322"/>
      <c r="C536" s="322"/>
      <c r="D536" s="322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85"/>
      <c r="C550" s="285"/>
      <c r="D550" s="285"/>
      <c r="E550" s="285"/>
      <c r="F550" s="285"/>
      <c r="G550" s="285"/>
      <c r="H550" s="285"/>
      <c r="I550" s="285"/>
      <c r="J550" s="285"/>
      <c r="K550" s="285"/>
      <c r="L550" s="285"/>
      <c r="M550" s="285"/>
      <c r="N550" s="285"/>
      <c r="O550" s="285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22" t="s">
        <v>171</v>
      </c>
      <c r="B552" s="322"/>
      <c r="C552" s="322"/>
      <c r="D552" s="322"/>
      <c r="E552" s="285"/>
      <c r="F552" s="285"/>
      <c r="G552" s="285"/>
      <c r="H552" s="285"/>
      <c r="I552" s="285"/>
      <c r="J552" s="285"/>
      <c r="K552" s="285"/>
      <c r="L552" s="285"/>
      <c r="M552" s="285"/>
      <c r="N552" s="285"/>
      <c r="O552" s="28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Ref2'!C581,'Gebouwgegevens Allacker'!$A$35:$F$46,5,0)</f>
        <v>#N/A</v>
      </c>
      <c r="H581" s="123" t="e">
        <f>VLOOKUP('Verwarming Tabula 2zone Ref2'!D581,'Gebouwgegevens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Ref2'!C582,'Gebouwgegevens Allacker'!$A$35:$F$46,5,0)</f>
        <v>#N/A</v>
      </c>
      <c r="H582" s="123" t="e">
        <f>VLOOKUP('Verwarming Tabula 2zone Ref2'!D582,'Gebouwgegevens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Ref2'!C583,'Gebouwgegevens Allacker'!$A$35:$F$46,5,0)</f>
        <v>#N/A</v>
      </c>
      <c r="H583" s="123" t="e">
        <f>VLOOKUP('Verwarming Tabula 2zone Ref2'!D583,'Gebouwgegevens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22" t="s">
        <v>197</v>
      </c>
      <c r="B597" s="322"/>
      <c r="C597" s="322"/>
      <c r="D597" s="126" t="s">
        <v>225</v>
      </c>
      <c r="E597" s="285"/>
      <c r="F597" s="285"/>
      <c r="G597" s="285"/>
      <c r="H597" s="285"/>
      <c r="I597" s="285"/>
      <c r="J597" s="285"/>
      <c r="K597" s="285"/>
      <c r="L597" s="285"/>
      <c r="M597" s="285"/>
      <c r="N597" s="285"/>
      <c r="O597" s="28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22" t="s">
        <v>213</v>
      </c>
      <c r="B615" s="322"/>
      <c r="C615" s="322"/>
      <c r="D615" s="322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85"/>
      <c r="C629" s="285"/>
      <c r="D629" s="285"/>
      <c r="E629" s="285"/>
      <c r="F629" s="285"/>
      <c r="G629" s="285"/>
      <c r="H629" s="285"/>
      <c r="I629" s="285"/>
      <c r="J629" s="285"/>
      <c r="K629" s="285"/>
      <c r="L629" s="285"/>
      <c r="M629" s="285"/>
      <c r="N629" s="285"/>
      <c r="O629" s="285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22" t="s">
        <v>171</v>
      </c>
      <c r="B631" s="322"/>
      <c r="C631" s="322"/>
      <c r="D631" s="322"/>
      <c r="E631" s="285"/>
      <c r="F631" s="285"/>
      <c r="G631" s="285"/>
      <c r="H631" s="285"/>
      <c r="I631" s="285"/>
      <c r="J631" s="285"/>
      <c r="K631" s="285"/>
      <c r="L631" s="285"/>
      <c r="M631" s="285"/>
      <c r="N631" s="285"/>
      <c r="O631" s="28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Ref2'!C660,'Gebouwgegevens Allacker'!$A$35:$F$46,5,0)</f>
        <v>#N/A</v>
      </c>
      <c r="H660" s="123" t="e">
        <f>VLOOKUP('Verwarming Tabula 2zone Ref2'!D660,'Gebouwgegevens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Ref2'!C661,'Gebouwgegevens Allacker'!$A$35:$F$46,5,0)</f>
        <v>#N/A</v>
      </c>
      <c r="H661" s="123" t="e">
        <f>VLOOKUP('Verwarming Tabula 2zone Ref2'!D661,'Gebouwgegevens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22" t="s">
        <v>197</v>
      </c>
      <c r="B676" s="322"/>
      <c r="C676" s="322"/>
      <c r="D676" s="126" t="s">
        <v>225</v>
      </c>
      <c r="E676" s="285"/>
      <c r="F676" s="285"/>
      <c r="G676" s="285"/>
      <c r="H676" s="285"/>
      <c r="I676" s="285"/>
      <c r="J676" s="285"/>
      <c r="K676" s="285"/>
      <c r="L676" s="285"/>
      <c r="M676" s="285"/>
      <c r="N676" s="285"/>
      <c r="O676" s="28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22" t="s">
        <v>213</v>
      </c>
      <c r="B694" s="322"/>
      <c r="C694" s="322"/>
      <c r="D694" s="322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85"/>
      <c r="C708" s="285"/>
      <c r="D708" s="285"/>
      <c r="E708" s="285"/>
      <c r="F708" s="285"/>
      <c r="G708" s="285"/>
      <c r="H708" s="285"/>
      <c r="I708" s="285"/>
      <c r="J708" s="285"/>
      <c r="K708" s="285"/>
      <c r="L708" s="285"/>
      <c r="M708" s="285"/>
      <c r="N708" s="285"/>
      <c r="O708" s="285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22" t="s">
        <v>171</v>
      </c>
      <c r="B710" s="322"/>
      <c r="C710" s="322"/>
      <c r="D710" s="322"/>
      <c r="E710" s="285"/>
      <c r="F710" s="285"/>
      <c r="G710" s="285"/>
      <c r="H710" s="285"/>
      <c r="I710" s="285"/>
      <c r="J710" s="285"/>
      <c r="K710" s="285"/>
      <c r="L710" s="285"/>
      <c r="M710" s="285"/>
      <c r="N710" s="285"/>
      <c r="O710" s="28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Ref2'!C739,'Gebouwgegevens Allacker'!$A$35:$F$46,5,0)</f>
        <v>#N/A</v>
      </c>
      <c r="H739" s="123" t="e">
        <f>VLOOKUP('Verwarming Tabula 2zone Ref2'!D739,'Gebouwgegevens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Ref2'!C740,'Gebouwgegevens Allacker'!$A$35:$F$46,5,0)</f>
        <v>#N/A</v>
      </c>
      <c r="H740" s="123" t="e">
        <f>VLOOKUP('Verwarming Tabula 2zone Ref2'!D740,'Gebouwgegevens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Ref2'!C741,'Gebouwgegevens Allacker'!$A$35:$F$46,5,0)</f>
        <v>#N/A</v>
      </c>
      <c r="H741" s="123" t="e">
        <f>VLOOKUP('Verwarming Tabula 2zone Ref2'!D741,'Gebouwgegevens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Ref2'!C742,'Gebouwgegevens Allacker'!$A$35:$F$46,5,0)</f>
        <v>#N/A</v>
      </c>
      <c r="H742" s="123" t="e">
        <f>VLOOKUP('Verwarming Tabula 2zone Ref2'!D742,'Gebouwgegevens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Ref2'!C743,'Gebouwgegevens Allacker'!$A$35:$F$46,5,0)</f>
        <v>#N/A</v>
      </c>
      <c r="H743" s="123" t="e">
        <f>VLOOKUP('Verwarming Tabula 2zone Ref2'!D743,'Gebouwgegevens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Ref2'!C744,'Gebouwgegevens Allacker'!$A$35:$F$46,5,0)</f>
        <v>#N/A</v>
      </c>
      <c r="H744" s="123" t="e">
        <f>VLOOKUP('Verwarming Tabula 2zone Ref2'!D744,'Gebouwgegevens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Ref2'!C745,'Gebouwgegevens Allacker'!$A$35:$F$46,5,0)</f>
        <v>#N/A</v>
      </c>
      <c r="H745" s="123" t="e">
        <f>VLOOKUP('Verwarming Tabula 2zone Ref2'!D745,'Gebouwgegevens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Ref2'!C746,'Gebouwgegevens Allacker'!$A$35:$F$46,5,0)</f>
        <v>#N/A</v>
      </c>
      <c r="H746" s="123" t="e">
        <f>VLOOKUP('Verwarming Tabula 2zone Ref2'!D746,'Gebouwgegevens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Ref2'!C747,'Gebouwgegevens Allacker'!$A$35:$F$46,5,0)</f>
        <v>#N/A</v>
      </c>
      <c r="H747" s="123" t="e">
        <f>VLOOKUP('Verwarming Tabula 2zone Ref2'!D747,'Gebouwgegevens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Ref2'!C748,'Gebouwgegevens Allacker'!$A$35:$F$46,5,0)</f>
        <v>#N/A</v>
      </c>
      <c r="H748" s="123" t="e">
        <f>VLOOKUP('Verwarming Tabula 2zone Ref2'!D748,'Gebouwgegevens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Ref2'!C749,'Gebouwgegevens Allacker'!$A$35:$F$46,5,0)</f>
        <v>#N/A</v>
      </c>
      <c r="H749" s="123" t="e">
        <f>VLOOKUP('Verwarming Tabula 2zone Ref2'!D749,'Gebouwgegevens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Ref2'!C750,'Gebouwgegevens Allacker'!$A$35:$F$46,5,0)</f>
        <v>#N/A</v>
      </c>
      <c r="H750" s="123" t="e">
        <f>VLOOKUP('Verwarming Tabula 2zone Ref2'!D750,'Gebouwgegevens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22" t="s">
        <v>197</v>
      </c>
      <c r="B755" s="322"/>
      <c r="C755" s="322"/>
      <c r="D755" s="126" t="s">
        <v>225</v>
      </c>
      <c r="E755" s="285"/>
      <c r="F755" s="285"/>
      <c r="G755" s="285"/>
      <c r="H755" s="285"/>
      <c r="I755" s="285"/>
      <c r="J755" s="285"/>
      <c r="K755" s="285"/>
      <c r="L755" s="285"/>
      <c r="M755" s="285"/>
      <c r="N755" s="285"/>
      <c r="O755" s="28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22" t="s">
        <v>213</v>
      </c>
      <c r="B773" s="322"/>
      <c r="C773" s="322"/>
      <c r="D773" s="322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L1" zoomScale="85" zoomScaleNormal="85" workbookViewId="0">
      <selection activeCell="B48" sqref="B48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20" t="s">
        <v>164</v>
      </c>
      <c r="B1" s="320"/>
      <c r="C1" s="320"/>
      <c r="D1" s="320"/>
      <c r="E1" s="320"/>
      <c r="F1" s="320"/>
      <c r="G1" s="320"/>
      <c r="H1" s="320"/>
      <c r="I1" s="320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90"/>
      <c r="W4" s="290"/>
      <c r="X4" s="290"/>
      <c r="Y4" s="95"/>
    </row>
    <row r="5" spans="1:25" ht="18" customHeight="1" thickTop="1" thickBot="1" x14ac:dyDescent="0.3">
      <c r="A5" s="94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95"/>
      <c r="U5" s="96"/>
      <c r="V5" s="317" t="s">
        <v>168</v>
      </c>
      <c r="W5" s="317"/>
      <c r="X5" s="317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90"/>
      <c r="Y6" s="97"/>
    </row>
    <row r="7" spans="1:25" ht="16.5" customHeight="1" thickTop="1" x14ac:dyDescent="0.25">
      <c r="A7" s="322" t="s">
        <v>171</v>
      </c>
      <c r="B7" s="322"/>
      <c r="C7" s="322"/>
      <c r="D7" s="322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95"/>
      <c r="U7" s="96"/>
      <c r="V7" s="102">
        <f>B6</f>
        <v>1</v>
      </c>
      <c r="W7" s="103">
        <f>B73</f>
        <v>4570.8315522514322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3744.3812667773291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 1'!K6</f>
        <v>W1</v>
      </c>
      <c r="C12" s="108">
        <f>VLOOKUP(B12,'Tabula RefULG 1'!$K$5:$R$83,3,0)</f>
        <v>1</v>
      </c>
      <c r="D12" s="108" t="str">
        <f>VLOOKUP(B12,'Tabula RefULG 1'!$K$5:$R$83,4,0)</f>
        <v>Wall External</v>
      </c>
      <c r="E12" s="108">
        <f>VLOOKUP(B12,'Tabula RefULG 1'!$K$5:$R$83,5,0)</f>
        <v>15.214497920380273</v>
      </c>
      <c r="F12" s="108" t="str">
        <f>VLOOKUP(B12,'Tabula RefULG 1'!$K$5:$R$83,6,0)</f>
        <v>front</v>
      </c>
      <c r="G12" s="108">
        <f>VLOOKUP(B12,'Tabula RefULG 1'!$K$5:$R$83,7,0)</f>
        <v>0.99033657090706906</v>
      </c>
      <c r="H12" s="109">
        <f>VLOOKUP(B12,'Tabula RefULG 1'!$K$5:$R$83,8,0)</f>
        <v>15.067473698542132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 1'!K7</f>
        <v>W2</v>
      </c>
      <c r="C13" s="108">
        <f>VLOOKUP(B13,'Tabula RefULG 1'!$K$5:$R$83,3,0)</f>
        <v>1</v>
      </c>
      <c r="D13" s="108" t="str">
        <f>VLOOKUP(B13,'Tabula RefULG 1'!$K$5:$R$83,4,0)</f>
        <v>Wall External</v>
      </c>
      <c r="E13" s="108">
        <f>VLOOKUP(B13,'Tabula RefULG 1'!$K$5:$R$83,5,0)</f>
        <v>0</v>
      </c>
      <c r="F13" s="108" t="str">
        <f>VLOOKUP(B13,'Tabula RefULG 1'!$K$5:$R$83,6,0)</f>
        <v>right</v>
      </c>
      <c r="G13" s="108">
        <f>VLOOKUP(B13,'Tabula RefULG 1'!$K$5:$R$83,7,0)</f>
        <v>0.99033657090706906</v>
      </c>
      <c r="H13" s="109">
        <f>VLOOKUP(B13,'Tabula RefULG 1'!$K$5:$R$83,8,0)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 1'!K8</f>
        <v>W3</v>
      </c>
      <c r="C14" s="108">
        <f>VLOOKUP(B14,'Tabula RefULG 1'!$K$5:$R$83,3,0)</f>
        <v>1</v>
      </c>
      <c r="D14" s="108" t="str">
        <f>VLOOKUP(B14,'Tabula RefULG 1'!$K$5:$R$83,4,0)</f>
        <v>Wall External</v>
      </c>
      <c r="E14" s="108">
        <f>VLOOKUP(B14,'Tabula RefULG 1'!$K$5:$R$83,5,0)</f>
        <v>15.214497920380273</v>
      </c>
      <c r="F14" s="108" t="str">
        <f>VLOOKUP(B14,'Tabula RefULG 1'!$K$5:$R$83,6,0)</f>
        <v>back</v>
      </c>
      <c r="G14" s="108">
        <f>VLOOKUP(B14,'Tabula RefULG 1'!$K$5:$R$83,7,0)</f>
        <v>0.99033657090706906</v>
      </c>
      <c r="H14" s="109">
        <f>VLOOKUP(B14,'Tabula RefULG 1'!$K$5:$R$83,8,0)</f>
        <v>15.067473698542132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 1'!K9</f>
        <v>W4</v>
      </c>
      <c r="C15" s="108">
        <f>VLOOKUP(B15,'Tabula RefULG 1'!$K$5:$R$83,3,0)</f>
        <v>1</v>
      </c>
      <c r="D15" s="108" t="str">
        <f>VLOOKUP(B15,'Tabula RefULG 1'!$K$5:$R$83,4,0)</f>
        <v>Wall External</v>
      </c>
      <c r="E15" s="108">
        <f>VLOOKUP(B15,'Tabula RefULG 1'!$K$5:$R$83,5,0)</f>
        <v>0</v>
      </c>
      <c r="F15" s="108" t="str">
        <f>VLOOKUP(B15,'Tabula RefULG 1'!$K$5:$R$83,6,0)</f>
        <v>left</v>
      </c>
      <c r="G15" s="108">
        <f>VLOOKUP(B15,'Tabula RefULG 1'!$K$5:$R$83,7,0)</f>
        <v>0.99033657090706906</v>
      </c>
      <c r="H15" s="109">
        <f>VLOOKUP(B15,'Tabula RefULG 1'!$K$5:$R$83,8,0)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 1'!K10</f>
        <v>W5</v>
      </c>
      <c r="C16" s="108">
        <f>VLOOKUP(B16,'Tabula RefULG 1'!$K$5:$R$83,3,0)</f>
        <v>1</v>
      </c>
      <c r="D16" s="108" t="str">
        <f>VLOOKUP(B16,'Tabula RefULG 1'!$K$5:$R$83,4,0)</f>
        <v>Window</v>
      </c>
      <c r="E16" s="108">
        <f>VLOOKUP(B16,'Tabula RefULG 1'!$K$5:$R$83,5,0)</f>
        <v>2.85</v>
      </c>
      <c r="F16" s="108" t="str">
        <f>VLOOKUP(B16,'Tabula RefULG 1'!$K$5:$R$83,6,0)</f>
        <v>front</v>
      </c>
      <c r="G16" s="108">
        <f>VLOOKUP(B16,'Tabula RefULG 1'!$K$5:$R$83,7,0)</f>
        <v>2</v>
      </c>
      <c r="H16" s="109">
        <f>VLOOKUP(B16,'Tabula RefULG 1'!$K$5:$R$83,8,0)</f>
        <v>5.7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 1'!K11</f>
        <v>W6</v>
      </c>
      <c r="C17" s="108">
        <f>VLOOKUP(B17,'Tabula RefULG 1'!$K$5:$R$83,3,0)</f>
        <v>1</v>
      </c>
      <c r="D17" s="108" t="str">
        <f>VLOOKUP(B17,'Tabula RefULG 1'!$K$5:$R$83,4,0)</f>
        <v>Window</v>
      </c>
      <c r="E17" s="108">
        <f>VLOOKUP(B17,'Tabula RefULG 1'!$K$5:$R$83,5,0)</f>
        <v>3.15</v>
      </c>
      <c r="F17" s="108" t="str">
        <f>VLOOKUP(B17,'Tabula RefULG 1'!$K$5:$R$83,6,0)</f>
        <v>right</v>
      </c>
      <c r="G17" s="108">
        <f>VLOOKUP(B17,'Tabula RefULG 1'!$K$5:$R$83,7,0)</f>
        <v>2</v>
      </c>
      <c r="H17" s="109">
        <f>VLOOKUP(B17,'Tabula RefULG 1'!$K$5:$R$83,8,0)</f>
        <v>6.3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 1'!K12</f>
        <v>W7</v>
      </c>
      <c r="C18" s="108">
        <f>VLOOKUP(B18,'Tabula RefULG 1'!$K$5:$R$83,3,0)</f>
        <v>1</v>
      </c>
      <c r="D18" s="108" t="str">
        <f>VLOOKUP(B18,'Tabula RefULG 1'!$K$5:$R$83,4,0)</f>
        <v>Window</v>
      </c>
      <c r="E18" s="108">
        <f>VLOOKUP(B18,'Tabula RefULG 1'!$K$5:$R$83,5,0)</f>
        <v>2.95</v>
      </c>
      <c r="F18" s="108" t="str">
        <f>VLOOKUP(B18,'Tabula RefULG 1'!$K$5:$R$83,6,0)</f>
        <v>back</v>
      </c>
      <c r="G18" s="108">
        <f>VLOOKUP(B18,'Tabula RefULG 1'!$K$5:$R$83,7,0)</f>
        <v>2</v>
      </c>
      <c r="H18" s="109">
        <f>VLOOKUP(B18,'Tabula RefULG 1'!$K$5:$R$83,8,0)</f>
        <v>5.9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8315.2128190287622</v>
      </c>
      <c r="X18" s="290" t="s">
        <v>172</v>
      </c>
      <c r="Y18" s="97"/>
    </row>
    <row r="19" spans="1:25" ht="16.5" customHeight="1" thickTop="1" thickBot="1" x14ac:dyDescent="0.3">
      <c r="A19" s="96"/>
      <c r="B19" s="107" t="str">
        <f>'Tabula RefULG 1'!K13</f>
        <v>W8</v>
      </c>
      <c r="C19" s="108">
        <f>VLOOKUP(B19,'Tabula RefULG 1'!$K$5:$R$83,3,0)</f>
        <v>1</v>
      </c>
      <c r="D19" s="108" t="str">
        <f>VLOOKUP(B19,'Tabula RefULG 1'!$K$5:$R$83,4,0)</f>
        <v>Window</v>
      </c>
      <c r="E19" s="108">
        <f>VLOOKUP(B19,'Tabula RefULG 1'!$K$5:$R$83,5,0)</f>
        <v>3.25</v>
      </c>
      <c r="F19" s="108" t="str">
        <f>VLOOKUP(B19,'Tabula RefULG 1'!$K$5:$R$83,6,0)</f>
        <v>left</v>
      </c>
      <c r="G19" s="108">
        <f>VLOOKUP(B19,'Tabula RefULG 1'!$K$5:$R$83,7,0)</f>
        <v>2</v>
      </c>
      <c r="H19" s="109">
        <f>VLOOKUP(B19,'Tabula RefULG 1'!$K$5:$R$83,8,0)</f>
        <v>6.5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 1'!$K$5:$R$83,3,0)</f>
        <v>1</v>
      </c>
      <c r="D21" s="108" t="str">
        <f>VLOOKUP(B21,'Tabula RefULG 1'!$K$5:$R$83,4,0)</f>
        <v>Roof</v>
      </c>
      <c r="E21" s="108">
        <f>VLOOKUP(B21,'Tabula RefULG 1'!$K$5:$R$83,5,0)</f>
        <v>0</v>
      </c>
      <c r="F21" s="108">
        <f>VLOOKUP(B21,'Tabula RefULG 1'!$K$5:$R$83,6,0)</f>
        <v>0</v>
      </c>
      <c r="G21" s="108">
        <f>VLOOKUP(B21,'Tabula RefULG 1'!$K$5:$R$83,7,0)</f>
        <v>0.3127301569316186</v>
      </c>
      <c r="H21" s="109">
        <f>VLOOKUP(B21,'Tabula RefULG 1'!$K$5:$R$83,8,0)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5027.914707476576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 1'!$K$5:$R$83,3,0)</f>
        <v>1</v>
      </c>
      <c r="D22" s="108" t="str">
        <f>VLOOKUP(B22,'Tabula RefULG 1'!$K$5:$R$83,4,0)</f>
        <v>Door</v>
      </c>
      <c r="E22" s="108">
        <f>VLOOKUP(B22,'Tabula RefULG 1'!$K$5:$R$83,5,0)</f>
        <v>9.5</v>
      </c>
      <c r="F22" s="108">
        <f>VLOOKUP(B22,'Tabula RefULG 1'!$K$5:$R$83,6,0)</f>
        <v>0</v>
      </c>
      <c r="G22" s="108">
        <f>VLOOKUP(B22,'Tabula RefULG 1'!$K$5:$R$83,7,0)</f>
        <v>4</v>
      </c>
      <c r="H22" s="109">
        <f>VLOOKUP(B22,'Tabula RefULG 1'!$K$5:$R$83,8,0)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 1'!$K$5:$R$83,3,0)</f>
        <v>1</v>
      </c>
      <c r="D28" s="118" t="str">
        <f>VLOOKUP(B28,'Tabula RefULG 1'!$K$5:$R$83,4,0)</f>
        <v>Floor</v>
      </c>
      <c r="E28" s="118">
        <f>VLOOKUP(B28,'Tabula RefULG 1'!$K$5:$R$83,5,0)</f>
        <v>62</v>
      </c>
      <c r="F28" s="118">
        <f>VLOOKUP(B28,'Tabula RefULG 1'!$K$5:$R$83,7,0)</f>
        <v>0.84168336673346678</v>
      </c>
      <c r="G28" s="119">
        <f>VLOOKUP(B28,'Tabula RefULG 1'!$K$5:$R$83,8,0)</f>
        <v>52.184368737474941</v>
      </c>
      <c r="H28" s="119">
        <f>N28/F28*1.45/29*(21-12)</f>
        <v>0.24970372928472973</v>
      </c>
      <c r="I28" s="118">
        <f>'Tabula RefULG 1'!O14</f>
        <v>62</v>
      </c>
      <c r="J28" s="117">
        <f>SQRT(I28)*4</f>
        <v>31.496031496047245</v>
      </c>
      <c r="K28" s="117">
        <f>SUM('Tabula RefULG 1'!Z16:Z19)</f>
        <v>0.23</v>
      </c>
      <c r="L28" s="120">
        <f>I28/(0.5*J28)</f>
        <v>3.9370039370059056</v>
      </c>
      <c r="M28" s="120">
        <f>K28+2*(1/F28)</f>
        <v>2.6061904761904766</v>
      </c>
      <c r="N28" s="121">
        <f>IF(M28&lt;L28,2*2/(PI()*L28+M28)*LN(PI()*L28/M28+1),2/(0.457*L28+M28))</f>
        <v>0.46704772344505219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9146.7341009316387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 1'!$K$5:$R$83,2,0)=B$6,VLOOKUP(B33,'Tabula RefULG 1'!$K$5:$R$83,2,0),VLOOKUP(B33,'Tabula RefULG 1'!$K$5:$R$83,3,0))</f>
        <v>1</v>
      </c>
      <c r="D33" s="123">
        <f>IF(VLOOKUP(B33,'Tabula RefULG 1'!$K$5:$R$83,2,0)=B$6,VLOOKUP(B33,'Tabula RefULG 1'!$K$5:$R$83,3,0),VLOOKUP(B33,'Tabula RefULG 1'!$K$5:$R$83,2,0))</f>
        <v>2</v>
      </c>
      <c r="E33" s="123" t="str">
        <f>VLOOKUP(B33,'Tabula RefULG 1'!$K$5:$R$83,4,0)</f>
        <v>Floor internal</v>
      </c>
      <c r="F33" s="123">
        <f>VLOOKUP(B33,'Tabula RefULG 1'!$K$5:$R$83,5,0)</f>
        <v>62</v>
      </c>
      <c r="G33" s="123">
        <f>VLOOKUP('Verwarming Tabula 2zone RefULG1'!C33,'Tabula RefULG 1'!$A$34:$F$45,5,0)</f>
        <v>21</v>
      </c>
      <c r="H33" s="123">
        <f>VLOOKUP('Verwarming Tabula 2zone RefULG1'!D33,'Tabula RefULG 1'!$A$34:$F$45,5,0)</f>
        <v>16</v>
      </c>
      <c r="I33" s="123">
        <f>VLOOKUP(B33,'Tabula RefULG 1'!$K$5:$R$83,7,0)</f>
        <v>1.4911242603550294</v>
      </c>
      <c r="J33" s="119">
        <f>VLOOKUP(B33,'Tabula RefULG 1'!$K$5:$R$83,8,0)</f>
        <v>92.449704142011825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 1'!$K$5:$R$83,2,0)=B$6,VLOOKUP(B34,'Tabula RefULG 1'!$K$5:$R$83,2,0),VLOOKUP(B34,'Tabula RefULG 1'!$K$5:$R$83,3,0))</f>
        <v>1</v>
      </c>
      <c r="D34" s="123">
        <f>IF(VLOOKUP(B34,'Tabula RefULG 1'!$K$5:$R$83,2,0)=B$6,VLOOKUP(B34,'Tabula RefULG 1'!$K$5:$R$83,3,0),VLOOKUP(B34,'Tabula RefULG 1'!$K$5:$R$83,2,0))</f>
        <v>1</v>
      </c>
      <c r="E34" s="123" t="str">
        <f>VLOOKUP(B34,'Tabula RefULG 1'!$K$5:$R$83,4,0)</f>
        <v>Wall internal</v>
      </c>
      <c r="F34" s="123">
        <f>VLOOKUP(B34,'Tabula RefULG 1'!$K$5:$R$83,5,0)</f>
        <v>68.065579028785521</v>
      </c>
      <c r="G34" s="123">
        <f>VLOOKUP('Verwarming Tabula 2zone RefULG1'!C34,'Tabula RefULG 1'!$A$34:$F$45,5,0)</f>
        <v>21</v>
      </c>
      <c r="H34" s="123">
        <f>VLOOKUP('Verwarming Tabula 2zone RefULG1'!D34,'Tabula RefULG 1'!$A$34:$F$45,5,0)</f>
        <v>21</v>
      </c>
      <c r="I34" s="123">
        <f>VLOOKUP(B34,'Tabula RefULG 1'!$K$5:$R$83,7,0)</f>
        <v>1.7363344051446945</v>
      </c>
      <c r="J34" s="119">
        <f>VLOOKUP(B34,'Tabula RefULG 1'!$K$5:$R$83,8,0)</f>
        <v>118.18460667377551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121.50518304361705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3523.6503082648946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22" t="s">
        <v>197</v>
      </c>
      <c r="B45" s="322"/>
      <c r="C45" s="322"/>
      <c r="D45" s="126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4.3447082702411146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 1'!B34</f>
        <v>37.036637321149861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 1'!G34</f>
        <v>62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37.036637321149861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0.17847089619967937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12.592456689190954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365.18124398653765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22" t="s">
        <v>213</v>
      </c>
      <c r="B63" s="322"/>
      <c r="C63" s="322"/>
      <c r="D63" s="322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 1'!B7</f>
        <v>62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RefULG1'!$B$4)</f>
        <v>23.517241379310345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682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157.61488111211835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4570.8315522514322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22" t="s">
        <v>171</v>
      </c>
      <c r="B79" s="322"/>
      <c r="C79" s="322"/>
      <c r="D79" s="322"/>
      <c r="E79" s="290"/>
      <c r="F79" s="290"/>
      <c r="G79" s="290"/>
      <c r="H79" s="290"/>
      <c r="I79" s="290"/>
      <c r="J79" s="290"/>
      <c r="K79" s="290"/>
      <c r="L79" s="290"/>
      <c r="M79" s="290"/>
      <c r="N79" s="290"/>
      <c r="O79" s="290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 1'!$K$5:$R$83,3,0)</f>
        <v>2</v>
      </c>
      <c r="D84" s="108" t="str">
        <f>VLOOKUP(B84,'Tabula RefULG 1'!$K$5:$R$83,4,0)</f>
        <v>Wall External</v>
      </c>
      <c r="E84" s="108">
        <f>VLOOKUP(B84,'Tabula RefULG 1'!$K$5:$R$83,5,0)</f>
        <v>26.085502079619726</v>
      </c>
      <c r="F84" s="108" t="str">
        <f>VLOOKUP(B84,'Tabula RefULG 1'!$K$5:$R$83,6,0)</f>
        <v>front</v>
      </c>
      <c r="G84" s="108">
        <f>VLOOKUP(B84,'Tabula RefULG 1'!$K$5:$R$83,7,0)</f>
        <v>0.99033657090706906</v>
      </c>
      <c r="H84" s="109">
        <f>VLOOKUP(B84,'Tabula RefULG 1'!$K$5:$R$83,8,0)</f>
        <v>25.833426679919818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 1'!$K$5:$R$83,3,0)</f>
        <v>2</v>
      </c>
      <c r="D85" s="108" t="str">
        <f>VLOOKUP(B85,'Tabula RefULG 1'!$K$5:$R$83,4,0)</f>
        <v>Wall External</v>
      </c>
      <c r="E85" s="108">
        <f>VLOOKUP(B85,'Tabula RefULG 1'!$K$5:$R$83,5,0)</f>
        <v>0</v>
      </c>
      <c r="F85" s="108" t="str">
        <f>VLOOKUP(B85,'Tabula RefULG 1'!$K$5:$R$83,6,0)</f>
        <v>right</v>
      </c>
      <c r="G85" s="108">
        <f>VLOOKUP(B85,'Tabula RefULG 1'!$K$5:$R$83,7,0)</f>
        <v>0.99033657090706906</v>
      </c>
      <c r="H85" s="109">
        <f>VLOOKUP(B85,'Tabula RefULG 1'!$K$5:$R$83,8,0)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 1'!$K$5:$R$83,3,0)</f>
        <v>2</v>
      </c>
      <c r="D86" s="108" t="str">
        <f>VLOOKUP(B86,'Tabula RefULG 1'!$K$5:$R$83,4,0)</f>
        <v>Wall External</v>
      </c>
      <c r="E86" s="108">
        <f>VLOOKUP(B86,'Tabula RefULG 1'!$K$5:$R$83,5,0)</f>
        <v>26.085502079619726</v>
      </c>
      <c r="F86" s="108" t="str">
        <f>VLOOKUP(B86,'Tabula RefULG 1'!$K$5:$R$83,6,0)</f>
        <v>back</v>
      </c>
      <c r="G86" s="108">
        <f>VLOOKUP(B86,'Tabula RefULG 1'!$K$5:$R$83,7,0)</f>
        <v>0.99033657090706906</v>
      </c>
      <c r="H86" s="109">
        <f>VLOOKUP(B86,'Tabula RefULG 1'!$K$5:$R$83,8,0)</f>
        <v>25.833426679919818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 1'!$K$5:$R$83,3,0)</f>
        <v>2</v>
      </c>
      <c r="D87" s="108" t="str">
        <f>VLOOKUP(B87,'Tabula RefULG 1'!$K$5:$R$83,4,0)</f>
        <v>Wall External</v>
      </c>
      <c r="E87" s="108">
        <f>VLOOKUP(B87,'Tabula RefULG 1'!$K$5:$R$83,5,0)</f>
        <v>0</v>
      </c>
      <c r="F87" s="108" t="str">
        <f>VLOOKUP(B87,'Tabula RefULG 1'!$K$5:$R$83,6,0)</f>
        <v>left</v>
      </c>
      <c r="G87" s="108">
        <f>VLOOKUP(B87,'Tabula RefULG 1'!$K$5:$R$83,7,0)</f>
        <v>0.99033657090706906</v>
      </c>
      <c r="H87" s="109">
        <f>VLOOKUP(B87,'Tabula RefULG 1'!$K$5:$R$83,8,0)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 1'!$K$5:$R$83,3,0)</f>
        <v>2</v>
      </c>
      <c r="D88" s="108" t="str">
        <f>VLOOKUP(B88,'Tabula RefULG 1'!$K$5:$R$83,4,0)</f>
        <v>Window</v>
      </c>
      <c r="E88" s="108">
        <f>VLOOKUP(B88,'Tabula RefULG 1'!$K$5:$R$83,5,0)</f>
        <v>2.85</v>
      </c>
      <c r="F88" s="108" t="str">
        <f>VLOOKUP(B88,'Tabula RefULG 1'!$K$5:$R$83,6,0)</f>
        <v>front</v>
      </c>
      <c r="G88" s="108">
        <f>VLOOKUP(B88,'Tabula RefULG 1'!$K$5:$R$83,7,0)</f>
        <v>2</v>
      </c>
      <c r="H88" s="109">
        <f>VLOOKUP(B88,'Tabula RefULG 1'!$K$5:$R$83,8,0)</f>
        <v>5.7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 1'!$K$5:$R$83,3,0)</f>
        <v>2</v>
      </c>
      <c r="D89" s="108" t="str">
        <f>VLOOKUP(B89,'Tabula RefULG 1'!$K$5:$R$83,4,0)</f>
        <v>Window</v>
      </c>
      <c r="E89" s="108">
        <f>VLOOKUP(B89,'Tabula RefULG 1'!$K$5:$R$83,5,0)</f>
        <v>3.15</v>
      </c>
      <c r="F89" s="108" t="str">
        <f>VLOOKUP(B89,'Tabula RefULG 1'!$K$5:$R$83,6,0)</f>
        <v>right</v>
      </c>
      <c r="G89" s="108">
        <f>VLOOKUP(B89,'Tabula RefULG 1'!$K$5:$R$83,7,0)</f>
        <v>2</v>
      </c>
      <c r="H89" s="109">
        <f>VLOOKUP(B89,'Tabula RefULG 1'!$K$5:$R$83,8,0)</f>
        <v>6.3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 1'!$K$5:$R$83,3,0)</f>
        <v>2</v>
      </c>
      <c r="D90" s="108" t="str">
        <f>VLOOKUP(B90,'Tabula RefULG 1'!$K$5:$R$83,4,0)</f>
        <v>Window</v>
      </c>
      <c r="E90" s="108">
        <f>VLOOKUP(B90,'Tabula RefULG 1'!$K$5:$R$83,5,0)</f>
        <v>2.95</v>
      </c>
      <c r="F90" s="108" t="str">
        <f>VLOOKUP(B90,'Tabula RefULG 1'!$K$5:$R$83,6,0)</f>
        <v>back</v>
      </c>
      <c r="G90" s="108">
        <f>VLOOKUP(B90,'Tabula RefULG 1'!$K$5:$R$83,7,0)</f>
        <v>2</v>
      </c>
      <c r="H90" s="109">
        <f>VLOOKUP(B90,'Tabula RefULG 1'!$K$5:$R$83,8,0)</f>
        <v>5.9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 1'!$K$5:$R$83,3,0)</f>
        <v>2</v>
      </c>
      <c r="D91" s="108" t="str">
        <f>VLOOKUP(B91,'Tabula RefULG 1'!$K$5:$R$83,4,0)</f>
        <v>Window</v>
      </c>
      <c r="E91" s="108">
        <f>VLOOKUP(B91,'Tabula RefULG 1'!$K$5:$R$83,5,0)</f>
        <v>3.25</v>
      </c>
      <c r="F91" s="108" t="str">
        <f>VLOOKUP(B91,'Tabula RefULG 1'!$K$5:$R$83,6,0)</f>
        <v>left</v>
      </c>
      <c r="G91" s="108">
        <f>VLOOKUP(B91,'Tabula RefULG 1'!$K$5:$R$83,7,0)</f>
        <v>2</v>
      </c>
      <c r="H91" s="109">
        <f>VLOOKUP(B91,'Tabula RefULG 1'!$K$5:$R$83,8,0)</f>
        <v>6.5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 1'!$K$5:$R$83,3,0)</f>
        <v>2</v>
      </c>
      <c r="D92" s="108" t="str">
        <f>VLOOKUP(B92,'Tabula RefULG 1'!$K$5:$R$83,4,0)</f>
        <v>Roof</v>
      </c>
      <c r="E92" s="108">
        <f>VLOOKUP(B92,'Tabula RefULG 1'!$K$5:$R$83,5,0)</f>
        <v>78.599999999999994</v>
      </c>
      <c r="F92" s="108" t="str">
        <f>VLOOKUP(B92,'Tabula RefULG 1'!$K$5:$R$83,6,0)</f>
        <v>front/back</v>
      </c>
      <c r="G92" s="108">
        <f>VLOOKUP(B92,'Tabula RefULG 1'!$K$5:$R$83,7,0)</f>
        <v>0.3127301569316186</v>
      </c>
      <c r="H92" s="109">
        <f>VLOOKUP(B92,'Tabula RefULG 1'!$K$5:$R$83,8,0)</f>
        <v>24.580590334825221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 1'!$K$5:$R$83,2,0)=$B$78,VLOOKUP(B108,'Tabula RefULG 1'!$K$5:$R$83,2,0),VLOOKUP(B108,'Tabula RefULG 1'!$K$5:$R$83,3,0))</f>
        <v>2</v>
      </c>
      <c r="D108" s="123">
        <f>IF(VLOOKUP(B108,'Tabula RefULG 1'!$K$5:$R$83,2,0)=$B$78,VLOOKUP(B108,'Tabula RefULG 1'!$K$5:$R$83,3,0),VLOOKUP(B108,'Tabula RefULG 1'!$K$5:$R$83,2,0))</f>
        <v>1</v>
      </c>
      <c r="E108" s="123" t="str">
        <f>VLOOKUP(B108,'Tabula RefULG 1'!$K$5:$R$83,4,0)</f>
        <v>Floor internal</v>
      </c>
      <c r="F108" s="123">
        <f>VLOOKUP(B108,'Tabula RefULG 1'!$K$5:$R$83,5,0)</f>
        <v>62</v>
      </c>
      <c r="G108" s="123">
        <f>VLOOKUP('Verwarming Tabula 2zone RefULG1'!C108,'Tabula RefULG 1'!$A$34:$F$45,5,0)</f>
        <v>16</v>
      </c>
      <c r="H108" s="123">
        <f>VLOOKUP('Verwarming Tabula 2zone RefULG1'!D108,'Tabula RefULG 1'!$A$34:$F$45,5,0)</f>
        <v>21</v>
      </c>
      <c r="I108" s="123">
        <f>VLOOKUP(B108,'Tabula RefULG 1'!$K$5:$R$83,7,0)</f>
        <v>1.4911242603550294</v>
      </c>
      <c r="J108" s="119">
        <f>VLOOKUP(B108,'Tabula RefULG 1'!$K$5:$R$83,8,0)</f>
        <v>92.449704142011825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 1'!$K$5:$R$83,2,0)=$B$78,VLOOKUP(B109,'Tabula RefULG 1'!$K$5:$R$83,2,0),VLOOKUP(B109,'Tabula RefULG 1'!$K$5:$R$83,3,0))</f>
        <v>2</v>
      </c>
      <c r="D109" s="123">
        <f>IF(VLOOKUP(B109,'Tabula RefULG 1'!$K$5:$R$83,2,0)=$B$78,VLOOKUP(B109,'Tabula RefULG 1'!$K$5:$R$83,3,0),VLOOKUP(B109,'Tabula RefULG 1'!$K$5:$R$83,2,0))</f>
        <v>2</v>
      </c>
      <c r="E109" s="123" t="str">
        <f>VLOOKUP(B109,'Tabula RefULG 1'!$K$5:$R$83,4,0)</f>
        <v>Wall internal</v>
      </c>
      <c r="F109" s="123">
        <f>VLOOKUP(B109,'Tabula RefULG 1'!$K$5:$R$83,5,0)</f>
        <v>116.69953307677261</v>
      </c>
      <c r="G109" s="123">
        <f>VLOOKUP('Verwarming Tabula 2zone RefULG1'!C109,'Tabula RefULG 1'!$A$34:$F$45,5,0)</f>
        <v>16</v>
      </c>
      <c r="H109" s="123">
        <f>VLOOKUP('Verwarming Tabula 2zone RefULG1'!D109,'Tabula RefULG 1'!$A$34:$F$45,5,0)</f>
        <v>16</v>
      </c>
      <c r="I109" s="123">
        <f>VLOOKUP(B109,'Tabula RefULG 1'!$K$5:$R$83,7,0)</f>
        <v>1.7363344051446945</v>
      </c>
      <c r="J109" s="119">
        <f>VLOOKUP(B109,'Tabula RefULG 1'!$K$5:$R$83,8,0)</f>
        <v>202.62941434552158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81.387088665079062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1953.2901279618975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22" t="s">
        <v>197</v>
      </c>
      <c r="B124" s="322"/>
      <c r="C124" s="322"/>
      <c r="D124" s="126" t="s">
        <v>225</v>
      </c>
      <c r="E124" s="290"/>
      <c r="F124" s="290"/>
      <c r="G124" s="290"/>
      <c r="H124" s="290"/>
      <c r="I124" s="290"/>
      <c r="J124" s="290"/>
      <c r="K124" s="290"/>
      <c r="L124" s="290"/>
      <c r="M124" s="290"/>
      <c r="N124" s="290"/>
      <c r="O124" s="290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4.3447082702411146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 1'!$A$34:$F$45,2,0)*B127*B128*B129</f>
        <v>76.199894462675431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 1'!G35</f>
        <v>106.30000000000001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76.199894462675431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0.47777823073005754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0.34*(B137)</f>
        <v>25.90796411730965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621.79113881543162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22" t="s">
        <v>213</v>
      </c>
      <c r="B142" s="322"/>
      <c r="C142" s="322"/>
      <c r="D142" s="322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106.30000000000001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RefULG1'!$B$4)</f>
        <v>146.16250000000002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1169.3000000000002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253.45755278238875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3744.3812667773291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90"/>
      <c r="C157" s="290"/>
      <c r="D157" s="290"/>
      <c r="E157" s="290"/>
      <c r="F157" s="290"/>
      <c r="G157" s="290"/>
      <c r="H157" s="290"/>
      <c r="I157" s="290"/>
      <c r="J157" s="290"/>
      <c r="K157" s="290"/>
      <c r="L157" s="290"/>
      <c r="M157" s="290"/>
      <c r="N157" s="290"/>
      <c r="O157" s="290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22" t="s">
        <v>171</v>
      </c>
      <c r="B159" s="322"/>
      <c r="C159" s="322"/>
      <c r="D159" s="322"/>
      <c r="E159" s="290"/>
      <c r="F159" s="290"/>
      <c r="G159" s="290"/>
      <c r="H159" s="290"/>
      <c r="I159" s="290"/>
      <c r="J159" s="290"/>
      <c r="K159" s="290"/>
      <c r="L159" s="290"/>
      <c r="M159" s="290"/>
      <c r="N159" s="290"/>
      <c r="O159" s="290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RefULG1'!C188,'Gebouwgegevens Allacker'!$A$35:$F$46,5,0)</f>
        <v>#N/A</v>
      </c>
      <c r="H188" s="123" t="e">
        <f>VLOOKUP('Verwarming Tabula 2zone RefULG1'!D188,'Gebouwgegevens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RefULG1'!C189,'Gebouwgegevens Allacker'!$A$35:$F$46,5,0)</f>
        <v>#N/A</v>
      </c>
      <c r="H189" s="123" t="e">
        <f>VLOOKUP('Verwarming Tabula 2zone RefULG1'!D189,'Gebouwgegevens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RefULG1'!C190,'Gebouwgegevens Allacker'!$A$35:$F$46,5,0)</f>
        <v>#N/A</v>
      </c>
      <c r="H190" s="123" t="e">
        <f>VLOOKUP('Verwarming Tabula 2zone RefULG1'!D190,'Gebouwgegevens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22" t="s">
        <v>197</v>
      </c>
      <c r="B204" s="322"/>
      <c r="C204" s="322"/>
      <c r="D204" s="126" t="s">
        <v>225</v>
      </c>
      <c r="E204" s="290"/>
      <c r="F204" s="290"/>
      <c r="G204" s="290"/>
      <c r="H204" s="290"/>
      <c r="I204" s="290"/>
      <c r="J204" s="290"/>
      <c r="K204" s="290"/>
      <c r="L204" s="290"/>
      <c r="M204" s="290"/>
      <c r="N204" s="290"/>
      <c r="O204" s="290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22" t="s">
        <v>213</v>
      </c>
      <c r="B222" s="322"/>
      <c r="C222" s="322"/>
      <c r="D222" s="322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90"/>
      <c r="C236" s="290"/>
      <c r="D236" s="290"/>
      <c r="E236" s="290"/>
      <c r="F236" s="290"/>
      <c r="G236" s="290"/>
      <c r="H236" s="290"/>
      <c r="I236" s="290"/>
      <c r="J236" s="290"/>
      <c r="K236" s="290"/>
      <c r="L236" s="290"/>
      <c r="M236" s="290"/>
      <c r="N236" s="290"/>
      <c r="O236" s="290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22" t="s">
        <v>171</v>
      </c>
      <c r="B238" s="322"/>
      <c r="C238" s="322"/>
      <c r="D238" s="322"/>
      <c r="E238" s="290"/>
      <c r="F238" s="290"/>
      <c r="G238" s="290"/>
      <c r="H238" s="290"/>
      <c r="I238" s="290"/>
      <c r="J238" s="290"/>
      <c r="K238" s="290"/>
      <c r="L238" s="290"/>
      <c r="M238" s="290"/>
      <c r="N238" s="290"/>
      <c r="O238" s="290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RefULG1'!C267,'Gebouwgegevens Allacker'!$A$35:$F$46,5,0)</f>
        <v>#N/A</v>
      </c>
      <c r="H267" s="123" t="e">
        <f>VLOOKUP('Verwarming Tabula 2zone RefULG1'!D267,'Gebouwgegevens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RefULG1'!C268,'Gebouwgegevens Allacker'!$A$35:$F$46,5,0)</f>
        <v>#N/A</v>
      </c>
      <c r="H268" s="123" t="e">
        <f>VLOOKUP('Verwarming Tabula 2zone RefULG1'!D268,'Gebouwgegevens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RefULG1'!C269,'Gebouwgegevens Allacker'!$A$35:$F$46,5,0)</f>
        <v>#N/A</v>
      </c>
      <c r="H269" s="123" t="e">
        <f>VLOOKUP('Verwarming Tabula 2zone RefULG1'!D269,'Gebouwgegevens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RefULG1'!C270,'Gebouwgegevens Allacker'!$A$35:$F$46,5,0)</f>
        <v>#N/A</v>
      </c>
      <c r="H270" s="123" t="e">
        <f>VLOOKUP('Verwarming Tabula 2zone RefULG1'!D270,'Gebouwgegevens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22" t="s">
        <v>197</v>
      </c>
      <c r="B283" s="322"/>
      <c r="C283" s="322"/>
      <c r="D283" s="126" t="s">
        <v>225</v>
      </c>
      <c r="E283" s="290"/>
      <c r="F283" s="290"/>
      <c r="G283" s="290"/>
      <c r="H283" s="290"/>
      <c r="I283" s="290"/>
      <c r="J283" s="290"/>
      <c r="K283" s="290"/>
      <c r="L283" s="290"/>
      <c r="M283" s="290"/>
      <c r="N283" s="290"/>
      <c r="O283" s="290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22" t="s">
        <v>213</v>
      </c>
      <c r="B301" s="322"/>
      <c r="C301" s="322"/>
      <c r="D301" s="322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90"/>
      <c r="C315" s="290"/>
      <c r="D315" s="290"/>
      <c r="E315" s="290"/>
      <c r="F315" s="290"/>
      <c r="G315" s="290"/>
      <c r="H315" s="290"/>
      <c r="I315" s="290"/>
      <c r="J315" s="290"/>
      <c r="K315" s="290"/>
      <c r="L315" s="290"/>
      <c r="M315" s="290"/>
      <c r="N315" s="290"/>
      <c r="O315" s="290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22" t="s">
        <v>171</v>
      </c>
      <c r="B317" s="322"/>
      <c r="C317" s="322"/>
      <c r="D317" s="322"/>
      <c r="E317" s="290"/>
      <c r="F317" s="290"/>
      <c r="G317" s="290"/>
      <c r="H317" s="290"/>
      <c r="I317" s="290"/>
      <c r="J317" s="290"/>
      <c r="K317" s="290"/>
      <c r="L317" s="290"/>
      <c r="M317" s="290"/>
      <c r="N317" s="290"/>
      <c r="O317" s="290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RefULG1'!C346,'Gebouwgegevens Allacker'!$A$35:$F$46,5,0)</f>
        <v>#N/A</v>
      </c>
      <c r="H346" s="123" t="e">
        <f>VLOOKUP('Verwarming Tabula 2zone RefULG1'!D346,'Gebouwgegevens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RefULG1'!C347,'Gebouwgegevens Allacker'!$A$35:$F$46,5,0)</f>
        <v>#N/A</v>
      </c>
      <c r="H347" s="123" t="e">
        <f>VLOOKUP('Verwarming Tabula 2zone RefULG1'!D347,'Gebouwgegevens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RefULG1'!C348,'Gebouwgegevens Allacker'!$A$35:$F$46,5,0)</f>
        <v>#N/A</v>
      </c>
      <c r="H348" s="123" t="e">
        <f>VLOOKUP('Verwarming Tabula 2zone RefULG1'!D348,'Gebouwgegevens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RefULG1'!C349,'Gebouwgegevens Allacker'!$A$35:$F$46,5,0)</f>
        <v>#N/A</v>
      </c>
      <c r="H349" s="123" t="e">
        <f>VLOOKUP('Verwarming Tabula 2zone RefULG1'!D349,'Gebouwgegevens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RefULG1'!C350,'Gebouwgegevens Allacker'!$A$35:$F$46,5,0)</f>
        <v>#N/A</v>
      </c>
      <c r="H350" s="123" t="e">
        <f>VLOOKUP('Verwarming Tabula 2zone RefULG1'!D350,'Gebouwgegevens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22" t="s">
        <v>197</v>
      </c>
      <c r="B362" s="322"/>
      <c r="C362" s="322"/>
      <c r="D362" s="126" t="s">
        <v>225</v>
      </c>
      <c r="E362" s="290"/>
      <c r="F362" s="290"/>
      <c r="G362" s="290"/>
      <c r="H362" s="290"/>
      <c r="I362" s="290"/>
      <c r="J362" s="290"/>
      <c r="K362" s="290"/>
      <c r="L362" s="290"/>
      <c r="M362" s="290"/>
      <c r="N362" s="290"/>
      <c r="O362" s="290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22" t="s">
        <v>213</v>
      </c>
      <c r="B380" s="322"/>
      <c r="C380" s="322"/>
      <c r="D380" s="322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90"/>
      <c r="C393" s="290"/>
      <c r="D393" s="290"/>
      <c r="E393" s="290"/>
      <c r="F393" s="290"/>
      <c r="G393" s="290"/>
      <c r="H393" s="290"/>
      <c r="I393" s="290"/>
      <c r="J393" s="290"/>
      <c r="K393" s="290"/>
      <c r="L393" s="290"/>
      <c r="M393" s="290"/>
      <c r="N393" s="290"/>
      <c r="O393" s="290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22" t="s">
        <v>171</v>
      </c>
      <c r="B395" s="322"/>
      <c r="C395" s="322"/>
      <c r="D395" s="322"/>
      <c r="E395" s="290"/>
      <c r="F395" s="290"/>
      <c r="G395" s="290"/>
      <c r="H395" s="290"/>
      <c r="I395" s="290"/>
      <c r="J395" s="290"/>
      <c r="K395" s="290"/>
      <c r="L395" s="290"/>
      <c r="M395" s="290"/>
      <c r="N395" s="290"/>
      <c r="O395" s="290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RefULG1'!C424,'Gebouwgegevens Allacker'!$A$35:$F$46,5,0)</f>
        <v>#N/A</v>
      </c>
      <c r="H424" s="123" t="e">
        <f>VLOOKUP('Verwarming Tabula 2zone RefULG1'!D424,'Gebouwgegevens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RefULG1'!C425,'Gebouwgegevens Allacker'!$A$35:$F$46,5,0)</f>
        <v>#N/A</v>
      </c>
      <c r="H425" s="123" t="e">
        <f>VLOOKUP('Verwarming Tabula 2zone RefULG1'!D425,'Gebouwgegevens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RefULG1'!C426,'Gebouwgegevens Allacker'!$A$35:$F$46,5,0)</f>
        <v>#N/A</v>
      </c>
      <c r="H426" s="123" t="e">
        <f>VLOOKUP('Verwarming Tabula 2zone RefULG1'!D426,'Gebouwgegevens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RefULG1'!C427,'Gebouwgegevens Allacker'!$A$35:$F$46,5,0)</f>
        <v>#N/A</v>
      </c>
      <c r="H427" s="123" t="e">
        <f>VLOOKUP('Verwarming Tabula 2zone RefULG1'!D427,'Gebouwgegevens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RefULG1'!C428,'Gebouwgegevens Allacker'!$A$35:$F$46,5,0)</f>
        <v>#N/A</v>
      </c>
      <c r="H428" s="123" t="e">
        <f>VLOOKUP('Verwarming Tabula 2zone RefULG1'!D428,'Gebouwgegevens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22" t="s">
        <v>197</v>
      </c>
      <c r="B440" s="322"/>
      <c r="C440" s="322"/>
      <c r="D440" s="126" t="s">
        <v>225</v>
      </c>
      <c r="E440" s="290"/>
      <c r="F440" s="290"/>
      <c r="G440" s="290"/>
      <c r="H440" s="290"/>
      <c r="I440" s="290"/>
      <c r="J440" s="290"/>
      <c r="K440" s="290"/>
      <c r="L440" s="290"/>
      <c r="M440" s="290"/>
      <c r="N440" s="290"/>
      <c r="O440" s="290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22" t="s">
        <v>213</v>
      </c>
      <c r="B458" s="322"/>
      <c r="C458" s="322"/>
      <c r="D458" s="322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90"/>
      <c r="C471" s="290"/>
      <c r="D471" s="290"/>
      <c r="E471" s="290"/>
      <c r="F471" s="290"/>
      <c r="G471" s="290"/>
      <c r="H471" s="290"/>
      <c r="I471" s="290"/>
      <c r="J471" s="290"/>
      <c r="K471" s="290"/>
      <c r="L471" s="290"/>
      <c r="M471" s="290"/>
      <c r="N471" s="290"/>
      <c r="O471" s="290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22" t="s">
        <v>171</v>
      </c>
      <c r="B473" s="322"/>
      <c r="C473" s="322"/>
      <c r="D473" s="322"/>
      <c r="E473" s="290"/>
      <c r="F473" s="290"/>
      <c r="G473" s="290"/>
      <c r="H473" s="290"/>
      <c r="I473" s="290"/>
      <c r="J473" s="290"/>
      <c r="K473" s="290"/>
      <c r="L473" s="290"/>
      <c r="M473" s="290"/>
      <c r="N473" s="290"/>
      <c r="O473" s="290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RefULG1'!C502,'Gebouwgegevens Allacker'!$A$35:$F$46,5,0)</f>
        <v>#N/A</v>
      </c>
      <c r="H502" s="123" t="e">
        <f>VLOOKUP('Verwarming Tabula 2zone RefULG1'!D502,'Gebouwgegevens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RefULG1'!C503,'Gebouwgegevens Allacker'!$A$35:$F$46,5,0)</f>
        <v>#N/A</v>
      </c>
      <c r="H503" s="123" t="e">
        <f>VLOOKUP('Verwarming Tabula 2zone RefULG1'!D503,'Gebouwgegevens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RefULG1'!C504,'Gebouwgegevens Allacker'!$A$35:$F$46,5,0)</f>
        <v>#N/A</v>
      </c>
      <c r="H504" s="123" t="e">
        <f>VLOOKUP('Verwarming Tabula 2zone RefULG1'!D504,'Gebouwgegevens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22" t="s">
        <v>197</v>
      </c>
      <c r="B518" s="322"/>
      <c r="C518" s="322"/>
      <c r="D518" s="126" t="s">
        <v>225</v>
      </c>
      <c r="E518" s="290"/>
      <c r="F518" s="290"/>
      <c r="G518" s="290"/>
      <c r="H518" s="290"/>
      <c r="I518" s="290"/>
      <c r="J518" s="290"/>
      <c r="K518" s="290"/>
      <c r="L518" s="290"/>
      <c r="M518" s="290"/>
      <c r="N518" s="290"/>
      <c r="O518" s="290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22" t="s">
        <v>213</v>
      </c>
      <c r="B536" s="322"/>
      <c r="C536" s="322"/>
      <c r="D536" s="322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90"/>
      <c r="C550" s="290"/>
      <c r="D550" s="290"/>
      <c r="E550" s="290"/>
      <c r="F550" s="290"/>
      <c r="G550" s="290"/>
      <c r="H550" s="290"/>
      <c r="I550" s="290"/>
      <c r="J550" s="290"/>
      <c r="K550" s="290"/>
      <c r="L550" s="290"/>
      <c r="M550" s="290"/>
      <c r="N550" s="290"/>
      <c r="O550" s="290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22" t="s">
        <v>171</v>
      </c>
      <c r="B552" s="322"/>
      <c r="C552" s="322"/>
      <c r="D552" s="322"/>
      <c r="E552" s="290"/>
      <c r="F552" s="290"/>
      <c r="G552" s="290"/>
      <c r="H552" s="290"/>
      <c r="I552" s="290"/>
      <c r="J552" s="290"/>
      <c r="K552" s="290"/>
      <c r="L552" s="290"/>
      <c r="M552" s="290"/>
      <c r="N552" s="290"/>
      <c r="O552" s="290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RefULG1'!C581,'Gebouwgegevens Allacker'!$A$35:$F$46,5,0)</f>
        <v>#N/A</v>
      </c>
      <c r="H581" s="123" t="e">
        <f>VLOOKUP('Verwarming Tabula 2zone RefULG1'!D581,'Gebouwgegevens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RefULG1'!C582,'Gebouwgegevens Allacker'!$A$35:$F$46,5,0)</f>
        <v>#N/A</v>
      </c>
      <c r="H582" s="123" t="e">
        <f>VLOOKUP('Verwarming Tabula 2zone RefULG1'!D582,'Gebouwgegevens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RefULG1'!C583,'Gebouwgegevens Allacker'!$A$35:$F$46,5,0)</f>
        <v>#N/A</v>
      </c>
      <c r="H583" s="123" t="e">
        <f>VLOOKUP('Verwarming Tabula 2zone RefULG1'!D583,'Gebouwgegevens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22" t="s">
        <v>197</v>
      </c>
      <c r="B597" s="322"/>
      <c r="C597" s="322"/>
      <c r="D597" s="126" t="s">
        <v>225</v>
      </c>
      <c r="E597" s="290"/>
      <c r="F597" s="290"/>
      <c r="G597" s="290"/>
      <c r="H597" s="290"/>
      <c r="I597" s="290"/>
      <c r="J597" s="290"/>
      <c r="K597" s="290"/>
      <c r="L597" s="290"/>
      <c r="M597" s="290"/>
      <c r="N597" s="290"/>
      <c r="O597" s="290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22" t="s">
        <v>213</v>
      </c>
      <c r="B615" s="322"/>
      <c r="C615" s="322"/>
      <c r="D615" s="322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90"/>
      <c r="C629" s="290"/>
      <c r="D629" s="290"/>
      <c r="E629" s="290"/>
      <c r="F629" s="290"/>
      <c r="G629" s="290"/>
      <c r="H629" s="290"/>
      <c r="I629" s="290"/>
      <c r="J629" s="290"/>
      <c r="K629" s="290"/>
      <c r="L629" s="290"/>
      <c r="M629" s="290"/>
      <c r="N629" s="290"/>
      <c r="O629" s="290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22" t="s">
        <v>171</v>
      </c>
      <c r="B631" s="322"/>
      <c r="C631" s="322"/>
      <c r="D631" s="322"/>
      <c r="E631" s="290"/>
      <c r="F631" s="290"/>
      <c r="G631" s="290"/>
      <c r="H631" s="290"/>
      <c r="I631" s="290"/>
      <c r="J631" s="290"/>
      <c r="K631" s="290"/>
      <c r="L631" s="290"/>
      <c r="M631" s="290"/>
      <c r="N631" s="290"/>
      <c r="O631" s="290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RefULG1'!C660,'Gebouwgegevens Allacker'!$A$35:$F$46,5,0)</f>
        <v>#N/A</v>
      </c>
      <c r="H660" s="123" t="e">
        <f>VLOOKUP('Verwarming Tabula 2zone RefULG1'!D660,'Gebouwgegevens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RefULG1'!C661,'Gebouwgegevens Allacker'!$A$35:$F$46,5,0)</f>
        <v>#N/A</v>
      </c>
      <c r="H661" s="123" t="e">
        <f>VLOOKUP('Verwarming Tabula 2zone RefULG1'!D661,'Gebouwgegevens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22" t="s">
        <v>197</v>
      </c>
      <c r="B676" s="322"/>
      <c r="C676" s="322"/>
      <c r="D676" s="126" t="s">
        <v>225</v>
      </c>
      <c r="E676" s="290"/>
      <c r="F676" s="290"/>
      <c r="G676" s="290"/>
      <c r="H676" s="290"/>
      <c r="I676" s="290"/>
      <c r="J676" s="290"/>
      <c r="K676" s="290"/>
      <c r="L676" s="290"/>
      <c r="M676" s="290"/>
      <c r="N676" s="290"/>
      <c r="O676" s="290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22" t="s">
        <v>213</v>
      </c>
      <c r="B694" s="322"/>
      <c r="C694" s="322"/>
      <c r="D694" s="322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90"/>
      <c r="C708" s="290"/>
      <c r="D708" s="290"/>
      <c r="E708" s="290"/>
      <c r="F708" s="290"/>
      <c r="G708" s="290"/>
      <c r="H708" s="290"/>
      <c r="I708" s="290"/>
      <c r="J708" s="290"/>
      <c r="K708" s="290"/>
      <c r="L708" s="290"/>
      <c r="M708" s="290"/>
      <c r="N708" s="290"/>
      <c r="O708" s="290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22" t="s">
        <v>171</v>
      </c>
      <c r="B710" s="322"/>
      <c r="C710" s="322"/>
      <c r="D710" s="322"/>
      <c r="E710" s="290"/>
      <c r="F710" s="290"/>
      <c r="G710" s="290"/>
      <c r="H710" s="290"/>
      <c r="I710" s="290"/>
      <c r="J710" s="290"/>
      <c r="K710" s="290"/>
      <c r="L710" s="290"/>
      <c r="M710" s="290"/>
      <c r="N710" s="290"/>
      <c r="O710" s="290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RefULG1'!C739,'Gebouwgegevens Allacker'!$A$35:$F$46,5,0)</f>
        <v>#N/A</v>
      </c>
      <c r="H739" s="123" t="e">
        <f>VLOOKUP('Verwarming Tabula 2zone RefULG1'!D739,'Gebouwgegevens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RefULG1'!C740,'Gebouwgegevens Allacker'!$A$35:$F$46,5,0)</f>
        <v>#N/A</v>
      </c>
      <c r="H740" s="123" t="e">
        <f>VLOOKUP('Verwarming Tabula 2zone RefULG1'!D740,'Gebouwgegevens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RefULG1'!C741,'Gebouwgegevens Allacker'!$A$35:$F$46,5,0)</f>
        <v>#N/A</v>
      </c>
      <c r="H741" s="123" t="e">
        <f>VLOOKUP('Verwarming Tabula 2zone RefULG1'!D741,'Gebouwgegevens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RefULG1'!C742,'Gebouwgegevens Allacker'!$A$35:$F$46,5,0)</f>
        <v>#N/A</v>
      </c>
      <c r="H742" s="123" t="e">
        <f>VLOOKUP('Verwarming Tabula 2zone RefULG1'!D742,'Gebouwgegevens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RefULG1'!C743,'Gebouwgegevens Allacker'!$A$35:$F$46,5,0)</f>
        <v>#N/A</v>
      </c>
      <c r="H743" s="123" t="e">
        <f>VLOOKUP('Verwarming Tabula 2zone RefULG1'!D743,'Gebouwgegevens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RefULG1'!C744,'Gebouwgegevens Allacker'!$A$35:$F$46,5,0)</f>
        <v>#N/A</v>
      </c>
      <c r="H744" s="123" t="e">
        <f>VLOOKUP('Verwarming Tabula 2zone RefULG1'!D744,'Gebouwgegevens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RefULG1'!C745,'Gebouwgegevens Allacker'!$A$35:$F$46,5,0)</f>
        <v>#N/A</v>
      </c>
      <c r="H745" s="123" t="e">
        <f>VLOOKUP('Verwarming Tabula 2zone RefULG1'!D745,'Gebouwgegevens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RefULG1'!C746,'Gebouwgegevens Allacker'!$A$35:$F$46,5,0)</f>
        <v>#N/A</v>
      </c>
      <c r="H746" s="123" t="e">
        <f>VLOOKUP('Verwarming Tabula 2zone RefULG1'!D746,'Gebouwgegevens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RefULG1'!C747,'Gebouwgegevens Allacker'!$A$35:$F$46,5,0)</f>
        <v>#N/A</v>
      </c>
      <c r="H747" s="123" t="e">
        <f>VLOOKUP('Verwarming Tabula 2zone RefULG1'!D747,'Gebouwgegevens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RefULG1'!C748,'Gebouwgegevens Allacker'!$A$35:$F$46,5,0)</f>
        <v>#N/A</v>
      </c>
      <c r="H748" s="123" t="e">
        <f>VLOOKUP('Verwarming Tabula 2zone RefULG1'!D748,'Gebouwgegevens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RefULG1'!C749,'Gebouwgegevens Allacker'!$A$35:$F$46,5,0)</f>
        <v>#N/A</v>
      </c>
      <c r="H749" s="123" t="e">
        <f>VLOOKUP('Verwarming Tabula 2zone RefULG1'!D749,'Gebouwgegevens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RefULG1'!C750,'Gebouwgegevens Allacker'!$A$35:$F$46,5,0)</f>
        <v>#N/A</v>
      </c>
      <c r="H750" s="123" t="e">
        <f>VLOOKUP('Verwarming Tabula 2zone RefULG1'!D750,'Gebouwgegevens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22" t="s">
        <v>197</v>
      </c>
      <c r="B755" s="322"/>
      <c r="C755" s="322"/>
      <c r="D755" s="126" t="s">
        <v>225</v>
      </c>
      <c r="E755" s="290"/>
      <c r="F755" s="290"/>
      <c r="G755" s="290"/>
      <c r="H755" s="290"/>
      <c r="I755" s="290"/>
      <c r="J755" s="290"/>
      <c r="K755" s="290"/>
      <c r="L755" s="290"/>
      <c r="M755" s="290"/>
      <c r="N755" s="290"/>
      <c r="O755" s="290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22" t="s">
        <v>213</v>
      </c>
      <c r="B773" s="322"/>
      <c r="C773" s="322"/>
      <c r="D773" s="322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G1" zoomScaleNormal="100" workbookViewId="0">
      <selection activeCell="D12" sqref="D12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20" t="s">
        <v>164</v>
      </c>
      <c r="B1" s="320"/>
      <c r="C1" s="320"/>
      <c r="D1" s="320"/>
      <c r="E1" s="320"/>
      <c r="F1" s="320"/>
      <c r="G1" s="320"/>
      <c r="H1" s="320"/>
      <c r="I1" s="320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90"/>
      <c r="W4" s="290"/>
      <c r="X4" s="290"/>
      <c r="Y4" s="95"/>
    </row>
    <row r="5" spans="1:25" ht="18" customHeight="1" thickTop="1" thickBot="1" x14ac:dyDescent="0.3">
      <c r="A5" s="94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95"/>
      <c r="U5" s="96"/>
      <c r="V5" s="317" t="s">
        <v>168</v>
      </c>
      <c r="W5" s="317"/>
      <c r="X5" s="317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90"/>
      <c r="Y6" s="97"/>
    </row>
    <row r="7" spans="1:25" ht="16.5" customHeight="1" thickTop="1" x14ac:dyDescent="0.25">
      <c r="A7" s="322" t="s">
        <v>171</v>
      </c>
      <c r="B7" s="322"/>
      <c r="C7" s="322"/>
      <c r="D7" s="322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95"/>
      <c r="U7" s="96"/>
      <c r="V7" s="102">
        <f>B6</f>
        <v>1</v>
      </c>
      <c r="W7" s="103">
        <f>B73</f>
        <v>3656.0535254243168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3654.3990265631264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 2'!K6</f>
        <v>W1</v>
      </c>
      <c r="C12" s="108">
        <f>VLOOKUP(B12,'Tabula RefULG 2'!$K$5:$R$83,3,0)</f>
        <v>1</v>
      </c>
      <c r="D12" s="108" t="str">
        <f>VLOOKUP(B12,'Tabula RefULG 2'!$K$5:$R$83,4,0)</f>
        <v>Wall External</v>
      </c>
      <c r="E12" s="108">
        <f>VLOOKUP(B12,'Tabula RefULG 2'!$K$5:$R$83,5,0)</f>
        <v>15.214497920380273</v>
      </c>
      <c r="F12" s="108" t="str">
        <f>VLOOKUP(B12,'Tabula RefULG 2'!$K$5:$R$83,6,0)</f>
        <v>front</v>
      </c>
      <c r="G12" s="108">
        <f>VLOOKUP(B12,'Tabula RefULG 2'!$K$5:$R$83,7,0)</f>
        <v>0.31684206193169995</v>
      </c>
      <c r="H12" s="109">
        <f>VLOOKUP(B12,'Tabula RefULG 2'!$K$5:$R$83,8,0)</f>
        <v>4.8205928923488468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 2'!K7</f>
        <v>W2</v>
      </c>
      <c r="C13" s="108">
        <f>VLOOKUP(B13,'Tabula RefULG 2'!$K$5:$R$83,3,0)</f>
        <v>1</v>
      </c>
      <c r="D13" s="108" t="str">
        <f>VLOOKUP(B13,'Tabula RefULG 2'!$K$5:$R$83,4,0)</f>
        <v>Wall External</v>
      </c>
      <c r="E13" s="108">
        <f>VLOOKUP(B13,'Tabula RefULG 2'!$K$5:$R$83,5,0)</f>
        <v>0</v>
      </c>
      <c r="F13" s="108" t="str">
        <f>VLOOKUP(B13,'Tabula RefULG 2'!$K$5:$R$83,6,0)</f>
        <v>right</v>
      </c>
      <c r="G13" s="108">
        <f>VLOOKUP(B13,'Tabula RefULG 2'!$K$5:$R$83,7,0)</f>
        <v>0.31684206193169995</v>
      </c>
      <c r="H13" s="109">
        <f>VLOOKUP(B13,'Tabula RefULG 2'!$K$5:$R$83,8,0)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 2'!K8</f>
        <v>W3</v>
      </c>
      <c r="C14" s="108">
        <f>VLOOKUP(B14,'Tabula RefULG 2'!$K$5:$R$83,3,0)</f>
        <v>1</v>
      </c>
      <c r="D14" s="108" t="str">
        <f>VLOOKUP(B14,'Tabula RefULG 2'!$K$5:$R$83,4,0)</f>
        <v>Wall External</v>
      </c>
      <c r="E14" s="108">
        <f>VLOOKUP(B14,'Tabula RefULG 2'!$K$5:$R$83,5,0)</f>
        <v>15.214497920380273</v>
      </c>
      <c r="F14" s="108" t="str">
        <f>VLOOKUP(B14,'Tabula RefULG 2'!$K$5:$R$83,6,0)</f>
        <v>back</v>
      </c>
      <c r="G14" s="108">
        <f>VLOOKUP(B14,'Tabula RefULG 2'!$K$5:$R$83,7,0)</f>
        <v>0.31684206193169995</v>
      </c>
      <c r="H14" s="109">
        <f>VLOOKUP(B14,'Tabula RefULG 2'!$K$5:$R$83,8,0)</f>
        <v>4.8205928923488468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 2'!K9</f>
        <v>W4</v>
      </c>
      <c r="C15" s="108">
        <f>VLOOKUP(B15,'Tabula RefULG 2'!$K$5:$R$83,3,0)</f>
        <v>1</v>
      </c>
      <c r="D15" s="108" t="str">
        <f>VLOOKUP(B15,'Tabula RefULG 2'!$K$5:$R$83,4,0)</f>
        <v>Wall External</v>
      </c>
      <c r="E15" s="108">
        <f>VLOOKUP(B15,'Tabula RefULG 2'!$K$5:$R$83,5,0)</f>
        <v>0</v>
      </c>
      <c r="F15" s="108" t="str">
        <f>VLOOKUP(B15,'Tabula RefULG 2'!$K$5:$R$83,6,0)</f>
        <v>left</v>
      </c>
      <c r="G15" s="108">
        <f>VLOOKUP(B15,'Tabula RefULG 2'!$K$5:$R$83,7,0)</f>
        <v>0.31684206193169995</v>
      </c>
      <c r="H15" s="109">
        <f>VLOOKUP(B15,'Tabula RefULG 2'!$K$5:$R$83,8,0)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 2'!K10</f>
        <v>W5</v>
      </c>
      <c r="C16" s="108">
        <f>VLOOKUP(B16,'Tabula RefULG 2'!$K$5:$R$83,3,0)</f>
        <v>1</v>
      </c>
      <c r="D16" s="108" t="str">
        <f>VLOOKUP(B16,'Tabula RefULG 2'!$K$5:$R$83,4,0)</f>
        <v>Window</v>
      </c>
      <c r="E16" s="108">
        <f>VLOOKUP(B16,'Tabula RefULG 2'!$K$5:$R$83,5,0)</f>
        <v>2.85</v>
      </c>
      <c r="F16" s="108" t="str">
        <f>VLOOKUP(B16,'Tabula RefULG 2'!$K$5:$R$83,6,0)</f>
        <v>front</v>
      </c>
      <c r="G16" s="108">
        <f>VLOOKUP(B16,'Tabula RefULG 2'!$K$5:$R$83,7,0)</f>
        <v>2</v>
      </c>
      <c r="H16" s="109">
        <f>VLOOKUP(B16,'Tabula RefULG 2'!$K$5:$R$83,8,0)</f>
        <v>5.7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 2'!K11</f>
        <v>W6</v>
      </c>
      <c r="C17" s="108">
        <f>VLOOKUP(B17,'Tabula RefULG 2'!$K$5:$R$83,3,0)</f>
        <v>1</v>
      </c>
      <c r="D17" s="108" t="str">
        <f>VLOOKUP(B17,'Tabula RefULG 2'!$K$5:$R$83,4,0)</f>
        <v>Window</v>
      </c>
      <c r="E17" s="108">
        <f>VLOOKUP(B17,'Tabula RefULG 2'!$K$5:$R$83,5,0)</f>
        <v>3.15</v>
      </c>
      <c r="F17" s="108" t="str">
        <f>VLOOKUP(B17,'Tabula RefULG 2'!$K$5:$R$83,6,0)</f>
        <v>right</v>
      </c>
      <c r="G17" s="108">
        <f>VLOOKUP(B17,'Tabula RefULG 2'!$K$5:$R$83,7,0)</f>
        <v>2</v>
      </c>
      <c r="H17" s="109">
        <f>VLOOKUP(B17,'Tabula RefULG 2'!$K$5:$R$83,8,0)</f>
        <v>6.3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 2'!K12</f>
        <v>W7</v>
      </c>
      <c r="C18" s="108">
        <f>VLOOKUP(B18,'Tabula RefULG 2'!$K$5:$R$83,3,0)</f>
        <v>1</v>
      </c>
      <c r="D18" s="108" t="str">
        <f>VLOOKUP(B18,'Tabula RefULG 2'!$K$5:$R$83,4,0)</f>
        <v>Window</v>
      </c>
      <c r="E18" s="108">
        <f>VLOOKUP(B18,'Tabula RefULG 2'!$K$5:$R$83,5,0)</f>
        <v>2.95</v>
      </c>
      <c r="F18" s="108" t="str">
        <f>VLOOKUP(B18,'Tabula RefULG 2'!$K$5:$R$83,6,0)</f>
        <v>back</v>
      </c>
      <c r="G18" s="108">
        <f>VLOOKUP(B18,'Tabula RefULG 2'!$K$5:$R$83,7,0)</f>
        <v>2</v>
      </c>
      <c r="H18" s="109">
        <f>VLOOKUP(B18,'Tabula RefULG 2'!$K$5:$R$83,8,0)</f>
        <v>5.9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7310.4525519874433</v>
      </c>
      <c r="X18" s="290" t="s">
        <v>172</v>
      </c>
      <c r="Y18" s="97"/>
    </row>
    <row r="19" spans="1:25" ht="16.5" customHeight="1" thickTop="1" thickBot="1" x14ac:dyDescent="0.3">
      <c r="A19" s="96"/>
      <c r="B19" s="107" t="str">
        <f>'Tabula RefULG 2'!K13</f>
        <v>W8</v>
      </c>
      <c r="C19" s="108">
        <f>VLOOKUP(B19,'Tabula RefULG 2'!$K$5:$R$83,3,0)</f>
        <v>1</v>
      </c>
      <c r="D19" s="108" t="str">
        <f>VLOOKUP(B19,'Tabula RefULG 2'!$K$5:$R$83,4,0)</f>
        <v>Window</v>
      </c>
      <c r="E19" s="108">
        <f>VLOOKUP(B19,'Tabula RefULG 2'!$K$5:$R$83,5,0)</f>
        <v>3.25</v>
      </c>
      <c r="F19" s="108" t="str">
        <f>VLOOKUP(B19,'Tabula RefULG 2'!$K$5:$R$83,6,0)</f>
        <v>left</v>
      </c>
      <c r="G19" s="108">
        <f>VLOOKUP(B19,'Tabula RefULG 2'!$K$5:$R$83,7,0)</f>
        <v>2</v>
      </c>
      <c r="H19" s="109">
        <f>VLOOKUP(B19,'Tabula RefULG 2'!$K$5:$R$83,8,0)</f>
        <v>6.5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 2'!$K$5:$R$83,3,0)</f>
        <v>1</v>
      </c>
      <c r="D21" s="108" t="str">
        <f>VLOOKUP(B21,'Tabula RefULG 2'!$K$5:$R$83,4,0)</f>
        <v>Roof</v>
      </c>
      <c r="E21" s="108">
        <f>VLOOKUP(B21,'Tabula RefULG 2'!$K$5:$R$83,5,0)</f>
        <v>0</v>
      </c>
      <c r="F21" s="108">
        <f>VLOOKUP(B21,'Tabula RefULG 2'!$K$5:$R$83,6,0)</f>
        <v>0</v>
      </c>
      <c r="G21" s="108">
        <f>VLOOKUP(B21,'Tabula RefULG 2'!$K$5:$R$83,7,0)</f>
        <v>0.3127301569316186</v>
      </c>
      <c r="H21" s="109">
        <f>VLOOKUP(B21,'Tabula RefULG 2'!$K$5:$R$83,8,0)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4021.6588779667491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 2'!$K$5:$R$83,3,0)</f>
        <v>1</v>
      </c>
      <c r="D22" s="108" t="str">
        <f>VLOOKUP(B22,'Tabula RefULG 2'!$K$5:$R$83,4,0)</f>
        <v>Door</v>
      </c>
      <c r="E22" s="108">
        <f>VLOOKUP(B22,'Tabula RefULG 2'!$K$5:$R$83,5,0)</f>
        <v>9.5</v>
      </c>
      <c r="F22" s="108">
        <f>VLOOKUP(B22,'Tabula RefULG 2'!$K$5:$R$83,6,0)</f>
        <v>0</v>
      </c>
      <c r="G22" s="108">
        <f>VLOOKUP(B22,'Tabula RefULG 2'!$K$5:$R$83,7,0)</f>
        <v>4</v>
      </c>
      <c r="H22" s="109">
        <f>VLOOKUP(B22,'Tabula RefULG 2'!$K$5:$R$83,8,0)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 2'!$K$5:$R$83,3,0)</f>
        <v>1</v>
      </c>
      <c r="D28" s="118" t="str">
        <f>VLOOKUP(B28,'Tabula RefULG 2'!$K$5:$R$83,4,0)</f>
        <v>Floor</v>
      </c>
      <c r="E28" s="118">
        <f>VLOOKUP(B28,'Tabula RefULG 2'!$K$5:$R$83,5,0)</f>
        <v>62</v>
      </c>
      <c r="F28" s="118">
        <f>VLOOKUP(B28,'Tabula RefULG 2'!$K$5:$R$83,7,0)</f>
        <v>0.3056768558951965</v>
      </c>
      <c r="G28" s="119">
        <f>VLOOKUP(B28,'Tabula RefULG 2'!$K$5:$R$83,8,0)</f>
        <v>18.951965065502183</v>
      </c>
      <c r="H28" s="119">
        <f>N28/F28*1.45/29*(21-12)</f>
        <v>0.34377515996148406</v>
      </c>
      <c r="I28" s="118">
        <f>'Tabula RefULG 2'!O14</f>
        <v>62</v>
      </c>
      <c r="J28" s="117">
        <f>SQRT(I28)*4</f>
        <v>31.496031496047245</v>
      </c>
      <c r="K28" s="117">
        <f>SUM('Tabula RefULG 2'!Z16:Z19)</f>
        <v>0.2225</v>
      </c>
      <c r="L28" s="120">
        <f>I28/(0.5*J28)</f>
        <v>3.9370039370059056</v>
      </c>
      <c r="M28" s="120">
        <f>K28+2*(1/F28)</f>
        <v>6.7653571428571428</v>
      </c>
      <c r="N28" s="121">
        <f>IF(M28&lt;L28,2*2/(PI()*L28+M28)*LN(PI()*L28/M28+1),2/(0.457*L28+M28))</f>
        <v>0.23352024451532155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8041.4978071861879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 2'!$K$5:$R$83,2,0)=B$6,VLOOKUP(B33,'Tabula RefULG 2'!$K$5:$R$83,2,0),VLOOKUP(B33,'Tabula RefULG 2'!$K$5:$R$83,3,0))</f>
        <v>1</v>
      </c>
      <c r="D33" s="123">
        <f>IF(VLOOKUP(B33,'Tabula RefULG 2'!$K$5:$R$83,2,0)=B$6,VLOOKUP(B33,'Tabula RefULG 2'!$K$5:$R$83,3,0),VLOOKUP(B33,'Tabula RefULG 2'!$K$5:$R$83,2,0))</f>
        <v>2</v>
      </c>
      <c r="E33" s="123" t="str">
        <f>VLOOKUP(B33,'Tabula RefULG 2'!$K$5:$R$83,4,0)</f>
        <v>Floor internal</v>
      </c>
      <c r="F33" s="123">
        <f>VLOOKUP(B33,'Tabula RefULG 2'!$K$5:$R$83,5,0)</f>
        <v>62</v>
      </c>
      <c r="G33" s="123">
        <f>VLOOKUP('Verwarming Tabula 2zone RefULG2'!C33,'Tabula RefULG 2'!$A$34:$F$45,5,0)</f>
        <v>21</v>
      </c>
      <c r="H33" s="123">
        <f>VLOOKUP('Verwarming Tabula 2zone RefULG2'!D33,'Tabula RefULG 2'!$A$34:$F$45,5,0)</f>
        <v>16</v>
      </c>
      <c r="I33" s="123">
        <f>VLOOKUP(B33,'Tabula RefULG 2'!$K$5:$R$83,7,0)</f>
        <v>1.0668924640135478</v>
      </c>
      <c r="J33" s="119">
        <f>VLOOKUP(B33,'Tabula RefULG 2'!$K$5:$R$83,8,0)</f>
        <v>66.147332768839959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 2'!$K$5:$R$83,2,0)=B$6,VLOOKUP(B34,'Tabula RefULG 2'!$K$5:$R$83,2,0),VLOOKUP(B34,'Tabula RefULG 2'!$K$5:$R$83,3,0))</f>
        <v>1</v>
      </c>
      <c r="D34" s="123">
        <f>IF(VLOOKUP(B34,'Tabula RefULG 2'!$K$5:$R$83,2,0)=B$6,VLOOKUP(B34,'Tabula RefULG 2'!$K$5:$R$83,3,0),VLOOKUP(B34,'Tabula RefULG 2'!$K$5:$R$83,2,0))</f>
        <v>1</v>
      </c>
      <c r="E34" s="123" t="str">
        <f>VLOOKUP(B34,'Tabula RefULG 2'!$K$5:$R$83,4,0)</f>
        <v>Wall internal</v>
      </c>
      <c r="F34" s="123">
        <f>VLOOKUP(B34,'Tabula RefULG 2'!$K$5:$R$83,5,0)</f>
        <v>68.065579028785521</v>
      </c>
      <c r="G34" s="123">
        <f>VLOOKUP('Verwarming Tabula 2zone RefULG2'!C34,'Tabula RefULG 2'!$A$34:$F$45,5,0)</f>
        <v>21</v>
      </c>
      <c r="H34" s="123">
        <f>VLOOKUP('Verwarming Tabula 2zone RefULG2'!D34,'Tabula RefULG 2'!$A$34:$F$45,5,0)</f>
        <v>21</v>
      </c>
      <c r="I34" s="123">
        <f>VLOOKUP(B34,'Tabula RefULG 2'!$K$5:$R$83,7,0)</f>
        <v>1.210762331838565</v>
      </c>
      <c r="J34" s="119">
        <f>VLOOKUP(B34,'Tabula RefULG 2'!$K$5:$R$83,8,0)</f>
        <v>82.411239182834478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89.961113153026872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2608.8722814377793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22" t="s">
        <v>197</v>
      </c>
      <c r="B45" s="322"/>
      <c r="C45" s="322"/>
      <c r="D45" s="126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4.3447082702411146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 2'!B34</f>
        <v>37.036637321149861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 2'!G34</f>
        <v>62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37.036637321149861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0.17847089619967937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12.592456689190954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365.18124398653765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22" t="s">
        <v>213</v>
      </c>
      <c r="B63" s="322"/>
      <c r="C63" s="322"/>
      <c r="D63" s="322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 2'!B7</f>
        <v>62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RefULG2'!$B$4)</f>
        <v>23.517241379310345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682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126.07081122152817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3656.0535254243168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22" t="s">
        <v>171</v>
      </c>
      <c r="B79" s="322"/>
      <c r="C79" s="322"/>
      <c r="D79" s="322"/>
      <c r="E79" s="290"/>
      <c r="F79" s="290"/>
      <c r="G79" s="290"/>
      <c r="H79" s="290"/>
      <c r="I79" s="290"/>
      <c r="J79" s="290"/>
      <c r="K79" s="290"/>
      <c r="L79" s="290"/>
      <c r="M79" s="290"/>
      <c r="N79" s="290"/>
      <c r="O79" s="290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 2'!$K$5:$R$83,3,0)</f>
        <v>2</v>
      </c>
      <c r="D84" s="108" t="str">
        <f>VLOOKUP(B84,'Tabula RefULG 2'!$K$5:$R$83,4,0)</f>
        <v>Wall External</v>
      </c>
      <c r="E84" s="108">
        <f>VLOOKUP(B84,'Tabula RefULG 2'!$K$5:$R$83,5,0)</f>
        <v>26.085502079619726</v>
      </c>
      <c r="F84" s="108" t="str">
        <f>VLOOKUP(B84,'Tabula RefULG 2'!$K$5:$R$83,6,0)</f>
        <v>front</v>
      </c>
      <c r="G84" s="108">
        <f>VLOOKUP(B84,'Tabula RefULG 2'!$K$5:$R$83,7,0)</f>
        <v>0.31684206193169995</v>
      </c>
      <c r="H84" s="109">
        <f>VLOOKUP(B84,'Tabula RefULG 2'!$K$5:$R$83,8,0)</f>
        <v>8.2649842654303605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 2'!$K$5:$R$83,3,0)</f>
        <v>2</v>
      </c>
      <c r="D85" s="108" t="str">
        <f>VLOOKUP(B85,'Tabula RefULG 2'!$K$5:$R$83,4,0)</f>
        <v>Wall External</v>
      </c>
      <c r="E85" s="108">
        <f>VLOOKUP(B85,'Tabula RefULG 2'!$K$5:$R$83,5,0)</f>
        <v>0</v>
      </c>
      <c r="F85" s="108" t="str">
        <f>VLOOKUP(B85,'Tabula RefULG 2'!$K$5:$R$83,6,0)</f>
        <v>right</v>
      </c>
      <c r="G85" s="108">
        <f>VLOOKUP(B85,'Tabula RefULG 2'!$K$5:$R$83,7,0)</f>
        <v>0.31684206193169995</v>
      </c>
      <c r="H85" s="109">
        <f>VLOOKUP(B85,'Tabula RefULG 2'!$K$5:$R$83,8,0)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 2'!$K$5:$R$83,3,0)</f>
        <v>2</v>
      </c>
      <c r="D86" s="108" t="str">
        <f>VLOOKUP(B86,'Tabula RefULG 2'!$K$5:$R$83,4,0)</f>
        <v>Wall External</v>
      </c>
      <c r="E86" s="108">
        <f>VLOOKUP(B86,'Tabula RefULG 2'!$K$5:$R$83,5,0)</f>
        <v>26.085502079619726</v>
      </c>
      <c r="F86" s="108" t="str">
        <f>VLOOKUP(B86,'Tabula RefULG 2'!$K$5:$R$83,6,0)</f>
        <v>back</v>
      </c>
      <c r="G86" s="108">
        <f>VLOOKUP(B86,'Tabula RefULG 2'!$K$5:$R$83,7,0)</f>
        <v>0.31684206193169995</v>
      </c>
      <c r="H86" s="109">
        <f>VLOOKUP(B86,'Tabula RefULG 2'!$K$5:$R$83,8,0)</f>
        <v>8.2649842654303605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 2'!$K$5:$R$83,3,0)</f>
        <v>2</v>
      </c>
      <c r="D87" s="108" t="str">
        <f>VLOOKUP(B87,'Tabula RefULG 2'!$K$5:$R$83,4,0)</f>
        <v>Wall External</v>
      </c>
      <c r="E87" s="108">
        <f>VLOOKUP(B87,'Tabula RefULG 2'!$K$5:$R$83,5,0)</f>
        <v>0</v>
      </c>
      <c r="F87" s="108" t="str">
        <f>VLOOKUP(B87,'Tabula RefULG 2'!$K$5:$R$83,6,0)</f>
        <v>left</v>
      </c>
      <c r="G87" s="108">
        <f>VLOOKUP(B87,'Tabula RefULG 2'!$K$5:$R$83,7,0)</f>
        <v>0.31684206193169995</v>
      </c>
      <c r="H87" s="109">
        <f>VLOOKUP(B87,'Tabula RefULG 2'!$K$5:$R$83,8,0)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 2'!$K$5:$R$83,3,0)</f>
        <v>2</v>
      </c>
      <c r="D88" s="108" t="str">
        <f>VLOOKUP(B88,'Tabula RefULG 2'!$K$5:$R$83,4,0)</f>
        <v>Window</v>
      </c>
      <c r="E88" s="108">
        <f>VLOOKUP(B88,'Tabula RefULG 2'!$K$5:$R$83,5,0)</f>
        <v>2.85</v>
      </c>
      <c r="F88" s="108" t="str">
        <f>VLOOKUP(B88,'Tabula RefULG 2'!$K$5:$R$83,6,0)</f>
        <v>front</v>
      </c>
      <c r="G88" s="108">
        <f>VLOOKUP(B88,'Tabula RefULG 2'!$K$5:$R$83,7,0)</f>
        <v>2</v>
      </c>
      <c r="H88" s="109">
        <f>VLOOKUP(B88,'Tabula RefULG 2'!$K$5:$R$83,8,0)</f>
        <v>5.7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 2'!$K$5:$R$83,3,0)</f>
        <v>2</v>
      </c>
      <c r="D89" s="108" t="str">
        <f>VLOOKUP(B89,'Tabula RefULG 2'!$K$5:$R$83,4,0)</f>
        <v>Window</v>
      </c>
      <c r="E89" s="108">
        <f>VLOOKUP(B89,'Tabula RefULG 2'!$K$5:$R$83,5,0)</f>
        <v>3.15</v>
      </c>
      <c r="F89" s="108" t="str">
        <f>VLOOKUP(B89,'Tabula RefULG 2'!$K$5:$R$83,6,0)</f>
        <v>right</v>
      </c>
      <c r="G89" s="108">
        <f>VLOOKUP(B89,'Tabula RefULG 2'!$K$5:$R$83,7,0)</f>
        <v>2</v>
      </c>
      <c r="H89" s="109">
        <f>VLOOKUP(B89,'Tabula RefULG 2'!$K$5:$R$83,8,0)</f>
        <v>6.3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 2'!$K$5:$R$83,3,0)</f>
        <v>2</v>
      </c>
      <c r="D90" s="108" t="str">
        <f>VLOOKUP(B90,'Tabula RefULG 2'!$K$5:$R$83,4,0)</f>
        <v>Window</v>
      </c>
      <c r="E90" s="108">
        <f>VLOOKUP(B90,'Tabula RefULG 2'!$K$5:$R$83,5,0)</f>
        <v>2.95</v>
      </c>
      <c r="F90" s="108" t="str">
        <f>VLOOKUP(B90,'Tabula RefULG 2'!$K$5:$R$83,6,0)</f>
        <v>back</v>
      </c>
      <c r="G90" s="108">
        <f>VLOOKUP(B90,'Tabula RefULG 2'!$K$5:$R$83,7,0)</f>
        <v>2</v>
      </c>
      <c r="H90" s="109">
        <f>VLOOKUP(B90,'Tabula RefULG 2'!$K$5:$R$83,8,0)</f>
        <v>5.9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 2'!$K$5:$R$83,3,0)</f>
        <v>2</v>
      </c>
      <c r="D91" s="108" t="str">
        <f>VLOOKUP(B91,'Tabula RefULG 2'!$K$5:$R$83,4,0)</f>
        <v>Window</v>
      </c>
      <c r="E91" s="108">
        <f>VLOOKUP(B91,'Tabula RefULG 2'!$K$5:$R$83,5,0)</f>
        <v>3.25</v>
      </c>
      <c r="F91" s="108" t="str">
        <f>VLOOKUP(B91,'Tabula RefULG 2'!$K$5:$R$83,6,0)</f>
        <v>left</v>
      </c>
      <c r="G91" s="108">
        <f>VLOOKUP(B91,'Tabula RefULG 2'!$K$5:$R$83,7,0)</f>
        <v>2</v>
      </c>
      <c r="H91" s="109">
        <f>VLOOKUP(B91,'Tabula RefULG 2'!$K$5:$R$83,8,0)</f>
        <v>6.5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 2'!$K$5:$R$83,3,0)</f>
        <v>2</v>
      </c>
      <c r="D92" s="108" t="str">
        <f>VLOOKUP(B92,'Tabula RefULG 2'!$K$5:$R$83,4,0)</f>
        <v>Roof</v>
      </c>
      <c r="E92" s="108">
        <f>VLOOKUP(B92,'Tabula RefULG 2'!$K$5:$R$83,5,0)</f>
        <v>78.599999999999994</v>
      </c>
      <c r="F92" s="108" t="str">
        <f>VLOOKUP(B92,'Tabula RefULG 2'!$K$5:$R$83,6,0)</f>
        <v>front/back</v>
      </c>
      <c r="G92" s="108">
        <f>VLOOKUP(B92,'Tabula RefULG 2'!$K$5:$R$83,7,0)</f>
        <v>0.3127301569316186</v>
      </c>
      <c r="H92" s="109">
        <f>VLOOKUP(B92,'Tabula RefULG 2'!$K$5:$R$83,8,0)</f>
        <v>24.580590334825221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 2'!$K$5:$R$83,2,0)=$B$78,VLOOKUP(B108,'Tabula RefULG 2'!$K$5:$R$83,2,0),VLOOKUP(B108,'Tabula RefULG 2'!$K$5:$R$83,3,0))</f>
        <v>2</v>
      </c>
      <c r="D108" s="123">
        <f>IF(VLOOKUP(B108,'Tabula RefULG 2'!$K$5:$R$83,2,0)=$B$78,VLOOKUP(B108,'Tabula RefULG 2'!$K$5:$R$83,3,0),VLOOKUP(B108,'Tabula RefULG 2'!$K$5:$R$83,2,0))</f>
        <v>1</v>
      </c>
      <c r="E108" s="123" t="str">
        <f>VLOOKUP(B108,'Tabula RefULG 2'!$K$5:$R$83,4,0)</f>
        <v>Floor internal</v>
      </c>
      <c r="F108" s="123">
        <f>VLOOKUP(B108,'Tabula RefULG 2'!$K$5:$R$83,5,0)</f>
        <v>62</v>
      </c>
      <c r="G108" s="123">
        <f>VLOOKUP('Verwarming Tabula 2zone RefULG2'!C108,'Tabula RefULG 2'!$A$34:$F$45,5,0)</f>
        <v>16</v>
      </c>
      <c r="H108" s="123">
        <f>VLOOKUP('Verwarming Tabula 2zone RefULG2'!D108,'Tabula RefULG 2'!$A$34:$F$45,5,0)</f>
        <v>21</v>
      </c>
      <c r="I108" s="123">
        <f>VLOOKUP(B108,'Tabula RefULG 2'!$K$5:$R$83,7,0)</f>
        <v>1.0668924640135478</v>
      </c>
      <c r="J108" s="119">
        <f>VLOOKUP(B108,'Tabula RefULG 2'!$K$5:$R$83,8,0)</f>
        <v>66.147332768839959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 2'!$K$5:$R$83,2,0)=$B$78,VLOOKUP(B109,'Tabula RefULG 2'!$K$5:$R$83,2,0),VLOOKUP(B109,'Tabula RefULG 2'!$K$5:$R$83,3,0))</f>
        <v>2</v>
      </c>
      <c r="D109" s="123">
        <f>IF(VLOOKUP(B109,'Tabula RefULG 2'!$K$5:$R$83,2,0)=$B$78,VLOOKUP(B109,'Tabula RefULG 2'!$K$5:$R$83,3,0),VLOOKUP(B109,'Tabula RefULG 2'!$K$5:$R$83,2,0))</f>
        <v>2</v>
      </c>
      <c r="E109" s="123" t="str">
        <f>VLOOKUP(B109,'Tabula RefULG 2'!$K$5:$R$83,4,0)</f>
        <v>Wall internal</v>
      </c>
      <c r="F109" s="123">
        <f>VLOOKUP(B109,'Tabula RefULG 2'!$K$5:$R$83,5,0)</f>
        <v>116.69953307677261</v>
      </c>
      <c r="G109" s="123">
        <f>VLOOKUP('Verwarming Tabula 2zone RefULG2'!C109,'Tabula RefULG 2'!$A$34:$F$45,5,0)</f>
        <v>16</v>
      </c>
      <c r="H109" s="123">
        <f>VLOOKUP('Verwarming Tabula 2zone RefULG2'!D109,'Tabula RefULG 2'!$A$34:$F$45,5,0)</f>
        <v>16</v>
      </c>
      <c r="I109" s="123">
        <f>VLOOKUP(B109,'Tabula RefULG 2'!$K$5:$R$83,7,0)</f>
        <v>1.210762331838565</v>
      </c>
      <c r="J109" s="119">
        <f>VLOOKUP(B109,'Tabula RefULG 2'!$K$5:$R$83,8,0)</f>
        <v>141.29539879250495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51.729864538844282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1241.5167489322628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22" t="s">
        <v>197</v>
      </c>
      <c r="B124" s="322"/>
      <c r="C124" s="322"/>
      <c r="D124" s="126" t="s">
        <v>225</v>
      </c>
      <c r="E124" s="290"/>
      <c r="F124" s="290"/>
      <c r="G124" s="290"/>
      <c r="H124" s="290"/>
      <c r="I124" s="290"/>
      <c r="J124" s="290"/>
      <c r="K124" s="290"/>
      <c r="L124" s="290"/>
      <c r="M124" s="290"/>
      <c r="N124" s="290"/>
      <c r="O124" s="290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4.3447082702411146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 2'!$A$34:$F$45,2,0)*B127*B128*B129</f>
        <v>76.199894462675431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 2'!G35</f>
        <v>106.30000000000001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76.199894462675431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0.47777823073005754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51.8159282346193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1243.5822776308632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22" t="s">
        <v>213</v>
      </c>
      <c r="B142" s="322"/>
      <c r="C142" s="322"/>
      <c r="D142" s="322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106.30000000000001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RefULG2'!$B$4)</f>
        <v>146.16250000000002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1169.3000000000002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249.7082927734636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3654.3990265631264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90"/>
      <c r="C157" s="290"/>
      <c r="D157" s="290"/>
      <c r="E157" s="290"/>
      <c r="F157" s="290"/>
      <c r="G157" s="290"/>
      <c r="H157" s="290"/>
      <c r="I157" s="290"/>
      <c r="J157" s="290"/>
      <c r="K157" s="290"/>
      <c r="L157" s="290"/>
      <c r="M157" s="290"/>
      <c r="N157" s="290"/>
      <c r="O157" s="290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22" t="s">
        <v>171</v>
      </c>
      <c r="B159" s="322"/>
      <c r="C159" s="322"/>
      <c r="D159" s="322"/>
      <c r="E159" s="290"/>
      <c r="F159" s="290"/>
      <c r="G159" s="290"/>
      <c r="H159" s="290"/>
      <c r="I159" s="290"/>
      <c r="J159" s="290"/>
      <c r="K159" s="290"/>
      <c r="L159" s="290"/>
      <c r="M159" s="290"/>
      <c r="N159" s="290"/>
      <c r="O159" s="290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RefULG2'!C188,'Gebouwgegevens Allacker'!$A$35:$F$46,5,0)</f>
        <v>#N/A</v>
      </c>
      <c r="H188" s="123" t="e">
        <f>VLOOKUP('Verwarming Tabula 2zone RefULG2'!D188,'Gebouwgegevens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RefULG2'!C189,'Gebouwgegevens Allacker'!$A$35:$F$46,5,0)</f>
        <v>#N/A</v>
      </c>
      <c r="H189" s="123" t="e">
        <f>VLOOKUP('Verwarming Tabula 2zone RefULG2'!D189,'Gebouwgegevens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RefULG2'!C190,'Gebouwgegevens Allacker'!$A$35:$F$46,5,0)</f>
        <v>#N/A</v>
      </c>
      <c r="H190" s="123" t="e">
        <f>VLOOKUP('Verwarming Tabula 2zone RefULG2'!D190,'Gebouwgegevens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22" t="s">
        <v>197</v>
      </c>
      <c r="B204" s="322"/>
      <c r="C204" s="322"/>
      <c r="D204" s="126" t="s">
        <v>225</v>
      </c>
      <c r="E204" s="290"/>
      <c r="F204" s="290"/>
      <c r="G204" s="290"/>
      <c r="H204" s="290"/>
      <c r="I204" s="290"/>
      <c r="J204" s="290"/>
      <c r="K204" s="290"/>
      <c r="L204" s="290"/>
      <c r="M204" s="290"/>
      <c r="N204" s="290"/>
      <c r="O204" s="290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22" t="s">
        <v>213</v>
      </c>
      <c r="B222" s="322"/>
      <c r="C222" s="322"/>
      <c r="D222" s="322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90"/>
      <c r="C236" s="290"/>
      <c r="D236" s="290"/>
      <c r="E236" s="290"/>
      <c r="F236" s="290"/>
      <c r="G236" s="290"/>
      <c r="H236" s="290"/>
      <c r="I236" s="290"/>
      <c r="J236" s="290"/>
      <c r="K236" s="290"/>
      <c r="L236" s="290"/>
      <c r="M236" s="290"/>
      <c r="N236" s="290"/>
      <c r="O236" s="290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22" t="s">
        <v>171</v>
      </c>
      <c r="B238" s="322"/>
      <c r="C238" s="322"/>
      <c r="D238" s="322"/>
      <c r="E238" s="290"/>
      <c r="F238" s="290"/>
      <c r="G238" s="290"/>
      <c r="H238" s="290"/>
      <c r="I238" s="290"/>
      <c r="J238" s="290"/>
      <c r="K238" s="290"/>
      <c r="L238" s="290"/>
      <c r="M238" s="290"/>
      <c r="N238" s="290"/>
      <c r="O238" s="290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RefULG2'!C267,'Gebouwgegevens Allacker'!$A$35:$F$46,5,0)</f>
        <v>#N/A</v>
      </c>
      <c r="H267" s="123" t="e">
        <f>VLOOKUP('Verwarming Tabula 2zone RefULG2'!D267,'Gebouwgegevens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RefULG2'!C268,'Gebouwgegevens Allacker'!$A$35:$F$46,5,0)</f>
        <v>#N/A</v>
      </c>
      <c r="H268" s="123" t="e">
        <f>VLOOKUP('Verwarming Tabula 2zone RefULG2'!D268,'Gebouwgegevens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RefULG2'!C269,'Gebouwgegevens Allacker'!$A$35:$F$46,5,0)</f>
        <v>#N/A</v>
      </c>
      <c r="H269" s="123" t="e">
        <f>VLOOKUP('Verwarming Tabula 2zone RefULG2'!D269,'Gebouwgegevens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RefULG2'!C270,'Gebouwgegevens Allacker'!$A$35:$F$46,5,0)</f>
        <v>#N/A</v>
      </c>
      <c r="H270" s="123" t="e">
        <f>VLOOKUP('Verwarming Tabula 2zone RefULG2'!D270,'Gebouwgegevens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22" t="s">
        <v>197</v>
      </c>
      <c r="B283" s="322"/>
      <c r="C283" s="322"/>
      <c r="D283" s="126" t="s">
        <v>225</v>
      </c>
      <c r="E283" s="290"/>
      <c r="F283" s="290"/>
      <c r="G283" s="290"/>
      <c r="H283" s="290"/>
      <c r="I283" s="290"/>
      <c r="J283" s="290"/>
      <c r="K283" s="290"/>
      <c r="L283" s="290"/>
      <c r="M283" s="290"/>
      <c r="N283" s="290"/>
      <c r="O283" s="290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22" t="s">
        <v>213</v>
      </c>
      <c r="B301" s="322"/>
      <c r="C301" s="322"/>
      <c r="D301" s="322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90"/>
      <c r="C315" s="290"/>
      <c r="D315" s="290"/>
      <c r="E315" s="290"/>
      <c r="F315" s="290"/>
      <c r="G315" s="290"/>
      <c r="H315" s="290"/>
      <c r="I315" s="290"/>
      <c r="J315" s="290"/>
      <c r="K315" s="290"/>
      <c r="L315" s="290"/>
      <c r="M315" s="290"/>
      <c r="N315" s="290"/>
      <c r="O315" s="290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22" t="s">
        <v>171</v>
      </c>
      <c r="B317" s="322"/>
      <c r="C317" s="322"/>
      <c r="D317" s="322"/>
      <c r="E317" s="290"/>
      <c r="F317" s="290"/>
      <c r="G317" s="290"/>
      <c r="H317" s="290"/>
      <c r="I317" s="290"/>
      <c r="J317" s="290"/>
      <c r="K317" s="290"/>
      <c r="L317" s="290"/>
      <c r="M317" s="290"/>
      <c r="N317" s="290"/>
      <c r="O317" s="290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RefULG2'!C346,'Gebouwgegevens Allacker'!$A$35:$F$46,5,0)</f>
        <v>#N/A</v>
      </c>
      <c r="H346" s="123" t="e">
        <f>VLOOKUP('Verwarming Tabula 2zone RefULG2'!D346,'Gebouwgegevens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RefULG2'!C347,'Gebouwgegevens Allacker'!$A$35:$F$46,5,0)</f>
        <v>#N/A</v>
      </c>
      <c r="H347" s="123" t="e">
        <f>VLOOKUP('Verwarming Tabula 2zone RefULG2'!D347,'Gebouwgegevens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RefULG2'!C348,'Gebouwgegevens Allacker'!$A$35:$F$46,5,0)</f>
        <v>#N/A</v>
      </c>
      <c r="H348" s="123" t="e">
        <f>VLOOKUP('Verwarming Tabula 2zone RefULG2'!D348,'Gebouwgegevens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RefULG2'!C349,'Gebouwgegevens Allacker'!$A$35:$F$46,5,0)</f>
        <v>#N/A</v>
      </c>
      <c r="H349" s="123" t="e">
        <f>VLOOKUP('Verwarming Tabula 2zone RefULG2'!D349,'Gebouwgegevens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RefULG2'!C350,'Gebouwgegevens Allacker'!$A$35:$F$46,5,0)</f>
        <v>#N/A</v>
      </c>
      <c r="H350" s="123" t="e">
        <f>VLOOKUP('Verwarming Tabula 2zone RefULG2'!D350,'Gebouwgegevens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22" t="s">
        <v>197</v>
      </c>
      <c r="B362" s="322"/>
      <c r="C362" s="322"/>
      <c r="D362" s="126" t="s">
        <v>225</v>
      </c>
      <c r="E362" s="290"/>
      <c r="F362" s="290"/>
      <c r="G362" s="290"/>
      <c r="H362" s="290"/>
      <c r="I362" s="290"/>
      <c r="J362" s="290"/>
      <c r="K362" s="290"/>
      <c r="L362" s="290"/>
      <c r="M362" s="290"/>
      <c r="N362" s="290"/>
      <c r="O362" s="290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22" t="s">
        <v>213</v>
      </c>
      <c r="B380" s="322"/>
      <c r="C380" s="322"/>
      <c r="D380" s="322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90"/>
      <c r="C393" s="290"/>
      <c r="D393" s="290"/>
      <c r="E393" s="290"/>
      <c r="F393" s="290"/>
      <c r="G393" s="290"/>
      <c r="H393" s="290"/>
      <c r="I393" s="290"/>
      <c r="J393" s="290"/>
      <c r="K393" s="290"/>
      <c r="L393" s="290"/>
      <c r="M393" s="290"/>
      <c r="N393" s="290"/>
      <c r="O393" s="290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22" t="s">
        <v>171</v>
      </c>
      <c r="B395" s="322"/>
      <c r="C395" s="322"/>
      <c r="D395" s="322"/>
      <c r="E395" s="290"/>
      <c r="F395" s="290"/>
      <c r="G395" s="290"/>
      <c r="H395" s="290"/>
      <c r="I395" s="290"/>
      <c r="J395" s="290"/>
      <c r="K395" s="290"/>
      <c r="L395" s="290"/>
      <c r="M395" s="290"/>
      <c r="N395" s="290"/>
      <c r="O395" s="290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RefULG2'!C424,'Gebouwgegevens Allacker'!$A$35:$F$46,5,0)</f>
        <v>#N/A</v>
      </c>
      <c r="H424" s="123" t="e">
        <f>VLOOKUP('Verwarming Tabula 2zone RefULG2'!D424,'Gebouwgegevens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RefULG2'!C425,'Gebouwgegevens Allacker'!$A$35:$F$46,5,0)</f>
        <v>#N/A</v>
      </c>
      <c r="H425" s="123" t="e">
        <f>VLOOKUP('Verwarming Tabula 2zone RefULG2'!D425,'Gebouwgegevens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RefULG2'!C426,'Gebouwgegevens Allacker'!$A$35:$F$46,5,0)</f>
        <v>#N/A</v>
      </c>
      <c r="H426" s="123" t="e">
        <f>VLOOKUP('Verwarming Tabula 2zone RefULG2'!D426,'Gebouwgegevens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RefULG2'!C427,'Gebouwgegevens Allacker'!$A$35:$F$46,5,0)</f>
        <v>#N/A</v>
      </c>
      <c r="H427" s="123" t="e">
        <f>VLOOKUP('Verwarming Tabula 2zone RefULG2'!D427,'Gebouwgegevens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RefULG2'!C428,'Gebouwgegevens Allacker'!$A$35:$F$46,5,0)</f>
        <v>#N/A</v>
      </c>
      <c r="H428" s="123" t="e">
        <f>VLOOKUP('Verwarming Tabula 2zone RefULG2'!D428,'Gebouwgegevens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22" t="s">
        <v>197</v>
      </c>
      <c r="B440" s="322"/>
      <c r="C440" s="322"/>
      <c r="D440" s="126" t="s">
        <v>225</v>
      </c>
      <c r="E440" s="290"/>
      <c r="F440" s="290"/>
      <c r="G440" s="290"/>
      <c r="H440" s="290"/>
      <c r="I440" s="290"/>
      <c r="J440" s="290"/>
      <c r="K440" s="290"/>
      <c r="L440" s="290"/>
      <c r="M440" s="290"/>
      <c r="N440" s="290"/>
      <c r="O440" s="290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22" t="s">
        <v>213</v>
      </c>
      <c r="B458" s="322"/>
      <c r="C458" s="322"/>
      <c r="D458" s="322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90"/>
      <c r="C471" s="290"/>
      <c r="D471" s="290"/>
      <c r="E471" s="290"/>
      <c r="F471" s="290"/>
      <c r="G471" s="290"/>
      <c r="H471" s="290"/>
      <c r="I471" s="290"/>
      <c r="J471" s="290"/>
      <c r="K471" s="290"/>
      <c r="L471" s="290"/>
      <c r="M471" s="290"/>
      <c r="N471" s="290"/>
      <c r="O471" s="290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22" t="s">
        <v>171</v>
      </c>
      <c r="B473" s="322"/>
      <c r="C473" s="322"/>
      <c r="D473" s="322"/>
      <c r="E473" s="290"/>
      <c r="F473" s="290"/>
      <c r="G473" s="290"/>
      <c r="H473" s="290"/>
      <c r="I473" s="290"/>
      <c r="J473" s="290"/>
      <c r="K473" s="290"/>
      <c r="L473" s="290"/>
      <c r="M473" s="290"/>
      <c r="N473" s="290"/>
      <c r="O473" s="290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RefULG2'!C502,'Gebouwgegevens Allacker'!$A$35:$F$46,5,0)</f>
        <v>#N/A</v>
      </c>
      <c r="H502" s="123" t="e">
        <f>VLOOKUP('Verwarming Tabula 2zone RefULG2'!D502,'Gebouwgegevens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RefULG2'!C503,'Gebouwgegevens Allacker'!$A$35:$F$46,5,0)</f>
        <v>#N/A</v>
      </c>
      <c r="H503" s="123" t="e">
        <f>VLOOKUP('Verwarming Tabula 2zone RefULG2'!D503,'Gebouwgegevens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RefULG2'!C504,'Gebouwgegevens Allacker'!$A$35:$F$46,5,0)</f>
        <v>#N/A</v>
      </c>
      <c r="H504" s="123" t="e">
        <f>VLOOKUP('Verwarming Tabula 2zone RefULG2'!D504,'Gebouwgegevens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22" t="s">
        <v>197</v>
      </c>
      <c r="B518" s="322"/>
      <c r="C518" s="322"/>
      <c r="D518" s="126" t="s">
        <v>225</v>
      </c>
      <c r="E518" s="290"/>
      <c r="F518" s="290"/>
      <c r="G518" s="290"/>
      <c r="H518" s="290"/>
      <c r="I518" s="290"/>
      <c r="J518" s="290"/>
      <c r="K518" s="290"/>
      <c r="L518" s="290"/>
      <c r="M518" s="290"/>
      <c r="N518" s="290"/>
      <c r="O518" s="290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22" t="s">
        <v>213</v>
      </c>
      <c r="B536" s="322"/>
      <c r="C536" s="322"/>
      <c r="D536" s="322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90"/>
      <c r="C550" s="290"/>
      <c r="D550" s="290"/>
      <c r="E550" s="290"/>
      <c r="F550" s="290"/>
      <c r="G550" s="290"/>
      <c r="H550" s="290"/>
      <c r="I550" s="290"/>
      <c r="J550" s="290"/>
      <c r="K550" s="290"/>
      <c r="L550" s="290"/>
      <c r="M550" s="290"/>
      <c r="N550" s="290"/>
      <c r="O550" s="290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22" t="s">
        <v>171</v>
      </c>
      <c r="B552" s="322"/>
      <c r="C552" s="322"/>
      <c r="D552" s="322"/>
      <c r="E552" s="290"/>
      <c r="F552" s="290"/>
      <c r="G552" s="290"/>
      <c r="H552" s="290"/>
      <c r="I552" s="290"/>
      <c r="J552" s="290"/>
      <c r="K552" s="290"/>
      <c r="L552" s="290"/>
      <c r="M552" s="290"/>
      <c r="N552" s="290"/>
      <c r="O552" s="290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RefULG2'!C581,'Gebouwgegevens Allacker'!$A$35:$F$46,5,0)</f>
        <v>#N/A</v>
      </c>
      <c r="H581" s="123" t="e">
        <f>VLOOKUP('Verwarming Tabula 2zone RefULG2'!D581,'Gebouwgegevens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RefULG2'!C582,'Gebouwgegevens Allacker'!$A$35:$F$46,5,0)</f>
        <v>#N/A</v>
      </c>
      <c r="H582" s="123" t="e">
        <f>VLOOKUP('Verwarming Tabula 2zone RefULG2'!D582,'Gebouwgegevens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RefULG2'!C583,'Gebouwgegevens Allacker'!$A$35:$F$46,5,0)</f>
        <v>#N/A</v>
      </c>
      <c r="H583" s="123" t="e">
        <f>VLOOKUP('Verwarming Tabula 2zone RefULG2'!D583,'Gebouwgegevens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22" t="s">
        <v>197</v>
      </c>
      <c r="B597" s="322"/>
      <c r="C597" s="322"/>
      <c r="D597" s="126" t="s">
        <v>225</v>
      </c>
      <c r="E597" s="290"/>
      <c r="F597" s="290"/>
      <c r="G597" s="290"/>
      <c r="H597" s="290"/>
      <c r="I597" s="290"/>
      <c r="J597" s="290"/>
      <c r="K597" s="290"/>
      <c r="L597" s="290"/>
      <c r="M597" s="290"/>
      <c r="N597" s="290"/>
      <c r="O597" s="290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22" t="s">
        <v>213</v>
      </c>
      <c r="B615" s="322"/>
      <c r="C615" s="322"/>
      <c r="D615" s="322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90"/>
      <c r="C629" s="290"/>
      <c r="D629" s="290"/>
      <c r="E629" s="290"/>
      <c r="F629" s="290"/>
      <c r="G629" s="290"/>
      <c r="H629" s="290"/>
      <c r="I629" s="290"/>
      <c r="J629" s="290"/>
      <c r="K629" s="290"/>
      <c r="L629" s="290"/>
      <c r="M629" s="290"/>
      <c r="N629" s="290"/>
      <c r="O629" s="290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22" t="s">
        <v>171</v>
      </c>
      <c r="B631" s="322"/>
      <c r="C631" s="322"/>
      <c r="D631" s="322"/>
      <c r="E631" s="290"/>
      <c r="F631" s="290"/>
      <c r="G631" s="290"/>
      <c r="H631" s="290"/>
      <c r="I631" s="290"/>
      <c r="J631" s="290"/>
      <c r="K631" s="290"/>
      <c r="L631" s="290"/>
      <c r="M631" s="290"/>
      <c r="N631" s="290"/>
      <c r="O631" s="290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RefULG2'!C660,'Gebouwgegevens Allacker'!$A$35:$F$46,5,0)</f>
        <v>#N/A</v>
      </c>
      <c r="H660" s="123" t="e">
        <f>VLOOKUP('Verwarming Tabula 2zone RefULG2'!D660,'Gebouwgegevens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RefULG2'!C661,'Gebouwgegevens Allacker'!$A$35:$F$46,5,0)</f>
        <v>#N/A</v>
      </c>
      <c r="H661" s="123" t="e">
        <f>VLOOKUP('Verwarming Tabula 2zone RefULG2'!D661,'Gebouwgegevens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22" t="s">
        <v>197</v>
      </c>
      <c r="B676" s="322"/>
      <c r="C676" s="322"/>
      <c r="D676" s="126" t="s">
        <v>225</v>
      </c>
      <c r="E676" s="290"/>
      <c r="F676" s="290"/>
      <c r="G676" s="290"/>
      <c r="H676" s="290"/>
      <c r="I676" s="290"/>
      <c r="J676" s="290"/>
      <c r="K676" s="290"/>
      <c r="L676" s="290"/>
      <c r="M676" s="290"/>
      <c r="N676" s="290"/>
      <c r="O676" s="290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22" t="s">
        <v>213</v>
      </c>
      <c r="B694" s="322"/>
      <c r="C694" s="322"/>
      <c r="D694" s="322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90"/>
      <c r="C708" s="290"/>
      <c r="D708" s="290"/>
      <c r="E708" s="290"/>
      <c r="F708" s="290"/>
      <c r="G708" s="290"/>
      <c r="H708" s="290"/>
      <c r="I708" s="290"/>
      <c r="J708" s="290"/>
      <c r="K708" s="290"/>
      <c r="L708" s="290"/>
      <c r="M708" s="290"/>
      <c r="N708" s="290"/>
      <c r="O708" s="290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22" t="s">
        <v>171</v>
      </c>
      <c r="B710" s="322"/>
      <c r="C710" s="322"/>
      <c r="D710" s="322"/>
      <c r="E710" s="290"/>
      <c r="F710" s="290"/>
      <c r="G710" s="290"/>
      <c r="H710" s="290"/>
      <c r="I710" s="290"/>
      <c r="J710" s="290"/>
      <c r="K710" s="290"/>
      <c r="L710" s="290"/>
      <c r="M710" s="290"/>
      <c r="N710" s="290"/>
      <c r="O710" s="290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RefULG2'!C739,'Gebouwgegevens Allacker'!$A$35:$F$46,5,0)</f>
        <v>#N/A</v>
      </c>
      <c r="H739" s="123" t="e">
        <f>VLOOKUP('Verwarming Tabula 2zone RefULG2'!D739,'Gebouwgegevens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RefULG2'!C740,'Gebouwgegevens Allacker'!$A$35:$F$46,5,0)</f>
        <v>#N/A</v>
      </c>
      <c r="H740" s="123" t="e">
        <f>VLOOKUP('Verwarming Tabula 2zone RefULG2'!D740,'Gebouwgegevens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RefULG2'!C741,'Gebouwgegevens Allacker'!$A$35:$F$46,5,0)</f>
        <v>#N/A</v>
      </c>
      <c r="H741" s="123" t="e">
        <f>VLOOKUP('Verwarming Tabula 2zone RefULG2'!D741,'Gebouwgegevens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RefULG2'!C742,'Gebouwgegevens Allacker'!$A$35:$F$46,5,0)</f>
        <v>#N/A</v>
      </c>
      <c r="H742" s="123" t="e">
        <f>VLOOKUP('Verwarming Tabula 2zone RefULG2'!D742,'Gebouwgegevens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RefULG2'!C743,'Gebouwgegevens Allacker'!$A$35:$F$46,5,0)</f>
        <v>#N/A</v>
      </c>
      <c r="H743" s="123" t="e">
        <f>VLOOKUP('Verwarming Tabula 2zone RefULG2'!D743,'Gebouwgegevens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RefULG2'!C744,'Gebouwgegevens Allacker'!$A$35:$F$46,5,0)</f>
        <v>#N/A</v>
      </c>
      <c r="H744" s="123" t="e">
        <f>VLOOKUP('Verwarming Tabula 2zone RefULG2'!D744,'Gebouwgegevens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RefULG2'!C745,'Gebouwgegevens Allacker'!$A$35:$F$46,5,0)</f>
        <v>#N/A</v>
      </c>
      <c r="H745" s="123" t="e">
        <f>VLOOKUP('Verwarming Tabula 2zone RefULG2'!D745,'Gebouwgegevens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RefULG2'!C746,'Gebouwgegevens Allacker'!$A$35:$F$46,5,0)</f>
        <v>#N/A</v>
      </c>
      <c r="H746" s="123" t="e">
        <f>VLOOKUP('Verwarming Tabula 2zone RefULG2'!D746,'Gebouwgegevens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RefULG2'!C747,'Gebouwgegevens Allacker'!$A$35:$F$46,5,0)</f>
        <v>#N/A</v>
      </c>
      <c r="H747" s="123" t="e">
        <f>VLOOKUP('Verwarming Tabula 2zone RefULG2'!D747,'Gebouwgegevens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RefULG2'!C748,'Gebouwgegevens Allacker'!$A$35:$F$46,5,0)</f>
        <v>#N/A</v>
      </c>
      <c r="H748" s="123" t="e">
        <f>VLOOKUP('Verwarming Tabula 2zone RefULG2'!D748,'Gebouwgegevens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RefULG2'!C749,'Gebouwgegevens Allacker'!$A$35:$F$46,5,0)</f>
        <v>#N/A</v>
      </c>
      <c r="H749" s="123" t="e">
        <f>VLOOKUP('Verwarming Tabula 2zone RefULG2'!D749,'Gebouwgegevens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RefULG2'!C750,'Gebouwgegevens Allacker'!$A$35:$F$46,5,0)</f>
        <v>#N/A</v>
      </c>
      <c r="H750" s="123" t="e">
        <f>VLOOKUP('Verwarming Tabula 2zone RefULG2'!D750,'Gebouwgegevens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22" t="s">
        <v>197</v>
      </c>
      <c r="B755" s="322"/>
      <c r="C755" s="322"/>
      <c r="D755" s="126" t="s">
        <v>225</v>
      </c>
      <c r="E755" s="290"/>
      <c r="F755" s="290"/>
      <c r="G755" s="290"/>
      <c r="H755" s="290"/>
      <c r="I755" s="290"/>
      <c r="J755" s="290"/>
      <c r="K755" s="290"/>
      <c r="L755" s="290"/>
      <c r="M755" s="290"/>
      <c r="N755" s="290"/>
      <c r="O755" s="290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22" t="s">
        <v>213</v>
      </c>
      <c r="B773" s="322"/>
      <c r="C773" s="322"/>
      <c r="D773" s="322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selection activeCell="B4" sqref="B4"/>
    </sheetView>
  </sheetViews>
  <sheetFormatPr defaultRowHeight="15" x14ac:dyDescent="0.25"/>
  <cols>
    <col min="2" max="2" width="11.5703125"/>
    <col min="4" max="4" width="19.5703125"/>
  </cols>
  <sheetData>
    <row r="1" spans="1:9" x14ac:dyDescent="0.25">
      <c r="A1" s="151" t="s">
        <v>289</v>
      </c>
    </row>
    <row r="3" spans="1:9" x14ac:dyDescent="0.25">
      <c r="A3" s="152" t="s">
        <v>290</v>
      </c>
    </row>
    <row r="4" spans="1:9" x14ac:dyDescent="0.25">
      <c r="A4" t="s">
        <v>291</v>
      </c>
      <c r="B4" s="153">
        <f>SUM('Gebouwgegevens Tabula 2zone'!R6:R9)</f>
        <v>30.134947397084265</v>
      </c>
      <c r="C4" t="s">
        <v>107</v>
      </c>
    </row>
    <row r="5" spans="1:9" x14ac:dyDescent="0.25">
      <c r="A5" t="s">
        <v>292</v>
      </c>
      <c r="B5" s="153">
        <f>F5+I5</f>
        <v>65.385048484848483</v>
      </c>
      <c r="C5" t="s">
        <v>107</v>
      </c>
      <c r="E5" s="154" t="s">
        <v>293</v>
      </c>
      <c r="F5" s="155">
        <f>'Verwarming Tabula 2zone'!B60</f>
        <v>22.68504848484848</v>
      </c>
      <c r="G5" s="154"/>
      <c r="H5" s="154" t="s">
        <v>294</v>
      </c>
      <c r="I5" s="155">
        <f>SUM('Gebouwgegevens Tabula 2zone'!R10:R13)</f>
        <v>42.7</v>
      </c>
    </row>
    <row r="6" spans="1:9" x14ac:dyDescent="0.25">
      <c r="A6" t="s">
        <v>295</v>
      </c>
      <c r="B6" s="153">
        <f>SUM('Gebouwgegevens Tabula 2zone'!O6:O9*'Gebouwgegevens Tabula 2zone'!AA21)</f>
        <v>26.417456196158675</v>
      </c>
      <c r="C6" t="s">
        <v>107</v>
      </c>
    </row>
    <row r="7" spans="1:9" x14ac:dyDescent="0.25">
      <c r="A7" t="s">
        <v>296</v>
      </c>
      <c r="B7" s="153">
        <f>'Gebouwgegevens Tabula 2zone'!R14</f>
        <v>52.184368737474941</v>
      </c>
      <c r="C7" t="s">
        <v>107</v>
      </c>
      <c r="D7" s="154" t="s">
        <v>297</v>
      </c>
    </row>
    <row r="8" spans="1:9" x14ac:dyDescent="0.25">
      <c r="A8" t="s">
        <v>298</v>
      </c>
      <c r="B8" s="153">
        <f>B4+B5+B7</f>
        <v>147.70436461940767</v>
      </c>
      <c r="D8" s="154"/>
    </row>
    <row r="9" spans="1:9" x14ac:dyDescent="0.25">
      <c r="B9" s="153"/>
      <c r="D9" s="154"/>
    </row>
    <row r="10" spans="1:9" x14ac:dyDescent="0.25">
      <c r="B10" t="s">
        <v>299</v>
      </c>
      <c r="D10" t="s">
        <v>300</v>
      </c>
    </row>
    <row r="11" spans="1:9" x14ac:dyDescent="0.25">
      <c r="A11" t="s">
        <v>301</v>
      </c>
      <c r="B11" s="156">
        <f>SUM('Gebouwgegevens Tabula 2zone'!S6:S9)</f>
        <v>13534884.293761143</v>
      </c>
      <c r="C11" s="156" t="s">
        <v>302</v>
      </c>
      <c r="D11" s="156">
        <f>SUM('Gebouwgegevens Tabula 2zone'!U6:U9)</f>
        <v>5508256.8270944748</v>
      </c>
      <c r="E11" t="s">
        <v>302</v>
      </c>
    </row>
    <row r="12" spans="1:9" x14ac:dyDescent="0.25">
      <c r="A12" t="s">
        <v>122</v>
      </c>
      <c r="B12" s="156">
        <f>'Gebouwgegevens Tabula 2zone'!B34*5*1012*1.204</f>
        <v>1038670.8120261438</v>
      </c>
      <c r="C12" t="s">
        <v>302</v>
      </c>
      <c r="D12" s="156">
        <f>B12</f>
        <v>1038670.8120261438</v>
      </c>
      <c r="E12" t="s">
        <v>302</v>
      </c>
    </row>
    <row r="13" spans="1:9" x14ac:dyDescent="0.25">
      <c r="A13" t="s">
        <v>303</v>
      </c>
      <c r="B13" s="156">
        <f>SUM('Gebouwgegevens Tabula 2zone'!O6:O9)*'Gebouwgegevens Tabula 2zone'!AE21</f>
        <v>6006683.7789661326</v>
      </c>
      <c r="C13" t="s">
        <v>302</v>
      </c>
      <c r="D13" s="156">
        <f>B13</f>
        <v>6006683.7789661326</v>
      </c>
      <c r="E13" t="s">
        <v>302</v>
      </c>
    </row>
    <row r="14" spans="1:9" x14ac:dyDescent="0.25">
      <c r="A14" t="s">
        <v>304</v>
      </c>
      <c r="B14" s="156">
        <f>'Gebouwgegevens Tabula 2zone'!S14</f>
        <v>23366746</v>
      </c>
      <c r="C14" s="156" t="s">
        <v>302</v>
      </c>
      <c r="D14" s="156">
        <f>'Gebouwgegevens Tabula 2zone'!U14</f>
        <v>6879520</v>
      </c>
      <c r="E14" s="156" t="s">
        <v>302</v>
      </c>
      <c r="F14" s="156"/>
    </row>
    <row r="16" spans="1:9" x14ac:dyDescent="0.25">
      <c r="A16" t="s">
        <v>305</v>
      </c>
      <c r="B16">
        <f>B11+B13</f>
        <v>19541568.072727278</v>
      </c>
      <c r="D16">
        <f>D11+D13</f>
        <v>11514940.606060607</v>
      </c>
    </row>
    <row r="17" spans="1:9" x14ac:dyDescent="0.25">
      <c r="A17" t="s">
        <v>306</v>
      </c>
      <c r="B17" s="157">
        <f>SUM(B11:B14)</f>
        <v>43946984.884753421</v>
      </c>
      <c r="D17" s="157">
        <f>SUM(D11:D14)</f>
        <v>19433131.418086752</v>
      </c>
    </row>
    <row r="18" spans="1:9" x14ac:dyDescent="0.25">
      <c r="A18" s="152" t="s">
        <v>63</v>
      </c>
    </row>
    <row r="19" spans="1:9" x14ac:dyDescent="0.25">
      <c r="A19" t="s">
        <v>307</v>
      </c>
      <c r="B19" s="153">
        <f>'Gebouwgegevens Tabula 2zone'!R26</f>
        <v>92.449704142011825</v>
      </c>
      <c r="C19" t="s">
        <v>107</v>
      </c>
    </row>
    <row r="20" spans="1:9" x14ac:dyDescent="0.25">
      <c r="A20" t="s">
        <v>308</v>
      </c>
      <c r="B20" s="156">
        <f>'Gebouwgegevens Tabula 2zone'!S26</f>
        <v>28355700</v>
      </c>
      <c r="C20" s="156" t="s">
        <v>302</v>
      </c>
      <c r="D20" s="156">
        <f>'Gebouwgegevens Tabula 2zone'!U26</f>
        <v>28355700</v>
      </c>
      <c r="E20" t="s">
        <v>302</v>
      </c>
    </row>
    <row r="22" spans="1:9" x14ac:dyDescent="0.25">
      <c r="A22" s="152" t="s">
        <v>309</v>
      </c>
    </row>
    <row r="23" spans="1:9" x14ac:dyDescent="0.25">
      <c r="A23" t="s">
        <v>291</v>
      </c>
      <c r="B23" s="153">
        <f>SUM('Gebouwgegevens Tabula 2zone'!R17:R20)</f>
        <v>51.666853359839635</v>
      </c>
      <c r="C23" t="s">
        <v>107</v>
      </c>
    </row>
    <row r="24" spans="1:9" x14ac:dyDescent="0.25">
      <c r="A24" t="s">
        <v>292</v>
      </c>
      <c r="B24" s="153">
        <f>SUM(F24,I24)</f>
        <v>89.372657818181807</v>
      </c>
      <c r="C24" t="s">
        <v>107</v>
      </c>
      <c r="E24" s="154" t="s">
        <v>293</v>
      </c>
      <c r="F24" s="155">
        <f>'Verwarming Tabula 2zone'!B139</f>
        <v>46.672657818181811</v>
      </c>
      <c r="G24" s="154"/>
      <c r="H24" s="154" t="s">
        <v>294</v>
      </c>
      <c r="I24" s="155">
        <f>SUM('Gebouwgegevens Tabula 2zone'!R21:R24)</f>
        <v>42.7</v>
      </c>
    </row>
    <row r="25" spans="1:9" x14ac:dyDescent="0.25">
      <c r="A25" t="s">
        <v>295</v>
      </c>
      <c r="B25" s="153">
        <f>SUM('Gebouwgegevens Tabula 2zone'!O17:O20)*'Gebouwgegevens Tabula 2zone'!AA21</f>
        <v>90.586309472634412</v>
      </c>
      <c r="C25" t="s">
        <v>107</v>
      </c>
    </row>
    <row r="26" spans="1:9" x14ac:dyDescent="0.25">
      <c r="A26" t="s">
        <v>310</v>
      </c>
      <c r="B26" s="153">
        <f>'Gebouwgegevens Tabula 2zone'!R25</f>
        <v>66.790640394088655</v>
      </c>
      <c r="C26" t="s">
        <v>107</v>
      </c>
      <c r="D26" s="154" t="s">
        <v>297</v>
      </c>
    </row>
    <row r="27" spans="1:9" x14ac:dyDescent="0.25">
      <c r="A27" t="s">
        <v>298</v>
      </c>
      <c r="B27" s="153">
        <f>B23+B24+B26</f>
        <v>207.83015157211008</v>
      </c>
      <c r="D27" s="154"/>
    </row>
    <row r="28" spans="1:9" x14ac:dyDescent="0.25">
      <c r="B28" s="153"/>
      <c r="D28" s="154"/>
    </row>
    <row r="29" spans="1:9" x14ac:dyDescent="0.25">
      <c r="B29" t="s">
        <v>299</v>
      </c>
      <c r="D29" t="s">
        <v>300</v>
      </c>
    </row>
    <row r="30" spans="1:9" x14ac:dyDescent="0.25">
      <c r="A30" t="s">
        <v>301</v>
      </c>
      <c r="B30" s="156">
        <f>SUM('Gebouwgegevens Tabula 2zone'!S17:S20)</f>
        <v>23205777.426238861</v>
      </c>
      <c r="C30" s="156" t="s">
        <v>302</v>
      </c>
      <c r="D30" s="156">
        <f>SUM('Gebouwgegevens Tabula 2zone'!U17:U20)</f>
        <v>9443995.1729055271</v>
      </c>
      <c r="E30" t="s">
        <v>302</v>
      </c>
    </row>
    <row r="31" spans="1:9" x14ac:dyDescent="0.25">
      <c r="A31" t="s">
        <v>122</v>
      </c>
      <c r="B31" s="156">
        <f>'Gebouwgegevens Tabula 2zone'!B35*5*1012*1.204</f>
        <v>1780817.8599738558</v>
      </c>
      <c r="C31" t="s">
        <v>302</v>
      </c>
      <c r="D31" s="156">
        <f>B31</f>
        <v>1780817.8599738558</v>
      </c>
      <c r="E31" t="s">
        <v>302</v>
      </c>
    </row>
    <row r="32" spans="1:9" x14ac:dyDescent="0.25">
      <c r="A32" t="s">
        <v>303</v>
      </c>
      <c r="B32" s="156">
        <f>SUM('Gebouwgegevens Tabula 2zone'!O17:O20)*'Gebouwgegevens Tabula 2zone'!AE21</f>
        <v>10298556.221033869</v>
      </c>
      <c r="C32" t="s">
        <v>302</v>
      </c>
      <c r="D32" s="156">
        <f>B32</f>
        <v>10298556.221033869</v>
      </c>
      <c r="E32" t="s">
        <v>302</v>
      </c>
    </row>
    <row r="33" spans="1:6" x14ac:dyDescent="0.25">
      <c r="A33" t="s">
        <v>311</v>
      </c>
      <c r="B33" s="156">
        <f>'Gebouwgegevens Tabula 2zone'!S25</f>
        <v>4304764.8</v>
      </c>
      <c r="C33" s="156" t="s">
        <v>302</v>
      </c>
      <c r="D33" s="156">
        <f>'Gebouwgegevens Tabula 2zone'!U25</f>
        <v>1287468</v>
      </c>
      <c r="E33" s="156" t="s">
        <v>302</v>
      </c>
      <c r="F33" s="156"/>
    </row>
    <row r="35" spans="1:6" x14ac:dyDescent="0.25">
      <c r="A35" t="s">
        <v>305</v>
      </c>
      <c r="B35">
        <f>B30+B32</f>
        <v>33504333.647272728</v>
      </c>
      <c r="D35">
        <f>D30+D32</f>
        <v>19742551.393939398</v>
      </c>
    </row>
    <row r="36" spans="1:6" x14ac:dyDescent="0.25">
      <c r="A36" t="s">
        <v>306</v>
      </c>
      <c r="B36">
        <f>B30+B31+B32+B33</f>
        <v>39589916.307246581</v>
      </c>
      <c r="D36" s="157">
        <f>SUM(D30:D33)</f>
        <v>22810837.253913254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>
    <row r="1" spans="1:1" x14ac:dyDescent="0.25">
      <c r="A1" t="s">
        <v>298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1"/>
  <sheetViews>
    <sheetView zoomScaleNormal="100" workbookViewId="0">
      <selection activeCell="AM8" sqref="AM8"/>
    </sheetView>
  </sheetViews>
  <sheetFormatPr defaultRowHeight="15" x14ac:dyDescent="0.25"/>
  <cols>
    <col min="1" max="1" width="20.5703125"/>
    <col min="2" max="2" width="12.28515625"/>
    <col min="3" max="3" width="6.85546875"/>
    <col min="4" max="4" width="22.140625"/>
    <col min="5" max="5" width="9.85546875"/>
    <col min="6" max="6" width="7.140625"/>
    <col min="7" max="7" width="5.5703125"/>
    <col min="8" max="8" width="7.7109375"/>
    <col min="9" max="9" width="2.7109375" style="1"/>
    <col min="10" max="10" width="4.85546875"/>
    <col min="11" max="11" width="10.42578125" style="2"/>
    <col min="12" max="12" width="8" style="2"/>
    <col min="13" max="13" width="16.85546875" style="2"/>
    <col min="14" max="14" width="9.42578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  <col min="23" max="23" width="3.5703125"/>
    <col min="24" max="24" width="18.42578125"/>
    <col min="25" max="25" width="8.5703125"/>
    <col min="26" max="26" width="15.85546875"/>
    <col min="27" max="28" width="8.5703125"/>
    <col min="29" max="29" width="9.5703125"/>
    <col min="30" max="35" width="8.5703125"/>
    <col min="36" max="37" width="8.5703125" style="80"/>
    <col min="38" max="1025" width="8.5703125"/>
  </cols>
  <sheetData>
    <row r="1" spans="1:41" ht="20.25" customHeight="1" x14ac:dyDescent="0.25">
      <c r="A1" s="320" t="s">
        <v>0</v>
      </c>
      <c r="B1" s="320"/>
      <c r="C1" s="320"/>
      <c r="D1" s="320"/>
      <c r="E1" s="320"/>
      <c r="F1" s="320"/>
      <c r="G1" s="320"/>
    </row>
    <row r="3" spans="1:41" x14ac:dyDescent="0.25">
      <c r="A3" s="317" t="s">
        <v>1</v>
      </c>
      <c r="B3" s="317"/>
      <c r="C3" s="317"/>
      <c r="D3" s="317"/>
      <c r="E3" s="317"/>
      <c r="F3" s="317"/>
      <c r="G3" s="317"/>
      <c r="H3" s="317"/>
      <c r="J3" s="317" t="s">
        <v>2</v>
      </c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4"/>
      <c r="V3" s="317" t="s">
        <v>3</v>
      </c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</row>
    <row r="4" spans="1:41" ht="15.75" customHeight="1" x14ac:dyDescent="0.25">
      <c r="Y4" s="5" t="s">
        <v>4</v>
      </c>
      <c r="Z4" s="5">
        <v>1.7</v>
      </c>
      <c r="AA4" s="5" t="s">
        <v>5</v>
      </c>
    </row>
    <row r="5" spans="1:41" ht="15" customHeight="1" x14ac:dyDescent="0.25">
      <c r="A5" s="6" t="s">
        <v>6</v>
      </c>
      <c r="B5" s="7">
        <f>502</f>
        <v>502</v>
      </c>
      <c r="C5" s="7" t="s">
        <v>7</v>
      </c>
      <c r="D5" s="6" t="s">
        <v>8</v>
      </c>
      <c r="E5" s="7"/>
      <c r="F5" s="7"/>
      <c r="G5" s="8">
        <f>SUM(H7:H14)</f>
        <v>14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41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10.7*3.5-N10-2*1*2.5</f>
        <v>25.449999999999996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56.0468591324532</v>
      </c>
      <c r="R6" s="30">
        <f t="shared" ref="R6:R28" si="2">VLOOKUP(M6,$W$5:$AD$391,8,0)*N6</f>
        <v>11449445.999999998</v>
      </c>
      <c r="S6" s="30">
        <f t="shared" ref="S6:S28" si="3">R6/N6</f>
        <v>449880</v>
      </c>
      <c r="T6" s="30">
        <f t="shared" ref="T6:T28" si="4">VLOOKUP(M6,$W$5:$AF$391,10,0)*N6</f>
        <v>10304195.999999998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  <c r="AL6" t="s">
        <v>6</v>
      </c>
      <c r="AN6" s="81">
        <f>B5</f>
        <v>502</v>
      </c>
      <c r="AO6" t="str">
        <f>C5</f>
        <v>m³</v>
      </c>
    </row>
    <row r="7" spans="1:41" ht="15" customHeight="1" x14ac:dyDescent="0.25">
      <c r="A7" s="6" t="s">
        <v>34</v>
      </c>
      <c r="B7" s="35">
        <f>N14</f>
        <v>104.86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0.5</v>
      </c>
      <c r="G7" s="24" t="s">
        <v>37</v>
      </c>
      <c r="H7" s="39">
        <f>N10</f>
        <v>7</v>
      </c>
      <c r="J7" t="s">
        <v>38</v>
      </c>
      <c r="K7" s="40">
        <v>0</v>
      </c>
      <c r="L7" s="41">
        <v>1</v>
      </c>
      <c r="M7" s="41" t="s">
        <v>25</v>
      </c>
      <c r="N7" s="42">
        <f>9.8*3.5*2.5*1</f>
        <v>85.750000000000014</v>
      </c>
      <c r="O7" s="43" t="s">
        <v>39</v>
      </c>
      <c r="P7" s="30">
        <f t="shared" si="0"/>
        <v>2.2022341505875525</v>
      </c>
      <c r="Q7" s="30">
        <f t="shared" si="1"/>
        <v>188.84157841288265</v>
      </c>
      <c r="R7" s="30">
        <f t="shared" si="2"/>
        <v>38577210.000000007</v>
      </c>
      <c r="S7" s="30">
        <f t="shared" si="3"/>
        <v>449880</v>
      </c>
      <c r="T7" s="30">
        <f t="shared" si="4"/>
        <v>34718460.000000007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  <c r="AM7" t="s">
        <v>133</v>
      </c>
      <c r="AN7">
        <v>0.6</v>
      </c>
    </row>
    <row r="8" spans="1:41" ht="15" customHeight="1" x14ac:dyDescent="0.25">
      <c r="A8" s="45" t="s">
        <v>42</v>
      </c>
      <c r="B8" s="46">
        <f>B7-B9</f>
        <v>59.291999999999994</v>
      </c>
      <c r="C8" s="47" t="s">
        <v>9</v>
      </c>
      <c r="D8" s="37" t="s">
        <v>43</v>
      </c>
      <c r="E8" s="24" t="s">
        <v>36</v>
      </c>
      <c r="F8" s="38">
        <f t="shared" si="5"/>
        <v>0</v>
      </c>
      <c r="G8" s="24" t="s">
        <v>37</v>
      </c>
      <c r="H8" s="39">
        <f>N11</f>
        <v>0</v>
      </c>
      <c r="J8" t="s">
        <v>44</v>
      </c>
      <c r="K8" s="40">
        <v>0</v>
      </c>
      <c r="L8" s="41">
        <v>1</v>
      </c>
      <c r="M8" s="41" t="s">
        <v>25</v>
      </c>
      <c r="N8" s="42">
        <f>10.7*3.5-N12</f>
        <v>32.449999999999996</v>
      </c>
      <c r="O8" s="43" t="s">
        <v>45</v>
      </c>
      <c r="P8" s="30">
        <f t="shared" si="0"/>
        <v>2.2022341505875525</v>
      </c>
      <c r="Q8" s="30">
        <f t="shared" si="1"/>
        <v>71.462498186566066</v>
      </c>
      <c r="R8" s="30">
        <f t="shared" si="2"/>
        <v>14598605.999999998</v>
      </c>
      <c r="S8" s="30">
        <f t="shared" si="3"/>
        <v>449880</v>
      </c>
      <c r="T8" s="30">
        <f t="shared" si="4"/>
        <v>13138355.999999998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41" ht="15" customHeight="1" x14ac:dyDescent="0.25">
      <c r="A9" s="48" t="s">
        <v>47</v>
      </c>
      <c r="B9" s="49">
        <f>3.2*7.12*2</f>
        <v>45.568000000000005</v>
      </c>
      <c r="C9" s="24"/>
      <c r="D9" s="37" t="s">
        <v>48</v>
      </c>
      <c r="E9" s="24" t="s">
        <v>36</v>
      </c>
      <c r="F9" s="38">
        <f t="shared" si="5"/>
        <v>0.35714285714285715</v>
      </c>
      <c r="G9" s="24" t="s">
        <v>37</v>
      </c>
      <c r="H9" s="39">
        <f>N12</f>
        <v>5</v>
      </c>
      <c r="J9" t="s">
        <v>49</v>
      </c>
      <c r="K9" s="40">
        <v>0</v>
      </c>
      <c r="L9" s="41">
        <v>1</v>
      </c>
      <c r="M9" s="41" t="s">
        <v>25</v>
      </c>
      <c r="N9" s="42">
        <f>9.8*3.5-N13</f>
        <v>34.300000000000004</v>
      </c>
      <c r="O9" s="43" t="s">
        <v>50</v>
      </c>
      <c r="P9" s="30">
        <f t="shared" si="0"/>
        <v>2.2022341505875525</v>
      </c>
      <c r="Q9" s="30">
        <f t="shared" si="1"/>
        <v>75.536631365153056</v>
      </c>
      <c r="R9" s="30">
        <f t="shared" si="2"/>
        <v>15430884.000000002</v>
      </c>
      <c r="S9" s="30">
        <f t="shared" si="3"/>
        <v>449880</v>
      </c>
      <c r="T9" s="30">
        <f t="shared" si="4"/>
        <v>13887384.000000002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41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</v>
      </c>
      <c r="G10" s="24" t="s">
        <v>37</v>
      </c>
      <c r="H10" s="39">
        <f>N13</f>
        <v>0</v>
      </c>
      <c r="J10" t="s">
        <v>53</v>
      </c>
      <c r="K10" s="40">
        <v>0</v>
      </c>
      <c r="L10" s="41">
        <v>1</v>
      </c>
      <c r="M10" s="41" t="s">
        <v>54</v>
      </c>
      <c r="N10" s="42">
        <v>7</v>
      </c>
      <c r="O10" s="43" t="s">
        <v>26</v>
      </c>
      <c r="P10" s="30">
        <f t="shared" si="0"/>
        <v>5</v>
      </c>
      <c r="Q10" s="30">
        <f t="shared" si="1"/>
        <v>35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41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0</v>
      </c>
      <c r="O11" s="43" t="s">
        <v>39</v>
      </c>
      <c r="P11" s="30">
        <f t="shared" si="0"/>
        <v>5</v>
      </c>
      <c r="Q11" s="30">
        <f t="shared" si="1"/>
        <v>0</v>
      </c>
      <c r="R11" s="30">
        <f t="shared" si="2"/>
        <v>0</v>
      </c>
      <c r="S11" s="30" t="e">
        <f t="shared" si="3"/>
        <v>#DIV/0!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41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0.14285714285714285</v>
      </c>
      <c r="G12" s="24"/>
      <c r="H12" s="52">
        <f>N22</f>
        <v>2</v>
      </c>
      <c r="J12" t="s">
        <v>59</v>
      </c>
      <c r="K12" s="40">
        <v>0</v>
      </c>
      <c r="L12" s="41">
        <v>1</v>
      </c>
      <c r="M12" s="41" t="s">
        <v>54</v>
      </c>
      <c r="N12" s="42">
        <v>5</v>
      </c>
      <c r="O12" s="43" t="s">
        <v>45</v>
      </c>
      <c r="P12" s="30">
        <f t="shared" si="0"/>
        <v>5</v>
      </c>
      <c r="Q12" s="30">
        <f t="shared" si="1"/>
        <v>25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41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v>0</v>
      </c>
      <c r="O13" s="43" t="s">
        <v>50</v>
      </c>
      <c r="P13" s="30">
        <f t="shared" si="0"/>
        <v>5</v>
      </c>
      <c r="Q13" s="30">
        <f t="shared" si="1"/>
        <v>0</v>
      </c>
      <c r="R13" s="30">
        <f t="shared" si="2"/>
        <v>0</v>
      </c>
      <c r="S13" s="30" t="e">
        <f t="shared" si="3"/>
        <v>#DIV/0!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41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10.7*9.8</f>
        <v>104.86</v>
      </c>
      <c r="O14" s="43"/>
      <c r="P14" s="30">
        <f t="shared" si="0"/>
        <v>2.5990099009900991</v>
      </c>
      <c r="Q14" s="30">
        <f t="shared" si="1"/>
        <v>272.53217821782181</v>
      </c>
      <c r="R14" s="30">
        <f t="shared" si="2"/>
        <v>47150089.280000001</v>
      </c>
      <c r="S14" s="30">
        <f t="shared" si="3"/>
        <v>449648</v>
      </c>
      <c r="T14" s="30">
        <f t="shared" si="4"/>
        <v>10155481.279999999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SUM(AD18:AD19)</f>
        <v>404880</v>
      </c>
      <c r="AG14" s="14"/>
    </row>
    <row r="15" spans="1:41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v>29</v>
      </c>
      <c r="O15" s="43"/>
      <c r="P15" s="30">
        <f t="shared" si="0"/>
        <v>1.6975498473547073</v>
      </c>
      <c r="Q15" s="30">
        <f t="shared" si="1"/>
        <v>49.228945573286509</v>
      </c>
      <c r="R15" s="30">
        <f t="shared" si="2"/>
        <v>2259970</v>
      </c>
      <c r="S15" s="30">
        <f t="shared" si="3"/>
        <v>77930</v>
      </c>
      <c r="T15" s="30">
        <f t="shared" si="4"/>
        <v>1224670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41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2*1*2.5+1*2.5</f>
        <v>7.5</v>
      </c>
      <c r="O16" s="43"/>
      <c r="P16" s="30">
        <f t="shared" si="0"/>
        <v>4</v>
      </c>
      <c r="Q16" s="30">
        <f t="shared" si="1"/>
        <v>30</v>
      </c>
      <c r="R16" s="30">
        <f t="shared" si="2"/>
        <v>273900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1.0879517640207914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f>N26</f>
        <v>76.183999999999997</v>
      </c>
      <c r="C18" s="7" t="s">
        <v>9</v>
      </c>
      <c r="D18" s="37" t="s">
        <v>74</v>
      </c>
      <c r="E18" s="24"/>
      <c r="F18" s="58">
        <f>B27/B24</f>
        <v>2.5486484807930534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f>7.12*(7.5-3.5)/2</f>
        <v>14.24</v>
      </c>
      <c r="O18" s="43" t="s">
        <v>39</v>
      </c>
      <c r="P18" s="30">
        <f t="shared" si="0"/>
        <v>2.2022341505875525</v>
      </c>
      <c r="Q18" s="30">
        <f t="shared" si="1"/>
        <v>31.359814304366747</v>
      </c>
      <c r="R18" s="30">
        <f t="shared" si="2"/>
        <v>6406291.2000000002</v>
      </c>
      <c r="S18" s="30">
        <f t="shared" si="3"/>
        <v>449880</v>
      </c>
      <c r="T18" s="30">
        <f t="shared" si="4"/>
        <v>5765491.2000000002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f>22</f>
        <v>22</v>
      </c>
      <c r="C19" s="24"/>
      <c r="D19" s="37" t="s">
        <v>78</v>
      </c>
      <c r="E19" s="24"/>
      <c r="F19" s="58">
        <f>B27/B7</f>
        <v>4.4003196219406586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54.183999999999997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f>7.12*(7.5-3.5)/2</f>
        <v>14.24</v>
      </c>
      <c r="O20" s="43" t="s">
        <v>50</v>
      </c>
      <c r="P20" s="30">
        <f t="shared" si="0"/>
        <v>2.2022341505875525</v>
      </c>
      <c r="Q20" s="30">
        <f t="shared" si="1"/>
        <v>31.359814304366747</v>
      </c>
      <c r="R20" s="30">
        <f t="shared" si="2"/>
        <v>6406291.2000000002</v>
      </c>
      <c r="S20" s="30">
        <f t="shared" si="3"/>
        <v>449880</v>
      </c>
      <c r="T20" s="30">
        <f t="shared" si="4"/>
        <v>5765491.2000000002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7.732926802324297E-2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SUM(AD23:AD26)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0.13351134846461948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2</v>
      </c>
      <c r="O22" s="43" t="s">
        <v>39</v>
      </c>
      <c r="P22" s="30">
        <f t="shared" si="0"/>
        <v>5</v>
      </c>
      <c r="Q22" s="30">
        <f t="shared" si="1"/>
        <v>10</v>
      </c>
      <c r="R22" s="30">
        <f t="shared" si="2"/>
        <v>0</v>
      </c>
      <c r="S22" s="30">
        <f t="shared" si="3"/>
        <v>0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3.034128425555992E-2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181.04399999999998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1.7265306122448978</v>
      </c>
      <c r="C25" s="24"/>
      <c r="D25" s="23" t="s">
        <v>95</v>
      </c>
      <c r="E25" s="24"/>
      <c r="F25" s="63">
        <f>B9/B7</f>
        <v>0.43456036620255584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f>SQRT(3.56^2+3^2)*10.7*2</f>
        <v>99.627515556697489</v>
      </c>
      <c r="O25" s="43" t="s">
        <v>97</v>
      </c>
      <c r="P25" s="30">
        <f t="shared" si="0"/>
        <v>1.6975498473547073</v>
      </c>
      <c r="Q25" s="30">
        <f t="shared" si="1"/>
        <v>169.12267382560054</v>
      </c>
      <c r="R25" s="30">
        <f t="shared" si="2"/>
        <v>7763972.2873334354</v>
      </c>
      <c r="S25" s="30">
        <f t="shared" si="3"/>
        <v>77930</v>
      </c>
      <c r="T25" s="30">
        <f t="shared" si="4"/>
        <v>4207269.9819593346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7.12*10.7</f>
        <v>76.183999999999997</v>
      </c>
      <c r="O26" s="43"/>
      <c r="P26" s="30">
        <f t="shared" si="0"/>
        <v>2.0895522388059704</v>
      </c>
      <c r="Q26" s="30">
        <f t="shared" si="1"/>
        <v>159.19044776119404</v>
      </c>
      <c r="R26" s="30">
        <f t="shared" si="2"/>
        <v>13206496.4</v>
      </c>
      <c r="S26" s="30">
        <f t="shared" si="3"/>
        <v>173350</v>
      </c>
      <c r="T26" s="30">
        <f t="shared" si="4"/>
        <v>13206496.4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f>SUM(N6:N25)</f>
        <v>461.41751555669748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8.7*3.5+9.8*3.5+7.12*3.5*2+7.5*3.5</f>
        <v>140.84</v>
      </c>
      <c r="O27" s="43"/>
      <c r="P27" s="30">
        <f t="shared" si="0"/>
        <v>1.9926199261992623</v>
      </c>
      <c r="Q27" s="30">
        <f t="shared" si="1"/>
        <v>280.64059040590411</v>
      </c>
      <c r="R27" s="30">
        <f t="shared" si="2"/>
        <v>21176702.400000002</v>
      </c>
      <c r="S27" s="30">
        <f t="shared" si="3"/>
        <v>150360</v>
      </c>
      <c r="T27" s="30">
        <f t="shared" si="4"/>
        <v>21176702.400000002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2.0895522388059704</v>
      </c>
      <c r="AA27" s="17" t="s">
        <v>5</v>
      </c>
      <c r="AB27" s="17"/>
      <c r="AC27" s="17" t="s">
        <v>22</v>
      </c>
      <c r="AD27" s="20">
        <f>SUM(AD29:AD33)</f>
        <v>173350</v>
      </c>
      <c r="AE27" s="14" t="s">
        <v>23</v>
      </c>
      <c r="AF27" s="14">
        <f>SUM(AD29:AD32)</f>
        <v>173350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f>7.12*2</f>
        <v>14.24</v>
      </c>
      <c r="O28" s="43"/>
      <c r="P28" s="30">
        <f t="shared" si="0"/>
        <v>1.9926199261992623</v>
      </c>
      <c r="Q28" s="30">
        <f t="shared" si="1"/>
        <v>28.374907749077497</v>
      </c>
      <c r="R28" s="30">
        <f t="shared" si="2"/>
        <v>2141126.4</v>
      </c>
      <c r="S28" s="30">
        <f t="shared" si="3"/>
        <v>150360</v>
      </c>
      <c r="T28" s="30">
        <f t="shared" si="4"/>
        <v>2141126.4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1.4</v>
      </c>
      <c r="AA29" s="47">
        <v>2100</v>
      </c>
      <c r="AB29" s="47">
        <v>840</v>
      </c>
      <c r="AC29" s="67">
        <f>Y29/Z29</f>
        <v>1.4285714285714287E-2</v>
      </c>
      <c r="AD29" s="68">
        <f>Y29*AA29*AB29</f>
        <v>35280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69">
        <f>SUM(Q1:Q25)</f>
        <v>1045.4909933224974</v>
      </c>
      <c r="R31" s="69" t="s">
        <v>107</v>
      </c>
      <c r="W31" s="23"/>
      <c r="X31" s="24" t="s">
        <v>108</v>
      </c>
      <c r="Y31" s="24">
        <v>0.02</v>
      </c>
      <c r="Z31" s="24">
        <v>1.4</v>
      </c>
      <c r="AA31" s="24">
        <v>2100</v>
      </c>
      <c r="AB31" s="24">
        <v>840</v>
      </c>
      <c r="AC31" s="44">
        <f>Y31/Z31</f>
        <v>1.4285714285714287E-2</v>
      </c>
      <c r="AD31" s="25">
        <f>Y31*AA31*AB31</f>
        <v>35280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317" t="s">
        <v>112</v>
      </c>
      <c r="F34" s="317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3.5*G35</f>
        <v>207.52199999999999</v>
      </c>
      <c r="C35" s="73"/>
      <c r="D35" s="73" t="s">
        <v>42</v>
      </c>
      <c r="E35" s="318">
        <v>21</v>
      </c>
      <c r="F35" s="318"/>
      <c r="G35" s="76">
        <f>VLOOKUP(D35,A7:B23,2,0)</f>
        <v>59.291999999999994</v>
      </c>
      <c r="K35"/>
      <c r="L35"/>
      <c r="M35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3.5*G36</f>
        <v>159.48800000000003</v>
      </c>
      <c r="C36" s="73"/>
      <c r="D36" s="73" t="s">
        <v>116</v>
      </c>
      <c r="E36" s="77">
        <v>16</v>
      </c>
      <c r="F36" s="77"/>
      <c r="G36" s="76">
        <f>VLOOKUP(D36,A8:B24,2,0)</f>
        <v>45.568000000000005</v>
      </c>
      <c r="K36"/>
      <c r="L36"/>
      <c r="M36"/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152.36799999999999</v>
      </c>
      <c r="C37" s="73"/>
      <c r="D37" s="73" t="s">
        <v>118</v>
      </c>
      <c r="E37" s="319" t="s">
        <v>119</v>
      </c>
      <c r="F37" s="319"/>
      <c r="G37" s="76">
        <f>B18</f>
        <v>76.183999999999997</v>
      </c>
      <c r="K37"/>
      <c r="L37"/>
      <c r="M37"/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/>
      <c r="P39"/>
      <c r="Q39"/>
      <c r="AE39" s="14"/>
      <c r="AF39" s="14"/>
      <c r="AG39" s="14"/>
    </row>
    <row r="40" spans="1:33" ht="15" customHeight="1" x14ac:dyDescent="0.25">
      <c r="K40"/>
      <c r="L40"/>
      <c r="M40"/>
      <c r="P40"/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SUM(AD42:AD43)</f>
        <v>96848</v>
      </c>
      <c r="AG40" s="14"/>
    </row>
    <row r="41" spans="1:33" ht="15" customHeight="1" x14ac:dyDescent="0.25">
      <c r="K41"/>
      <c r="L41"/>
      <c r="M41"/>
      <c r="P41"/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/>
      <c r="P42"/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5" zoomScaleNormal="100" workbookViewId="0">
      <selection activeCell="F34" sqref="F34"/>
    </sheetView>
  </sheetViews>
  <sheetFormatPr defaultRowHeight="15" x14ac:dyDescent="0.25"/>
  <cols>
    <col min="1" max="1" width="30.7109375"/>
    <col min="2" max="2" width="20.42578125"/>
    <col min="3" max="3" width="8.5703125"/>
    <col min="4" max="4" width="0" hidden="1"/>
    <col min="5" max="1025" width="8.5703125"/>
  </cols>
  <sheetData>
    <row r="1" spans="1:5" ht="15" customHeight="1" x14ac:dyDescent="0.3">
      <c r="A1" s="82" t="s">
        <v>134</v>
      </c>
      <c r="B1" s="82"/>
      <c r="C1" s="82"/>
    </row>
    <row r="3" spans="1:5" ht="15" customHeight="1" x14ac:dyDescent="0.25">
      <c r="A3" s="83" t="s">
        <v>135</v>
      </c>
      <c r="B3" s="321" t="s">
        <v>4</v>
      </c>
      <c r="C3" s="321"/>
      <c r="D3" t="s">
        <v>136</v>
      </c>
    </row>
    <row r="4" spans="1:5" ht="15" customHeight="1" x14ac:dyDescent="0.25">
      <c r="A4" s="84" t="s">
        <v>137</v>
      </c>
      <c r="B4" s="84">
        <v>168.3</v>
      </c>
      <c r="C4" s="84" t="s">
        <v>9</v>
      </c>
      <c r="D4" s="85">
        <f>'Gebouwgegevens Allacker'!B24</f>
        <v>181.04399999999998</v>
      </c>
    </row>
    <row r="5" spans="1:5" ht="15" customHeight="1" x14ac:dyDescent="0.25">
      <c r="A5" s="84" t="s">
        <v>6</v>
      </c>
      <c r="B5" s="84">
        <v>462.8</v>
      </c>
      <c r="C5" s="84" t="s">
        <v>7</v>
      </c>
      <c r="D5" s="81">
        <f>'Gebouwgegevens Allacker'!B5</f>
        <v>502</v>
      </c>
    </row>
    <row r="6" spans="1:5" ht="15" customHeight="1" x14ac:dyDescent="0.25">
      <c r="A6" s="84" t="s">
        <v>138</v>
      </c>
      <c r="B6" s="84">
        <v>256.89999999999998</v>
      </c>
      <c r="C6" s="84" t="s">
        <v>9</v>
      </c>
      <c r="D6" s="3">
        <f>'Gebouwgegevens Allacker'!B27</f>
        <v>461.41751555669748</v>
      </c>
      <c r="E6" s="260">
        <f>B5/B4</f>
        <v>2.7498514557338085</v>
      </c>
    </row>
    <row r="7" spans="1:5" ht="15" customHeight="1" x14ac:dyDescent="0.25">
      <c r="A7" s="84" t="s">
        <v>20</v>
      </c>
      <c r="B7" s="84">
        <v>78.599999999999994</v>
      </c>
      <c r="C7" s="84" t="s">
        <v>9</v>
      </c>
      <c r="D7" s="3">
        <f>'Gebouwgegevens Allacker'!N15+'Gebouwgegevens Allacker'!N25</f>
        <v>128.62751555669749</v>
      </c>
    </row>
    <row r="8" spans="1:5" ht="15" customHeight="1" x14ac:dyDescent="0.25">
      <c r="A8" s="84" t="s">
        <v>139</v>
      </c>
      <c r="B8" s="86">
        <v>70.099999999999994</v>
      </c>
      <c r="C8" s="84" t="s">
        <v>9</v>
      </c>
      <c r="D8">
        <v>0</v>
      </c>
    </row>
    <row r="9" spans="1:5" ht="15" customHeight="1" x14ac:dyDescent="0.25">
      <c r="A9" s="84" t="s">
        <v>140</v>
      </c>
      <c r="B9" s="84">
        <v>12.5</v>
      </c>
      <c r="C9" s="84" t="s">
        <v>9</v>
      </c>
      <c r="D9">
        <v>0</v>
      </c>
    </row>
    <row r="10" spans="1:5" ht="15" customHeight="1" x14ac:dyDescent="0.25">
      <c r="A10" s="84" t="s">
        <v>141</v>
      </c>
      <c r="B10" s="87">
        <f>B8+B9</f>
        <v>82.6</v>
      </c>
      <c r="C10" s="84"/>
      <c r="D10" s="3">
        <f>SUM('Gebouwgegevens Allacker'!N6:N9,'Gebouwgegevens Allacker'!N17:N20)</f>
        <v>206.43000000000004</v>
      </c>
    </row>
    <row r="11" spans="1:5" ht="15" customHeight="1" x14ac:dyDescent="0.25">
      <c r="A11" s="84" t="s">
        <v>142</v>
      </c>
      <c r="B11" s="84">
        <v>34.9</v>
      </c>
      <c r="C11" s="84" t="s">
        <v>9</v>
      </c>
      <c r="D11">
        <v>0</v>
      </c>
    </row>
    <row r="12" spans="1:5" ht="15" customHeight="1" x14ac:dyDescent="0.25">
      <c r="A12" s="84" t="s">
        <v>143</v>
      </c>
      <c r="B12" s="84">
        <v>27.1</v>
      </c>
      <c r="C12" s="84" t="s">
        <v>9</v>
      </c>
      <c r="D12">
        <v>0</v>
      </c>
    </row>
    <row r="13" spans="1:5" ht="15" customHeight="1" x14ac:dyDescent="0.25">
      <c r="A13" s="84" t="s">
        <v>144</v>
      </c>
      <c r="B13" s="84">
        <v>0</v>
      </c>
      <c r="C13" s="84" t="s">
        <v>9</v>
      </c>
      <c r="D13">
        <v>0</v>
      </c>
    </row>
    <row r="14" spans="1:5" ht="15" customHeight="1" x14ac:dyDescent="0.25">
      <c r="A14" s="84" t="s">
        <v>145</v>
      </c>
      <c r="B14" s="84">
        <f>B12+B11</f>
        <v>62</v>
      </c>
      <c r="C14" s="84"/>
      <c r="D14" s="3">
        <f>SUM('Gebouwgegevens Allacker'!N14)</f>
        <v>104.86</v>
      </c>
    </row>
    <row r="15" spans="1:5" s="81" customFormat="1" ht="15" customHeight="1" x14ac:dyDescent="0.25">
      <c r="A15" s="267" t="s">
        <v>506</v>
      </c>
      <c r="B15" s="268">
        <v>3</v>
      </c>
      <c r="C15" s="173"/>
      <c r="D15" s="153">
        <f>B4/B14</f>
        <v>2.7145161290322584</v>
      </c>
      <c r="E15" s="81">
        <f>B4/B14</f>
        <v>2.7145161290322584</v>
      </c>
    </row>
    <row r="16" spans="1:5" s="81" customFormat="1" ht="15" customHeight="1" x14ac:dyDescent="0.25">
      <c r="A16" s="267" t="s">
        <v>507</v>
      </c>
      <c r="B16" s="173">
        <f>E6</f>
        <v>2.7498514557338085</v>
      </c>
      <c r="C16" s="267" t="s">
        <v>70</v>
      </c>
      <c r="D16" s="153"/>
    </row>
    <row r="17" spans="1:6" s="81" customFormat="1" ht="15" customHeight="1" x14ac:dyDescent="0.25">
      <c r="A17" s="267" t="s">
        <v>508</v>
      </c>
      <c r="B17" s="173">
        <f>B10/2/B15/B16</f>
        <v>5.0063310285220401</v>
      </c>
      <c r="C17" s="267" t="s">
        <v>70</v>
      </c>
      <c r="D17" s="153"/>
    </row>
    <row r="18" spans="1:6" s="81" customFormat="1" ht="15" customHeight="1" x14ac:dyDescent="0.25">
      <c r="A18" s="267" t="s">
        <v>509</v>
      </c>
      <c r="B18" s="173">
        <f>B14/B17</f>
        <v>12.384318904757588</v>
      </c>
      <c r="C18" s="267" t="s">
        <v>70</v>
      </c>
      <c r="D18" s="153"/>
    </row>
    <row r="19" spans="1:6" s="81" customFormat="1" ht="15" customHeight="1" x14ac:dyDescent="0.25">
      <c r="A19" s="267" t="s">
        <v>510</v>
      </c>
      <c r="B19" s="173">
        <f>B18*B16*B15*2</f>
        <v>204.33022421111627</v>
      </c>
      <c r="C19" s="267" t="s">
        <v>9</v>
      </c>
      <c r="D19" s="153"/>
    </row>
    <row r="20" spans="1:6" ht="15" customHeight="1" x14ac:dyDescent="0.25">
      <c r="A20" s="84" t="s">
        <v>146</v>
      </c>
      <c r="B20" s="84">
        <v>9.5</v>
      </c>
      <c r="C20" s="84" t="s">
        <v>9</v>
      </c>
      <c r="D20" s="3">
        <f>'Gebouwgegevens Allacker'!N16</f>
        <v>7.5</v>
      </c>
    </row>
    <row r="21" spans="1:6" ht="15" customHeight="1" x14ac:dyDescent="0.25">
      <c r="A21" s="84" t="s">
        <v>147</v>
      </c>
      <c r="B21" s="84">
        <v>5.7</v>
      </c>
      <c r="C21" s="84" t="s">
        <v>9</v>
      </c>
      <c r="D21">
        <v>0</v>
      </c>
    </row>
    <row r="22" spans="1:6" ht="15" customHeight="1" x14ac:dyDescent="0.25">
      <c r="A22" s="84" t="s">
        <v>148</v>
      </c>
      <c r="B22" s="84">
        <v>6.3</v>
      </c>
      <c r="C22" s="84" t="s">
        <v>9</v>
      </c>
      <c r="D22">
        <v>0</v>
      </c>
    </row>
    <row r="23" spans="1:6" ht="15" customHeight="1" x14ac:dyDescent="0.25">
      <c r="A23" s="84" t="s">
        <v>149</v>
      </c>
      <c r="B23" s="84">
        <v>5.9</v>
      </c>
      <c r="C23" s="84" t="s">
        <v>9</v>
      </c>
      <c r="D23">
        <v>0</v>
      </c>
    </row>
    <row r="24" spans="1:6" ht="15" customHeight="1" x14ac:dyDescent="0.25">
      <c r="A24" s="84" t="s">
        <v>150</v>
      </c>
      <c r="B24" s="84">
        <v>6.5</v>
      </c>
      <c r="C24" s="84" t="s">
        <v>9</v>
      </c>
      <c r="D24">
        <v>0</v>
      </c>
    </row>
    <row r="25" spans="1:6" ht="15" customHeight="1" x14ac:dyDescent="0.25">
      <c r="A25" s="84" t="s">
        <v>151</v>
      </c>
      <c r="B25" s="84">
        <f>SUM(B21:B24)</f>
        <v>24.4</v>
      </c>
      <c r="C25" s="84"/>
      <c r="D25">
        <f>'Gebouwgegevens Allacker'!G5</f>
        <v>14</v>
      </c>
    </row>
    <row r="26" spans="1:6" ht="15" customHeight="1" x14ac:dyDescent="0.25">
      <c r="A26" s="84" t="s">
        <v>152</v>
      </c>
      <c r="B26" s="86">
        <f>B5/B6</f>
        <v>1.8014791747761778</v>
      </c>
      <c r="C26" s="84"/>
      <c r="D26" s="3">
        <f>'Gebouwgegevens Allacker'!F17</f>
        <v>1.0879517640207914</v>
      </c>
    </row>
    <row r="27" spans="1:6" ht="15" customHeight="1" x14ac:dyDescent="0.25">
      <c r="A27" s="84" t="s">
        <v>153</v>
      </c>
      <c r="B27" s="86">
        <f>B6/(SUM(B11:B13)*2)</f>
        <v>2.0717741935483871</v>
      </c>
      <c r="C27" s="84"/>
      <c r="D27" s="3">
        <f>'Gebouwgegevens Allacker'!F18</f>
        <v>2.5486484807930534</v>
      </c>
    </row>
    <row r="28" spans="1:6" ht="15" customHeight="1" x14ac:dyDescent="0.25">
      <c r="A28" s="84" t="s">
        <v>154</v>
      </c>
      <c r="B28" s="86">
        <f>B6/(SUM(B11:B13))</f>
        <v>4.1435483870967742</v>
      </c>
      <c r="C28" s="84"/>
      <c r="D28" s="3">
        <f>'Gebouwgegevens Allacker'!F19</f>
        <v>4.4003196219406586</v>
      </c>
    </row>
    <row r="29" spans="1:6" ht="15" customHeight="1" x14ac:dyDescent="0.25">
      <c r="A29" s="84" t="s">
        <v>155</v>
      </c>
      <c r="B29" s="86">
        <f>SUM(B21:B24)/B6</f>
        <v>9.497859089139743E-2</v>
      </c>
      <c r="C29" s="84"/>
      <c r="D29" s="3">
        <f>'Gebouwgegevens Allacker'!F23</f>
        <v>3.034128425555992E-2</v>
      </c>
    </row>
    <row r="30" spans="1:6" ht="15" customHeight="1" x14ac:dyDescent="0.25">
      <c r="A30" s="84" t="s">
        <v>156</v>
      </c>
      <c r="B30" s="88">
        <f>SUM(B21:B24)/SUM(B11:B13)/2</f>
        <v>0.19677419354838707</v>
      </c>
      <c r="C30" s="84"/>
      <c r="D30" s="3">
        <f>'Gebouwgegevens Allacker'!F21</f>
        <v>7.732926802324297E-2</v>
      </c>
    </row>
    <row r="31" spans="1:6" ht="15" customHeight="1" x14ac:dyDescent="0.25">
      <c r="A31" s="84" t="s">
        <v>157</v>
      </c>
      <c r="B31" s="89">
        <f>SUM(B21:B24)/SUM(B11:B13)</f>
        <v>0.39354838709677414</v>
      </c>
      <c r="C31" s="84"/>
      <c r="D31" s="3">
        <f>'Gebouwgegevens Allacker'!F22</f>
        <v>0.13351134846461948</v>
      </c>
    </row>
    <row r="32" spans="1:6" s="81" customFormat="1" ht="15" customHeight="1" x14ac:dyDescent="0.25">
      <c r="A32" s="84" t="s">
        <v>513</v>
      </c>
      <c r="B32" s="284">
        <v>14.1</v>
      </c>
      <c r="C32" s="84"/>
      <c r="D32" s="153"/>
      <c r="E32" s="81">
        <v>6</v>
      </c>
      <c r="F32" s="81">
        <v>2.5</v>
      </c>
    </row>
    <row r="33" spans="1:6" ht="15" customHeight="1" x14ac:dyDescent="0.25">
      <c r="A33" s="84" t="s">
        <v>158</v>
      </c>
      <c r="B33" s="84">
        <f>B32/B5*B6</f>
        <v>7.8269014693171979</v>
      </c>
      <c r="C33" s="84" t="s">
        <v>159</v>
      </c>
      <c r="D33" s="84" t="s">
        <v>160</v>
      </c>
      <c r="E33">
        <f>B33/B5*B6</f>
        <v>4.3447082702411146</v>
      </c>
      <c r="F33">
        <f>F32/B5*B6</f>
        <v>1.3877484874675885</v>
      </c>
    </row>
    <row r="37" spans="1:6" ht="15" customHeight="1" x14ac:dyDescent="0.25">
      <c r="A37" s="90" t="s">
        <v>161</v>
      </c>
      <c r="B37" s="90"/>
    </row>
    <row r="38" spans="1:6" ht="15" customHeight="1" x14ac:dyDescent="0.25">
      <c r="A38" s="91" t="s">
        <v>137</v>
      </c>
      <c r="B38" s="91">
        <f>'Tabula data'!B4/'Gebouwgegevens Allacker'!B24</f>
        <v>0.92960827202227103</v>
      </c>
    </row>
    <row r="39" spans="1:6" ht="15" customHeight="1" x14ac:dyDescent="0.25">
      <c r="A39" s="91" t="s">
        <v>6</v>
      </c>
      <c r="B39" s="91">
        <f>B5/'Gebouwgegevens Allacker'!B5</f>
        <v>0.92191235059760956</v>
      </c>
    </row>
    <row r="40" spans="1:6" ht="15" customHeight="1" x14ac:dyDescent="0.25">
      <c r="A40" s="91" t="s">
        <v>138</v>
      </c>
      <c r="B40" s="91">
        <f>B6/'Gebouwgegevens Allacker'!B27</f>
        <v>0.55676256608952446</v>
      </c>
    </row>
    <row r="41" spans="1:6" ht="15" customHeight="1" x14ac:dyDescent="0.25">
      <c r="A41" s="91" t="s">
        <v>20</v>
      </c>
      <c r="B41" s="91">
        <f>B7/('Gebouwgegevens Allacker'!N15+'Gebouwgegevens Allacker'!N25)</f>
        <v>0.61106676638991786</v>
      </c>
    </row>
    <row r="42" spans="1:6" ht="15" customHeight="1" x14ac:dyDescent="0.25">
      <c r="A42" s="91" t="s">
        <v>139</v>
      </c>
      <c r="B42" s="91">
        <f>(B8+B9)/SUM('Gebouwgegevens Allacker'!N6:N9,'Gebouwgegevens Allacker'!N17:N20)</f>
        <v>0.40013563919972861</v>
      </c>
    </row>
    <row r="43" spans="1:6" ht="15" customHeight="1" x14ac:dyDescent="0.25">
      <c r="A43" s="91" t="s">
        <v>162</v>
      </c>
      <c r="B43" s="91">
        <f>SUM(B11:B12)/'Gebouwgegevens Allacker'!B7</f>
        <v>0.59126454320045774</v>
      </c>
    </row>
    <row r="44" spans="1:6" ht="15" customHeight="1" x14ac:dyDescent="0.25">
      <c r="A44" s="91" t="s">
        <v>146</v>
      </c>
      <c r="B44" s="91">
        <f>B20/'Gebouwgegevens Allacker'!N16</f>
        <v>1.2666666666666666</v>
      </c>
    </row>
    <row r="45" spans="1:6" ht="15" customHeight="1" x14ac:dyDescent="0.25">
      <c r="A45" s="91" t="s">
        <v>163</v>
      </c>
      <c r="B45" s="91">
        <f>SUM(B21:B24)/'Gebouwgegevens Allacker'!G5</f>
        <v>1.7428571428571427</v>
      </c>
    </row>
    <row r="46" spans="1:6" ht="15" customHeight="1" x14ac:dyDescent="0.25">
      <c r="A46" s="91" t="s">
        <v>152</v>
      </c>
      <c r="B46" s="91">
        <f>B26/'Gebouwgegevens Allacker'!F17</f>
        <v>1.6558447114588717</v>
      </c>
    </row>
    <row r="47" spans="1:6" ht="15" customHeight="1" x14ac:dyDescent="0.25">
      <c r="A47" s="91" t="s">
        <v>153</v>
      </c>
      <c r="B47" s="91">
        <f>B27/'Gebouwgegevens Allacker'!F18</f>
        <v>0.81289130657348274</v>
      </c>
    </row>
    <row r="48" spans="1:6" ht="15" customHeight="1" x14ac:dyDescent="0.25">
      <c r="A48" s="91" t="s">
        <v>154</v>
      </c>
      <c r="B48" s="91">
        <f>'Tabula data'!B28/'Gebouwgegevens Allacker'!F19</f>
        <v>0.94164714000237981</v>
      </c>
    </row>
    <row r="49" spans="1:2" ht="15" customHeight="1" x14ac:dyDescent="0.25">
      <c r="A49" s="91" t="s">
        <v>155</v>
      </c>
      <c r="B49" s="91">
        <f>B29/'Gebouwgegevens Allacker'!F23</f>
        <v>3.1303418171560415</v>
      </c>
    </row>
    <row r="50" spans="1:2" ht="15" customHeight="1" x14ac:dyDescent="0.25">
      <c r="A50" s="91" t="s">
        <v>156</v>
      </c>
      <c r="B50" s="91">
        <f>B30/'Gebouwgegevens Allacker'!F21</f>
        <v>2.544627649769585</v>
      </c>
    </row>
    <row r="51" spans="1:2" ht="15" customHeight="1" x14ac:dyDescent="0.25">
      <c r="A51" s="91" t="s">
        <v>157</v>
      </c>
      <c r="B51" s="91">
        <f>B31/'Gebouwgegevens Allacker'!F22</f>
        <v>2.9476774193548385</v>
      </c>
    </row>
  </sheetData>
  <mergeCells count="1">
    <mergeCell ref="B3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Normal="100" workbookViewId="0">
      <selection sqref="A1:I1"/>
    </sheetView>
  </sheetViews>
  <sheetFormatPr defaultRowHeight="15" x14ac:dyDescent="0.25"/>
  <cols>
    <col min="1" max="1" width="9.140625" style="3"/>
    <col min="2" max="2" width="11.5703125" style="3"/>
    <col min="3" max="3" width="10" style="3"/>
    <col min="4" max="4" width="12.5703125" style="3"/>
    <col min="5" max="5" width="21.7109375" style="3"/>
    <col min="6" max="7" width="12" style="3"/>
    <col min="8" max="21" width="9.140625" style="3"/>
    <col min="22" max="22" width="9.28515625" style="3"/>
    <col min="23" max="23" width="12.42578125" style="3"/>
    <col min="24" max="1025" width="9.140625" style="3"/>
  </cols>
  <sheetData>
    <row r="1" spans="1:25" ht="20.25" customHeight="1" x14ac:dyDescent="0.25">
      <c r="A1" s="320" t="s">
        <v>164</v>
      </c>
      <c r="B1" s="320"/>
      <c r="C1" s="320"/>
      <c r="D1" s="320"/>
      <c r="E1" s="320"/>
      <c r="F1" s="320"/>
      <c r="G1" s="320"/>
      <c r="H1" s="320"/>
      <c r="I1" s="320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17" t="s">
        <v>168</v>
      </c>
      <c r="W5" s="317"/>
      <c r="X5" s="317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22" t="s">
        <v>171</v>
      </c>
      <c r="B7" s="322"/>
      <c r="C7" s="322"/>
      <c r="D7" s="322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21584.030838614995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Allacker'!$J$5:$Q$83,3,0)</f>
        <v>1</v>
      </c>
      <c r="D12" s="108" t="str">
        <f>VLOOKUP(B12,'Gebouwgegevens Allacker'!$J$5:$Q$83,4,0)</f>
        <v>Wall External</v>
      </c>
      <c r="E12" s="108">
        <f>VLOOKUP(B12,'Gebouwgegevens Allacker'!$J$5:$Q$83,5,0)</f>
        <v>25.449999999999996</v>
      </c>
      <c r="F12" s="108" t="str">
        <f>VLOOKUP(B12,'Gebouwgegevens Allacker'!$J$5:$Q$83,6,0)</f>
        <v>front</v>
      </c>
      <c r="G12" s="108">
        <f>VLOOKUP(B12,'Gebouwgegevens Allacker'!$J$5:$Q$83,7,0)</f>
        <v>2.2022341505875525</v>
      </c>
      <c r="H12" s="109">
        <f>VLOOKUP(B12,'Gebouwgegevens Allacker'!$J$5:$Q$83,8,0)</f>
        <v>56.0468591324532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Allacker'!$J$5:$Q$83,3,0)</f>
        <v>1</v>
      </c>
      <c r="D13" s="108" t="str">
        <f>VLOOKUP(B13,'Gebouwgegevens Allacker'!$J$5:$Q$83,4,0)</f>
        <v>Wall External</v>
      </c>
      <c r="E13" s="108">
        <f>VLOOKUP(B13,'Gebouwgegevens Allacker'!$J$5:$Q$83,5,0)</f>
        <v>85.750000000000014</v>
      </c>
      <c r="F13" s="108" t="str">
        <f>VLOOKUP(B13,'Gebouwgegevens Allacker'!$J$5:$Q$83,6,0)</f>
        <v>right</v>
      </c>
      <c r="G13" s="108">
        <f>VLOOKUP(B13,'Gebouwgegevens Allacker'!$J$5:$Q$83,7,0)</f>
        <v>2.2022341505875525</v>
      </c>
      <c r="H13" s="109">
        <f>VLOOKUP(B13,'Gebouwgegevens Allacker'!$J$5:$Q$83,8,0)</f>
        <v>188.84157841288265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Allacker'!$J$5:$Q$83,3,0)</f>
        <v>1</v>
      </c>
      <c r="D14" s="108" t="str">
        <f>VLOOKUP(B14,'Gebouwgegevens Allacker'!$J$5:$Q$83,4,0)</f>
        <v>Wall External</v>
      </c>
      <c r="E14" s="108">
        <f>VLOOKUP(B14,'Gebouwgegevens Allacker'!$J$5:$Q$83,5,0)</f>
        <v>32.449999999999996</v>
      </c>
      <c r="F14" s="108" t="str">
        <f>VLOOKUP(B14,'Gebouwgegevens Allacker'!$J$5:$Q$83,6,0)</f>
        <v>back</v>
      </c>
      <c r="G14" s="108">
        <f>VLOOKUP(B14,'Gebouwgegevens Allacker'!$J$5:$Q$83,7,0)</f>
        <v>2.2022341505875525</v>
      </c>
      <c r="H14" s="109">
        <f>VLOOKUP(B14,'Gebouwgegevens Allacker'!$J$5:$Q$83,8,0)</f>
        <v>71.462498186566066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Allacker'!$J$5:$Q$83,3,0)</f>
        <v>1</v>
      </c>
      <c r="D15" s="108" t="str">
        <f>VLOOKUP(B15,'Gebouwgegevens Allacker'!$J$5:$Q$83,4,0)</f>
        <v>Wall External</v>
      </c>
      <c r="E15" s="108">
        <f>VLOOKUP(B15,'Gebouwgegevens Allacker'!$J$5:$Q$83,5,0)</f>
        <v>34.300000000000004</v>
      </c>
      <c r="F15" s="108" t="str">
        <f>VLOOKUP(B15,'Gebouwgegevens Allacker'!$J$5:$Q$83,6,0)</f>
        <v>left</v>
      </c>
      <c r="G15" s="108">
        <f>VLOOKUP(B15,'Gebouwgegevens Allacker'!$J$5:$Q$83,7,0)</f>
        <v>2.2022341505875525</v>
      </c>
      <c r="H15" s="109">
        <f>VLOOKUP(B15,'Gebouwgegevens Allacker'!$J$5:$Q$83,8,0)</f>
        <v>75.536631365153056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Allacker'!$J$5:$Q$83,3,0)</f>
        <v>1</v>
      </c>
      <c r="D16" s="108" t="str">
        <f>VLOOKUP(B16,'Gebouwgegevens Allacker'!$J$5:$Q$83,4,0)</f>
        <v>Window</v>
      </c>
      <c r="E16" s="108">
        <f>VLOOKUP(B16,'Gebouwgegevens Allacker'!$J$5:$Q$83,5,0)</f>
        <v>7</v>
      </c>
      <c r="F16" s="108" t="str">
        <f>VLOOKUP(B16,'Gebouwgegevens Allacker'!$J$5:$Q$83,6,0)</f>
        <v>front</v>
      </c>
      <c r="G16" s="108">
        <f>VLOOKUP(B16,'Gebouwgegevens Allacker'!$J$5:$Q$83,7,0)</f>
        <v>5</v>
      </c>
      <c r="H16" s="109">
        <f>VLOOKUP(B16,'Gebouwgegevens Allacker'!$J$5:$Q$83,8,0)</f>
        <v>35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Allacker'!$J$5:$Q$83,3,0)</f>
        <v>1</v>
      </c>
      <c r="D17" s="108" t="str">
        <f>VLOOKUP(B17,'Gebouwgegevens Allacker'!$J$5:$Q$83,4,0)</f>
        <v>Window</v>
      </c>
      <c r="E17" s="108">
        <f>VLOOKUP(B17,'Gebouwgegevens Allacker'!$J$5:$Q$83,5,0)</f>
        <v>0</v>
      </c>
      <c r="F17" s="108" t="str">
        <f>VLOOKUP(B17,'Gebouwgegevens Allacker'!$J$5:$Q$83,6,0)</f>
        <v>right</v>
      </c>
      <c r="G17" s="108">
        <f>VLOOKUP(B17,'Gebouwgegevens Allacker'!$J$5:$Q$83,7,0)</f>
        <v>5</v>
      </c>
      <c r="H17" s="109">
        <f>VLOOKUP(B17,'Gebouwgegevens Allacker'!$J$5:$Q$83,8,0)</f>
        <v>0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Allacker'!$J$5:$Q$83,3,0)</f>
        <v>1</v>
      </c>
      <c r="D18" s="108" t="str">
        <f>VLOOKUP(B18,'Gebouwgegevens Allacker'!$J$5:$Q$83,4,0)</f>
        <v>Window</v>
      </c>
      <c r="E18" s="108">
        <f>VLOOKUP(B18,'Gebouwgegevens Allacker'!$J$5:$Q$83,5,0)</f>
        <v>5</v>
      </c>
      <c r="F18" s="108" t="str">
        <f>VLOOKUP(B18,'Gebouwgegevens Allacker'!$J$5:$Q$83,6,0)</f>
        <v>back</v>
      </c>
      <c r="G18" s="108">
        <f>VLOOKUP(B18,'Gebouwgegevens Allacker'!$J$5:$Q$83,7,0)</f>
        <v>5</v>
      </c>
      <c r="H18" s="109">
        <f>VLOOKUP(B18,'Gebouwgegevens Allacker'!$J$5:$Q$83,8,0)</f>
        <v>25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Allacker'!$J$5:$Q$83,3,0)</f>
        <v>1</v>
      </c>
      <c r="D19" s="108" t="str">
        <f>VLOOKUP(B19,'Gebouwgegevens Allacker'!$J$5:$Q$83,4,0)</f>
        <v>Window</v>
      </c>
      <c r="E19" s="108">
        <f>VLOOKUP(B19,'Gebouwgegevens Allacker'!$J$5:$Q$83,5,0)</f>
        <v>0</v>
      </c>
      <c r="F19" s="108" t="str">
        <f>VLOOKUP(B19,'Gebouwgegevens Allacker'!$J$5:$Q$83,6,0)</f>
        <v>left</v>
      </c>
      <c r="G19" s="108">
        <f>VLOOKUP(B19,'Gebouwgegevens Allacker'!$J$5:$Q$83,7,0)</f>
        <v>5</v>
      </c>
      <c r="H19" s="109">
        <f>VLOOKUP(B19,'Gebouwgegevens Allacker'!$J$5:$Q$83,8,0)</f>
        <v>0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Allacker'!$J$5:$Q$83,3,0)</f>
        <v>1</v>
      </c>
      <c r="D21" s="108" t="str">
        <f>VLOOKUP(B21,'Gebouwgegevens Allacker'!$J$5:$Q$83,4,0)</f>
        <v>Roof</v>
      </c>
      <c r="E21" s="108">
        <f>VLOOKUP(B21,'Gebouwgegevens Allacker'!$J$5:$Q$83,5,0)</f>
        <v>29</v>
      </c>
      <c r="F21" s="108">
        <f>VLOOKUP(B21,'Gebouwgegevens Allacker'!$J$5:$Q$83,6,0)</f>
        <v>0</v>
      </c>
      <c r="G21" s="108">
        <f>VLOOKUP(B21,'Gebouwgegevens Allacker'!$J$5:$Q$83,7,0)</f>
        <v>1.6975498473547073</v>
      </c>
      <c r="H21" s="109">
        <f>VLOOKUP(B21,'Gebouwgegevens Allacker'!$J$5:$Q$83,8,0)</f>
        <v>49.228945573286509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/>
      <c r="W21" s="99"/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Allacker'!$J$5:$Q$83,3,0)</f>
        <v>1</v>
      </c>
      <c r="D28" s="118" t="str">
        <f>VLOOKUP(B28,'Gebouwgegevens Allacker'!$J$5:$Q$83,4,0)</f>
        <v>Floor</v>
      </c>
      <c r="E28" s="118">
        <f>VLOOKUP(B28,'Gebouwgegevens Allacker'!$J$5:$Q$83,5,0)</f>
        <v>104.86</v>
      </c>
      <c r="F28" s="118">
        <f>VLOOKUP(B28,'Gebouwgegevens Allacker'!$J$5:$Q$83,7,0)</f>
        <v>2.5990099009900991</v>
      </c>
      <c r="G28" s="119">
        <f>VLOOKUP(B28,'Gebouwgegevens Allacker'!$J$5:$Q$83,8,0)</f>
        <v>272.53217821782181</v>
      </c>
      <c r="H28" s="119">
        <f>N28/F28</f>
        <v>0.21722245983746219</v>
      </c>
      <c r="I28" s="118">
        <v>132</v>
      </c>
      <c r="J28" s="117">
        <v>42</v>
      </c>
      <c r="K28" s="117">
        <v>0.33</v>
      </c>
      <c r="L28" s="120">
        <f>I28/(0.5*J28)</f>
        <v>6.2857142857142856</v>
      </c>
      <c r="M28" s="120">
        <f>K28+2*(1/F28)</f>
        <v>1.0995238095238096</v>
      </c>
      <c r="N28" s="121">
        <f>IF(M28&lt;L28,2*2/(PI()*L28+M28)*LN(PI()*L28/M28+1),2/(0.457*L28+M28))</f>
        <v>0.56456332383498842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560.31662280767841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15688.865438614996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22" t="s">
        <v>197</v>
      </c>
      <c r="B45" s="322"/>
      <c r="C45" s="322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B48/20*741</f>
        <v>22.23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Allacker'!G35</f>
        <v>59.291999999999994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Allacker'!B5*(1-F55)</f>
        <v>40.160000000000011</v>
      </c>
      <c r="C55" s="119" t="s">
        <v>206</v>
      </c>
      <c r="D55" s="99"/>
      <c r="E55" s="99" t="s">
        <v>209</v>
      </c>
      <c r="F55" s="99">
        <f>0.84</f>
        <v>0.84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62.390000000000015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0.30064282341149379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21.212600000000005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Allacker'!E35-$B$4)</f>
        <v>615.1654000000002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22" t="s">
        <v>213</v>
      </c>
      <c r="B63" s="322"/>
      <c r="C63" s="322"/>
      <c r="D63" s="322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20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v>264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Allacker'!E35-'Verwarming Allacker'!$B$4)</f>
        <v>182.06896551724137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5280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763.59818832491976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21584.030838614995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22" t="s">
        <v>171</v>
      </c>
      <c r="B79" s="322"/>
      <c r="C79" s="322"/>
      <c r="D79" s="322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Allacker'!C108,'Gebouwgegevens Allacker'!$A$35:$F$46,5,0)</f>
        <v>#N/A</v>
      </c>
      <c r="H108" s="123" t="e">
        <f>VLOOKUP('Verwarming Allacker'!D108,'Gebouwgegevens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Allacker'!C109,'Gebouwgegevens Allacker'!$A$35:$F$46,5,0)</f>
        <v>#N/A</v>
      </c>
      <c r="H109" s="123" t="e">
        <f>VLOOKUP('Verwarming Allacker'!D109,'Gebouwgegevens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Allacker'!C110,'Gebouwgegevens Allacker'!$A$35:$F$46,5,0)</f>
        <v>#N/A</v>
      </c>
      <c r="H110" s="123" t="e">
        <f>VLOOKUP('Verwarming Allacker'!D110,'Gebouwgegevens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Allacker'!C111,'Gebouwgegevens Allacker'!$A$35:$F$46,5,0)</f>
        <v>#N/A</v>
      </c>
      <c r="H111" s="123" t="e">
        <f>VLOOKUP('Verwarming Allacker'!D111,'Gebouwgegevens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Allacker'!C112,'Gebouwgegevens Allacker'!$A$35:$F$46,5,0)</f>
        <v>#N/A</v>
      </c>
      <c r="H112" s="123" t="e">
        <f>VLOOKUP('Verwarming Allacker'!D112,'Gebouwgegevens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22" t="s">
        <v>197</v>
      </c>
      <c r="B124" s="322"/>
      <c r="C124" s="322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22" t="s">
        <v>213</v>
      </c>
      <c r="B142" s="322"/>
      <c r="C142" s="322"/>
      <c r="D142" s="322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Allacker'!$B$4)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22" t="s">
        <v>171</v>
      </c>
      <c r="B159" s="322"/>
      <c r="C159" s="322"/>
      <c r="D159" s="322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Allacker'!C188,'Gebouwgegevens Allacker'!$A$35:$F$46,5,0)</f>
        <v>#N/A</v>
      </c>
      <c r="H188" s="123" t="e">
        <f>VLOOKUP('Verwarming Allacker'!D188,'Gebouwgegevens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Allacker'!C189,'Gebouwgegevens Allacker'!$A$35:$F$46,5,0)</f>
        <v>#N/A</v>
      </c>
      <c r="H189" s="123" t="e">
        <f>VLOOKUP('Verwarming Allacker'!D189,'Gebouwgegevens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Allacker'!C190,'Gebouwgegevens Allacker'!$A$35:$F$46,5,0)</f>
        <v>#N/A</v>
      </c>
      <c r="H190" s="123" t="e">
        <f>VLOOKUP('Verwarming Allacker'!D190,'Gebouwgegevens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22" t="s">
        <v>197</v>
      </c>
      <c r="B204" s="322"/>
      <c r="C204" s="322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22" t="s">
        <v>213</v>
      </c>
      <c r="B222" s="322"/>
      <c r="C222" s="322"/>
      <c r="D222" s="322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Allacker'!$B$4)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22" t="s">
        <v>171</v>
      </c>
      <c r="B238" s="322"/>
      <c r="C238" s="322"/>
      <c r="D238" s="322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Allacker'!C267,'Gebouwgegevens Allacker'!$A$35:$F$46,5,0)</f>
        <v>#N/A</v>
      </c>
      <c r="H267" s="123" t="e">
        <f>VLOOKUP('Verwarming Allacker'!D267,'Gebouwgegevens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Allacker'!C268,'Gebouwgegevens Allacker'!$A$35:$F$46,5,0)</f>
        <v>#N/A</v>
      </c>
      <c r="H268" s="123" t="e">
        <f>VLOOKUP('Verwarming Allacker'!D268,'Gebouwgegevens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Allacker'!C269,'Gebouwgegevens Allacker'!$A$35:$F$46,5,0)</f>
        <v>#N/A</v>
      </c>
      <c r="H269" s="123" t="e">
        <f>VLOOKUP('Verwarming Allacker'!D269,'Gebouwgegevens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Allacker'!C270,'Gebouwgegevens Allacker'!$A$35:$F$46,5,0)</f>
        <v>#N/A</v>
      </c>
      <c r="H270" s="123" t="e">
        <f>VLOOKUP('Verwarming Allacker'!D270,'Gebouwgegevens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22" t="s">
        <v>197</v>
      </c>
      <c r="B283" s="322"/>
      <c r="C283" s="322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22" t="s">
        <v>213</v>
      </c>
      <c r="B301" s="322"/>
      <c r="C301" s="322"/>
      <c r="D301" s="322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Allacker'!$B$4)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22" t="s">
        <v>171</v>
      </c>
      <c r="B317" s="322"/>
      <c r="C317" s="322"/>
      <c r="D317" s="322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Allacker'!C346,'Gebouwgegevens Allacker'!$A$35:$F$46,5,0)</f>
        <v>#N/A</v>
      </c>
      <c r="H346" s="123" t="e">
        <f>VLOOKUP('Verwarming Allacker'!D346,'Gebouwgegevens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Allacker'!C347,'Gebouwgegevens Allacker'!$A$35:$F$46,5,0)</f>
        <v>#N/A</v>
      </c>
      <c r="H347" s="123" t="e">
        <f>VLOOKUP('Verwarming Allacker'!D347,'Gebouwgegevens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Allacker'!C348,'Gebouwgegevens Allacker'!$A$35:$F$46,5,0)</f>
        <v>#N/A</v>
      </c>
      <c r="H348" s="123" t="e">
        <f>VLOOKUP('Verwarming Allacker'!D348,'Gebouwgegevens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Allacker'!C349,'Gebouwgegevens Allacker'!$A$35:$F$46,5,0)</f>
        <v>#N/A</v>
      </c>
      <c r="H349" s="123" t="e">
        <f>VLOOKUP('Verwarming Allacker'!D349,'Gebouwgegevens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Allacker'!C350,'Gebouwgegevens Allacker'!$A$35:$F$46,5,0)</f>
        <v>#N/A</v>
      </c>
      <c r="H350" s="123" t="e">
        <f>VLOOKUP('Verwarming Allacker'!D350,'Gebouwgegevens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22" t="s">
        <v>197</v>
      </c>
      <c r="B362" s="322"/>
      <c r="C362" s="322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22" t="s">
        <v>213</v>
      </c>
      <c r="B380" s="322"/>
      <c r="C380" s="322"/>
      <c r="D380" s="322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Allacker'!$B$4)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22" t="s">
        <v>171</v>
      </c>
      <c r="B395" s="322"/>
      <c r="C395" s="322"/>
      <c r="D395" s="322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Allacker'!C424,'Gebouwgegevens Allacker'!$A$35:$F$46,5,0)</f>
        <v>#N/A</v>
      </c>
      <c r="H424" s="123" t="e">
        <f>VLOOKUP('Verwarming Allacker'!D424,'Gebouwgegevens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Allacker'!C425,'Gebouwgegevens Allacker'!$A$35:$F$46,5,0)</f>
        <v>#N/A</v>
      </c>
      <c r="H425" s="123" t="e">
        <f>VLOOKUP('Verwarming Allacker'!D425,'Gebouwgegevens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Allacker'!C426,'Gebouwgegevens Allacker'!$A$35:$F$46,5,0)</f>
        <v>#N/A</v>
      </c>
      <c r="H426" s="123" t="e">
        <f>VLOOKUP('Verwarming Allacker'!D426,'Gebouwgegevens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Allacker'!C427,'Gebouwgegevens Allacker'!$A$35:$F$46,5,0)</f>
        <v>#N/A</v>
      </c>
      <c r="H427" s="123" t="e">
        <f>VLOOKUP('Verwarming Allacker'!D427,'Gebouwgegevens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Allacker'!C428,'Gebouwgegevens Allacker'!$A$35:$F$46,5,0)</f>
        <v>#N/A</v>
      </c>
      <c r="H428" s="123" t="e">
        <f>VLOOKUP('Verwarming Allacker'!D428,'Gebouwgegevens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22" t="s">
        <v>197</v>
      </c>
      <c r="B440" s="322"/>
      <c r="C440" s="322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22" t="s">
        <v>213</v>
      </c>
      <c r="B458" s="322"/>
      <c r="C458" s="322"/>
      <c r="D458" s="322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Allacker'!$B$4)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22" t="s">
        <v>171</v>
      </c>
      <c r="B473" s="322"/>
      <c r="C473" s="322"/>
      <c r="D473" s="322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Allacker'!C502,'Gebouwgegevens Allacker'!$A$35:$F$46,5,0)</f>
        <v>#N/A</v>
      </c>
      <c r="H502" s="123" t="e">
        <f>VLOOKUP('Verwarming Allacker'!D502,'Gebouwgegevens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Allacker'!C503,'Gebouwgegevens Allacker'!$A$35:$F$46,5,0)</f>
        <v>#N/A</v>
      </c>
      <c r="H503" s="123" t="e">
        <f>VLOOKUP('Verwarming Allacker'!D503,'Gebouwgegevens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Allacker'!C504,'Gebouwgegevens Allacker'!$A$35:$F$46,5,0)</f>
        <v>#N/A</v>
      </c>
      <c r="H504" s="123" t="e">
        <f>VLOOKUP('Verwarming Allacker'!D504,'Gebouwgegevens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22" t="s">
        <v>197</v>
      </c>
      <c r="B518" s="322"/>
      <c r="C518" s="322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22" t="s">
        <v>213</v>
      </c>
      <c r="B536" s="322"/>
      <c r="C536" s="322"/>
      <c r="D536" s="322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Allacker'!$B$4)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22" t="s">
        <v>171</v>
      </c>
      <c r="B552" s="322"/>
      <c r="C552" s="322"/>
      <c r="D552" s="322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Allacker'!C581,'Gebouwgegevens Allacker'!$A$35:$F$46,5,0)</f>
        <v>#N/A</v>
      </c>
      <c r="H581" s="123" t="e">
        <f>VLOOKUP('Verwarming Allacker'!D581,'Gebouwgegevens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Allacker'!C582,'Gebouwgegevens Allacker'!$A$35:$F$46,5,0)</f>
        <v>#N/A</v>
      </c>
      <c r="H582" s="123" t="e">
        <f>VLOOKUP('Verwarming Allacker'!D582,'Gebouwgegevens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Allacker'!C583,'Gebouwgegevens Allacker'!$A$35:$F$46,5,0)</f>
        <v>#N/A</v>
      </c>
      <c r="H583" s="123" t="e">
        <f>VLOOKUP('Verwarming Allacker'!D583,'Gebouwgegevens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22" t="s">
        <v>197</v>
      </c>
      <c r="B597" s="322"/>
      <c r="C597" s="322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22" t="s">
        <v>213</v>
      </c>
      <c r="B615" s="322"/>
      <c r="C615" s="322"/>
      <c r="D615" s="322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Allacker'!$B$4)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22" t="s">
        <v>171</v>
      </c>
      <c r="B631" s="322"/>
      <c r="C631" s="322"/>
      <c r="D631" s="322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Allacker'!C660,'Gebouwgegevens Allacker'!$A$35:$F$46,5,0)</f>
        <v>#N/A</v>
      </c>
      <c r="H660" s="123" t="e">
        <f>VLOOKUP('Verwarming Allacker'!D660,'Gebouwgegevens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Allacker'!C661,'Gebouwgegevens Allacker'!$A$35:$F$46,5,0)</f>
        <v>#N/A</v>
      </c>
      <c r="H661" s="123" t="e">
        <f>VLOOKUP('Verwarming Allacker'!D661,'Gebouwgegevens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22" t="s">
        <v>197</v>
      </c>
      <c r="B676" s="322"/>
      <c r="C676" s="322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22" t="s">
        <v>213</v>
      </c>
      <c r="B694" s="322"/>
      <c r="C694" s="322"/>
      <c r="D694" s="322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Allacker'!$B$4)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22" t="s">
        <v>171</v>
      </c>
      <c r="B710" s="322"/>
      <c r="C710" s="322"/>
      <c r="D710" s="322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Allacker'!C739,'Gebouwgegevens Allacker'!$A$35:$F$46,5,0)</f>
        <v>#N/A</v>
      </c>
      <c r="H739" s="123" t="e">
        <f>VLOOKUP('Verwarming Allacker'!D739,'Gebouwgegevens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Allacker'!C740,'Gebouwgegevens Allacker'!$A$35:$F$46,5,0)</f>
        <v>#N/A</v>
      </c>
      <c r="H740" s="123" t="e">
        <f>VLOOKUP('Verwarming Allacker'!D740,'Gebouwgegevens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Allacker'!C741,'Gebouwgegevens Allacker'!$A$35:$F$46,5,0)</f>
        <v>#N/A</v>
      </c>
      <c r="H741" s="123" t="e">
        <f>VLOOKUP('Verwarming Allacker'!D741,'Gebouwgegevens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Allacker'!C742,'Gebouwgegevens Allacker'!$A$35:$F$46,5,0)</f>
        <v>#N/A</v>
      </c>
      <c r="H742" s="123" t="e">
        <f>VLOOKUP('Verwarming Allacker'!D742,'Gebouwgegevens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Allacker'!C743,'Gebouwgegevens Allacker'!$A$35:$F$46,5,0)</f>
        <v>#N/A</v>
      </c>
      <c r="H743" s="123" t="e">
        <f>VLOOKUP('Verwarming Allacker'!D743,'Gebouwgegevens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Allacker'!C744,'Gebouwgegevens Allacker'!$A$35:$F$46,5,0)</f>
        <v>#N/A</v>
      </c>
      <c r="H744" s="123" t="e">
        <f>VLOOKUP('Verwarming Allacker'!D744,'Gebouwgegevens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Allacker'!C745,'Gebouwgegevens Allacker'!$A$35:$F$46,5,0)</f>
        <v>#N/A</v>
      </c>
      <c r="H745" s="123" t="e">
        <f>VLOOKUP('Verwarming Allacker'!D745,'Gebouwgegevens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Allacker'!C746,'Gebouwgegevens Allacker'!$A$35:$F$46,5,0)</f>
        <v>#N/A</v>
      </c>
      <c r="H746" s="123" t="e">
        <f>VLOOKUP('Verwarming Allacker'!D746,'Gebouwgegevens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Allacker'!C747,'Gebouwgegevens Allacker'!$A$35:$F$46,5,0)</f>
        <v>#N/A</v>
      </c>
      <c r="H747" s="123" t="e">
        <f>VLOOKUP('Verwarming Allacker'!D747,'Gebouwgegevens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Allacker'!C748,'Gebouwgegevens Allacker'!$A$35:$F$46,5,0)</f>
        <v>#N/A</v>
      </c>
      <c r="H748" s="123" t="e">
        <f>VLOOKUP('Verwarming Allacker'!D748,'Gebouwgegevens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Allacker'!C749,'Gebouwgegevens Allacker'!$A$35:$F$46,5,0)</f>
        <v>#N/A</v>
      </c>
      <c r="H749" s="123" t="e">
        <f>VLOOKUP('Verwarming Allacker'!D749,'Gebouwgegevens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Allacker'!C750,'Gebouwgegevens Allacker'!$A$35:$F$46,5,0)</f>
        <v>#N/A</v>
      </c>
      <c r="H750" s="123" t="e">
        <f>VLOOKUP('Verwarming Allacker'!D750,'Gebouwgegevens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22" t="s">
        <v>197</v>
      </c>
      <c r="B755" s="322"/>
      <c r="C755" s="322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22" t="s">
        <v>213</v>
      </c>
      <c r="B773" s="322"/>
      <c r="C773" s="322"/>
      <c r="D773" s="322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Allacker'!$B$4)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238:D238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552:D552"/>
    <mergeCell ref="A597:C597"/>
    <mergeCell ref="A755:C755"/>
    <mergeCell ref="A773:D773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Q1" zoomScaleNormal="100" workbookViewId="0">
      <selection activeCell="T28" sqref="T28"/>
    </sheetView>
  </sheetViews>
  <sheetFormatPr defaultRowHeight="15" x14ac:dyDescent="0.25"/>
  <cols>
    <col min="1" max="1025" width="9.140625" style="3"/>
  </cols>
  <sheetData>
    <row r="1" spans="1:25" ht="20.25" customHeight="1" x14ac:dyDescent="0.25">
      <c r="A1" s="320" t="s">
        <v>164</v>
      </c>
      <c r="B1" s="320"/>
      <c r="C1" s="320"/>
      <c r="D1" s="320"/>
      <c r="E1" s="320"/>
      <c r="F1" s="320"/>
      <c r="G1" s="320"/>
      <c r="H1" s="320"/>
      <c r="I1" s="320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17" t="s">
        <v>168</v>
      </c>
      <c r="W5" s="317"/>
      <c r="X5" s="317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22" t="s">
        <v>171</v>
      </c>
      <c r="B7" s="322"/>
      <c r="C7" s="322"/>
      <c r="D7" s="322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28472.542762167781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Tabula'!$J$5:$Q$83,3,0)</f>
        <v>1</v>
      </c>
      <c r="D12" s="108" t="str">
        <f>VLOOKUP(B12,'Gebouwgegevens Tabula'!$J$5:$Q$83,4,0)</f>
        <v>Wall External</v>
      </c>
      <c r="E12" s="108">
        <f>VLOOKUP(B12,'Gebouwgegevens Tabula'!$J$5:$Q$83,5,0)</f>
        <v>22.715</v>
      </c>
      <c r="F12" s="108" t="str">
        <f>VLOOKUP(B12,'Gebouwgegevens Tabula'!$J$5:$Q$83,6,0)</f>
        <v>front</v>
      </c>
      <c r="G12" s="108">
        <f>VLOOKUP(B12,'Gebouwgegevens Tabula'!$J$5:$Q$83,7,0)</f>
        <v>2.2022341505875525</v>
      </c>
      <c r="H12" s="109">
        <f>VLOOKUP(B12,'Gebouwgegevens Tabula'!$J$5:$Q$83,8,0)</f>
        <v>50.023748730596253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Tabula'!$J$5:$Q$83,3,0)</f>
        <v>1</v>
      </c>
      <c r="D13" s="108" t="str">
        <f>VLOOKUP(B13,'Gebouwgegevens Tabula'!$J$5:$Q$83,4,0)</f>
        <v>Wall External</v>
      </c>
      <c r="E13" s="108">
        <f>VLOOKUP(B13,'Gebouwgegevens Tabula'!$J$5:$Q$83,5,0)</f>
        <v>18.585000000000001</v>
      </c>
      <c r="F13" s="108" t="str">
        <f>VLOOKUP(B13,'Gebouwgegevens Tabula'!$J$5:$Q$83,6,0)</f>
        <v>right</v>
      </c>
      <c r="G13" s="108">
        <f>VLOOKUP(B13,'Gebouwgegevens Tabula'!$J$5:$Q$83,7,0)</f>
        <v>2.2022341505875525</v>
      </c>
      <c r="H13" s="109">
        <f>VLOOKUP(B13,'Gebouwgegevens Tabula'!$J$5:$Q$83,8,0)</f>
        <v>40.928521688669662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Tabula'!$J$5:$Q$83,3,0)</f>
        <v>1</v>
      </c>
      <c r="D14" s="108" t="str">
        <f>VLOOKUP(B14,'Gebouwgegevens Tabula'!$J$5:$Q$83,4,0)</f>
        <v>Wall External</v>
      </c>
      <c r="E14" s="108">
        <f>VLOOKUP(B14,'Gebouwgegevens Tabula'!$J$5:$Q$83,5,0)</f>
        <v>22.715</v>
      </c>
      <c r="F14" s="108" t="str">
        <f>VLOOKUP(B14,'Gebouwgegevens Tabula'!$J$5:$Q$83,6,0)</f>
        <v>back</v>
      </c>
      <c r="G14" s="108">
        <f>VLOOKUP(B14,'Gebouwgegevens Tabula'!$J$5:$Q$83,7,0)</f>
        <v>2.2022341505875525</v>
      </c>
      <c r="H14" s="109">
        <f>VLOOKUP(B14,'Gebouwgegevens Tabula'!$J$5:$Q$83,8,0)</f>
        <v>50.023748730596253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Tabula'!$J$5:$Q$83,3,0)</f>
        <v>1</v>
      </c>
      <c r="D15" s="108" t="str">
        <f>VLOOKUP(B15,'Gebouwgegevens Tabula'!$J$5:$Q$83,4,0)</f>
        <v>Wall External</v>
      </c>
      <c r="E15" s="108">
        <f>VLOOKUP(B15,'Gebouwgegevens Tabula'!$J$5:$Q$83,5,0)</f>
        <v>18.585000000000001</v>
      </c>
      <c r="F15" s="108" t="str">
        <f>VLOOKUP(B15,'Gebouwgegevens Tabula'!$J$5:$Q$83,6,0)</f>
        <v>left</v>
      </c>
      <c r="G15" s="108">
        <f>VLOOKUP(B15,'Gebouwgegevens Tabula'!$J$5:$Q$83,7,0)</f>
        <v>2.2022341505875525</v>
      </c>
      <c r="H15" s="109">
        <f>VLOOKUP(B15,'Gebouwgegevens Tabula'!$J$5:$Q$83,8,0)</f>
        <v>40.928521688669662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Tabula'!$J$5:$Q$83,3,0)</f>
        <v>1</v>
      </c>
      <c r="D16" s="108" t="str">
        <f>VLOOKUP(B16,'Gebouwgegevens Tabula'!$J$5:$Q$83,4,0)</f>
        <v>Window</v>
      </c>
      <c r="E16" s="108">
        <f>VLOOKUP(B16,'Gebouwgegevens Tabula'!$J$5:$Q$83,5,0)</f>
        <v>10.8</v>
      </c>
      <c r="F16" s="108" t="str">
        <f>VLOOKUP(B16,'Gebouwgegevens Tabula'!$J$5:$Q$83,6,0)</f>
        <v>front</v>
      </c>
      <c r="G16" s="108">
        <f>VLOOKUP(B16,'Gebouwgegevens Tabula'!$J$5:$Q$83,7,0)</f>
        <v>5</v>
      </c>
      <c r="H16" s="109">
        <f>VLOOKUP(B16,'Gebouwgegevens Tabula'!$J$5:$Q$83,8,0)</f>
        <v>54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Tabula'!$J$5:$Q$83,3,0)</f>
        <v>1</v>
      </c>
      <c r="D17" s="108" t="str">
        <f>VLOOKUP(B17,'Gebouwgegevens Tabula'!$J$5:$Q$83,4,0)</f>
        <v>Window</v>
      </c>
      <c r="E17" s="108">
        <f>VLOOKUP(B17,'Gebouwgegevens Tabula'!$J$5:$Q$83,5,0)</f>
        <v>9.3000000000000007</v>
      </c>
      <c r="F17" s="108" t="str">
        <f>VLOOKUP(B17,'Gebouwgegevens Tabula'!$J$5:$Q$83,6,0)</f>
        <v>right</v>
      </c>
      <c r="G17" s="108">
        <f>VLOOKUP(B17,'Gebouwgegevens Tabula'!$J$5:$Q$83,7,0)</f>
        <v>5</v>
      </c>
      <c r="H17" s="109">
        <f>VLOOKUP(B17,'Gebouwgegevens Tabula'!$J$5:$Q$83,8,0)</f>
        <v>46.5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Tabula'!$J$5:$Q$83,3,0)</f>
        <v>1</v>
      </c>
      <c r="D18" s="108" t="str">
        <f>VLOOKUP(B18,'Gebouwgegevens Tabula'!$J$5:$Q$83,4,0)</f>
        <v>Window</v>
      </c>
      <c r="E18" s="108">
        <f>VLOOKUP(B18,'Gebouwgegevens Tabula'!$J$5:$Q$83,5,0)</f>
        <v>12.2</v>
      </c>
      <c r="F18" s="108" t="str">
        <f>VLOOKUP(B18,'Gebouwgegevens Tabula'!$J$5:$Q$83,6,0)</f>
        <v>back</v>
      </c>
      <c r="G18" s="108">
        <f>VLOOKUP(B18,'Gebouwgegevens Tabula'!$J$5:$Q$83,7,0)</f>
        <v>5</v>
      </c>
      <c r="H18" s="109">
        <f>VLOOKUP(B18,'Gebouwgegevens Tabula'!$J$5:$Q$83,8,0)</f>
        <v>61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Tabula'!$J$5:$Q$83,3,0)</f>
        <v>1</v>
      </c>
      <c r="D19" s="108" t="str">
        <f>VLOOKUP(B19,'Gebouwgegevens Tabula'!$J$5:$Q$83,4,0)</f>
        <v>Window</v>
      </c>
      <c r="E19" s="108">
        <f>VLOOKUP(B19,'Gebouwgegevens Tabula'!$J$5:$Q$83,5,0)</f>
        <v>8.9</v>
      </c>
      <c r="F19" s="108" t="str">
        <f>VLOOKUP(B19,'Gebouwgegevens Tabula'!$J$5:$Q$83,6,0)</f>
        <v>left</v>
      </c>
      <c r="G19" s="108">
        <f>VLOOKUP(B19,'Gebouwgegevens Tabula'!$J$5:$Q$83,7,0)</f>
        <v>5</v>
      </c>
      <c r="H19" s="109">
        <f>VLOOKUP(B19,'Gebouwgegevens Tabula'!$J$5:$Q$83,8,0)</f>
        <v>44.5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Tabula'!$J$5:$Q$83,3,0)</f>
        <v>1</v>
      </c>
      <c r="D21" s="108" t="str">
        <f>VLOOKUP(B21,'Gebouwgegevens Tabula'!$J$5:$Q$83,4,0)</f>
        <v>Roof</v>
      </c>
      <c r="E21" s="108">
        <f>VLOOKUP(B21,'Gebouwgegevens Tabula'!$J$5:$Q$83,5,0)</f>
        <v>78.599999999999994</v>
      </c>
      <c r="F21" s="108">
        <f>VLOOKUP(B21,'Gebouwgegevens Tabula'!$J$5:$Q$83,6,0)</f>
        <v>0</v>
      </c>
      <c r="G21" s="108">
        <f>VLOOKUP(B21,'Gebouwgegevens Tabula'!$J$5:$Q$83,7,0)</f>
        <v>1.6975498473547073</v>
      </c>
      <c r="H21" s="109">
        <f>VLOOKUP(B21,'Gebouwgegevens Tabula'!$J$5:$Q$83,8,0)</f>
        <v>133.42741800207997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31319.79703838456</v>
      </c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Tabula'!$J$5:$Q$83,3,0)</f>
        <v>1</v>
      </c>
      <c r="D28" s="118" t="str">
        <f>VLOOKUP(B28,'Gebouwgegevens Tabula'!$J$5:$Q$83,4,0)</f>
        <v>Floor</v>
      </c>
      <c r="E28" s="118">
        <f>VLOOKUP(B28,'Gebouwgegevens Tabula'!$J$5:$Q$83,5,0)</f>
        <v>62</v>
      </c>
      <c r="F28" s="118">
        <f>VLOOKUP(B28,'Gebouwgegevens Tabula'!$J$5:$Q$83,7,0)</f>
        <v>2.5990099009900991</v>
      </c>
      <c r="G28" s="119">
        <f>VLOOKUP(B28,'Gebouwgegevens Tabula'!$J$5:$Q$83,8,0)</f>
        <v>161.13861386138615</v>
      </c>
      <c r="H28" s="119">
        <f>N28/F28</f>
        <v>0.33296202891748017</v>
      </c>
      <c r="I28" s="118">
        <f>'Gebouwgegevens Tabula'!N14</f>
        <v>62</v>
      </c>
      <c r="J28" s="117">
        <v>42</v>
      </c>
      <c r="K28" s="117">
        <v>0.33</v>
      </c>
      <c r="L28" s="120">
        <f>I28/(0.5*J28)</f>
        <v>2.9523809523809526</v>
      </c>
      <c r="M28" s="120">
        <f>K28+2*(1/F28)</f>
        <v>1.0995238095238096</v>
      </c>
      <c r="N28" s="121">
        <f>IF(M28&lt;L28,2*2/(PI()*L28+M28)*LN(PI()*L28/M28+1),2/(0.457*L28+M28))</f>
        <v>0.8653716098102826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574.98499864884934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16099.579962167782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22" t="s">
        <v>197</v>
      </c>
      <c r="B45" s="322"/>
      <c r="C45" s="322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Tabula'!B5</f>
        <v>22.98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Tabula'!G35</f>
        <v>167.39999999999998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Tabula'!B5*(1-F55)</f>
        <v>383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405.98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1.9563227031350894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138.03320000000002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4002.9628000000007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22" t="s">
        <v>213</v>
      </c>
      <c r="B63" s="322"/>
      <c r="C63" s="322"/>
      <c r="D63" s="322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30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Tabula'!B7</f>
        <v>279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Tabula'!$B$4)</f>
        <v>288.62068965517244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8370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1001.6388883040219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28472.542762167781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22" t="s">
        <v>171</v>
      </c>
      <c r="B79" s="322"/>
      <c r="C79" s="322"/>
      <c r="D79" s="322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Tabula'!C108,'Gebouwgegevens Allacker'!$A$35:$F$46,5,0)</f>
        <v>#N/A</v>
      </c>
      <c r="H108" s="123" t="e">
        <f>VLOOKUP('Verwarming Tabula'!D108,'Gebouwgegevens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Tabula'!C109,'Gebouwgegevens Allacker'!$A$35:$F$46,5,0)</f>
        <v>#N/A</v>
      </c>
      <c r="H109" s="123" t="e">
        <f>VLOOKUP('Verwarming Tabula'!D109,'Gebouwgegevens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Tabula'!C110,'Gebouwgegevens Allacker'!$A$35:$F$46,5,0)</f>
        <v>#N/A</v>
      </c>
      <c r="H110" s="123" t="e">
        <f>VLOOKUP('Verwarming Tabula'!D110,'Gebouwgegevens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Tabula'!C111,'Gebouwgegevens Allacker'!$A$35:$F$46,5,0)</f>
        <v>#N/A</v>
      </c>
      <c r="H111" s="123" t="e">
        <f>VLOOKUP('Verwarming Tabula'!D111,'Gebouwgegevens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Tabula'!C112,'Gebouwgegevens Allacker'!$A$35:$F$46,5,0)</f>
        <v>#N/A</v>
      </c>
      <c r="H112" s="123" t="e">
        <f>VLOOKUP('Verwarming Tabula'!D112,'Gebouwgegevens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22" t="s">
        <v>197</v>
      </c>
      <c r="B124" s="322"/>
      <c r="C124" s="322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22" t="s">
        <v>213</v>
      </c>
      <c r="B142" s="322"/>
      <c r="C142" s="322"/>
      <c r="D142" s="322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22" t="s">
        <v>171</v>
      </c>
      <c r="B159" s="322"/>
      <c r="C159" s="322"/>
      <c r="D159" s="322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Tabula'!C188,'Gebouwgegevens Allacker'!$A$35:$F$46,5,0)</f>
        <v>#N/A</v>
      </c>
      <c r="H188" s="123" t="e">
        <f>VLOOKUP('Verwarming Tabula'!D188,'Gebouwgegevens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Tabula'!C189,'Gebouwgegevens Allacker'!$A$35:$F$46,5,0)</f>
        <v>#N/A</v>
      </c>
      <c r="H189" s="123" t="e">
        <f>VLOOKUP('Verwarming Tabula'!D189,'Gebouwgegevens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Tabula'!C190,'Gebouwgegevens Allacker'!$A$35:$F$46,5,0)</f>
        <v>#N/A</v>
      </c>
      <c r="H190" s="123" t="e">
        <f>VLOOKUP('Verwarming Tabula'!D190,'Gebouwgegevens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22" t="s">
        <v>197</v>
      </c>
      <c r="B204" s="322"/>
      <c r="C204" s="322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22" t="s">
        <v>213</v>
      </c>
      <c r="B222" s="322"/>
      <c r="C222" s="322"/>
      <c r="D222" s="322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22" t="s">
        <v>171</v>
      </c>
      <c r="B238" s="322"/>
      <c r="C238" s="322"/>
      <c r="D238" s="322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Tabula'!C267,'Gebouwgegevens Allacker'!$A$35:$F$46,5,0)</f>
        <v>#N/A</v>
      </c>
      <c r="H267" s="123" t="e">
        <f>VLOOKUP('Verwarming Tabula'!D267,'Gebouwgegevens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Tabula'!C268,'Gebouwgegevens Allacker'!$A$35:$F$46,5,0)</f>
        <v>#N/A</v>
      </c>
      <c r="H268" s="123" t="e">
        <f>VLOOKUP('Verwarming Tabula'!D268,'Gebouwgegevens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Tabula'!C269,'Gebouwgegevens Allacker'!$A$35:$F$46,5,0)</f>
        <v>#N/A</v>
      </c>
      <c r="H269" s="123" t="e">
        <f>VLOOKUP('Verwarming Tabula'!D269,'Gebouwgegevens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Tabula'!C270,'Gebouwgegevens Allacker'!$A$35:$F$46,5,0)</f>
        <v>#N/A</v>
      </c>
      <c r="H270" s="123" t="e">
        <f>VLOOKUP('Verwarming Tabula'!D270,'Gebouwgegevens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22" t="s">
        <v>197</v>
      </c>
      <c r="B283" s="322"/>
      <c r="C283" s="322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22" t="s">
        <v>213</v>
      </c>
      <c r="B301" s="322"/>
      <c r="C301" s="322"/>
      <c r="D301" s="322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22" t="s">
        <v>171</v>
      </c>
      <c r="B317" s="322"/>
      <c r="C317" s="322"/>
      <c r="D317" s="322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Tabula'!C346,'Gebouwgegevens Allacker'!$A$35:$F$46,5,0)</f>
        <v>#N/A</v>
      </c>
      <c r="H346" s="123" t="e">
        <f>VLOOKUP('Verwarming Tabula'!D346,'Gebouwgegevens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Tabula'!C347,'Gebouwgegevens Allacker'!$A$35:$F$46,5,0)</f>
        <v>#N/A</v>
      </c>
      <c r="H347" s="123" t="e">
        <f>VLOOKUP('Verwarming Tabula'!D347,'Gebouwgegevens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Tabula'!C348,'Gebouwgegevens Allacker'!$A$35:$F$46,5,0)</f>
        <v>#N/A</v>
      </c>
      <c r="H348" s="123" t="e">
        <f>VLOOKUP('Verwarming Tabula'!D348,'Gebouwgegevens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Tabula'!C349,'Gebouwgegevens Allacker'!$A$35:$F$46,5,0)</f>
        <v>#N/A</v>
      </c>
      <c r="H349" s="123" t="e">
        <f>VLOOKUP('Verwarming Tabula'!D349,'Gebouwgegevens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Tabula'!C350,'Gebouwgegevens Allacker'!$A$35:$F$46,5,0)</f>
        <v>#N/A</v>
      </c>
      <c r="H350" s="123" t="e">
        <f>VLOOKUP('Verwarming Tabula'!D350,'Gebouwgegevens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22" t="s">
        <v>197</v>
      </c>
      <c r="B362" s="322"/>
      <c r="C362" s="322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22" t="s">
        <v>213</v>
      </c>
      <c r="B380" s="322"/>
      <c r="C380" s="322"/>
      <c r="D380" s="322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22" t="s">
        <v>171</v>
      </c>
      <c r="B395" s="322"/>
      <c r="C395" s="322"/>
      <c r="D395" s="322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Tabula'!C424,'Gebouwgegevens Allacker'!$A$35:$F$46,5,0)</f>
        <v>#N/A</v>
      </c>
      <c r="H424" s="123" t="e">
        <f>VLOOKUP('Verwarming Tabula'!D424,'Gebouwgegevens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Tabula'!C425,'Gebouwgegevens Allacker'!$A$35:$F$46,5,0)</f>
        <v>#N/A</v>
      </c>
      <c r="H425" s="123" t="e">
        <f>VLOOKUP('Verwarming Tabula'!D425,'Gebouwgegevens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Tabula'!C426,'Gebouwgegevens Allacker'!$A$35:$F$46,5,0)</f>
        <v>#N/A</v>
      </c>
      <c r="H426" s="123" t="e">
        <f>VLOOKUP('Verwarming Tabula'!D426,'Gebouwgegevens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Tabula'!C427,'Gebouwgegevens Allacker'!$A$35:$F$46,5,0)</f>
        <v>#N/A</v>
      </c>
      <c r="H427" s="123" t="e">
        <f>VLOOKUP('Verwarming Tabula'!D427,'Gebouwgegevens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Tabula'!C428,'Gebouwgegevens Allacker'!$A$35:$F$46,5,0)</f>
        <v>#N/A</v>
      </c>
      <c r="H428" s="123" t="e">
        <f>VLOOKUP('Verwarming Tabula'!D428,'Gebouwgegevens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22" t="s">
        <v>197</v>
      </c>
      <c r="B440" s="322"/>
      <c r="C440" s="322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22" t="s">
        <v>213</v>
      </c>
      <c r="B458" s="322"/>
      <c r="C458" s="322"/>
      <c r="D458" s="322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22" t="s">
        <v>171</v>
      </c>
      <c r="B473" s="322"/>
      <c r="C473" s="322"/>
      <c r="D473" s="322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Tabula'!C502,'Gebouwgegevens Allacker'!$A$35:$F$46,5,0)</f>
        <v>#N/A</v>
      </c>
      <c r="H502" s="123" t="e">
        <f>VLOOKUP('Verwarming Tabula'!D502,'Gebouwgegevens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Tabula'!C503,'Gebouwgegevens Allacker'!$A$35:$F$46,5,0)</f>
        <v>#N/A</v>
      </c>
      <c r="H503" s="123" t="e">
        <f>VLOOKUP('Verwarming Tabula'!D503,'Gebouwgegevens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Tabula'!C504,'Gebouwgegevens Allacker'!$A$35:$F$46,5,0)</f>
        <v>#N/A</v>
      </c>
      <c r="H504" s="123" t="e">
        <f>VLOOKUP('Verwarming Tabula'!D504,'Gebouwgegevens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22" t="s">
        <v>197</v>
      </c>
      <c r="B518" s="322"/>
      <c r="C518" s="322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22" t="s">
        <v>213</v>
      </c>
      <c r="B536" s="322"/>
      <c r="C536" s="322"/>
      <c r="D536" s="322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22" t="s">
        <v>171</v>
      </c>
      <c r="B552" s="322"/>
      <c r="C552" s="322"/>
      <c r="D552" s="322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Tabula'!C581,'Gebouwgegevens Allacker'!$A$35:$F$46,5,0)</f>
        <v>#N/A</v>
      </c>
      <c r="H581" s="123" t="e">
        <f>VLOOKUP('Verwarming Tabula'!D581,'Gebouwgegevens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Tabula'!C582,'Gebouwgegevens Allacker'!$A$35:$F$46,5,0)</f>
        <v>#N/A</v>
      </c>
      <c r="H582" s="123" t="e">
        <f>VLOOKUP('Verwarming Tabula'!D582,'Gebouwgegevens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Tabula'!C583,'Gebouwgegevens Allacker'!$A$35:$F$46,5,0)</f>
        <v>#N/A</v>
      </c>
      <c r="H583" s="123" t="e">
        <f>VLOOKUP('Verwarming Tabula'!D583,'Gebouwgegevens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22" t="s">
        <v>197</v>
      </c>
      <c r="B597" s="322"/>
      <c r="C597" s="322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22" t="s">
        <v>213</v>
      </c>
      <c r="B615" s="322"/>
      <c r="C615" s="322"/>
      <c r="D615" s="322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22" t="s">
        <v>171</v>
      </c>
      <c r="B631" s="322"/>
      <c r="C631" s="322"/>
      <c r="D631" s="322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Tabula'!C660,'Gebouwgegevens Allacker'!$A$35:$F$46,5,0)</f>
        <v>#N/A</v>
      </c>
      <c r="H660" s="123" t="e">
        <f>VLOOKUP('Verwarming Tabula'!D660,'Gebouwgegevens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Tabula'!C661,'Gebouwgegevens Allacker'!$A$35:$F$46,5,0)</f>
        <v>#N/A</v>
      </c>
      <c r="H661" s="123" t="e">
        <f>VLOOKUP('Verwarming Tabula'!D661,'Gebouwgegevens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22" t="s">
        <v>197</v>
      </c>
      <c r="B676" s="322"/>
      <c r="C676" s="322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22" t="s">
        <v>213</v>
      </c>
      <c r="B694" s="322"/>
      <c r="C694" s="322"/>
      <c r="D694" s="322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22" t="s">
        <v>171</v>
      </c>
      <c r="B710" s="322"/>
      <c r="C710" s="322"/>
      <c r="D710" s="322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Tabula'!C739,'Gebouwgegevens Allacker'!$A$35:$F$46,5,0)</f>
        <v>#N/A</v>
      </c>
      <c r="H739" s="123" t="e">
        <f>VLOOKUP('Verwarming Tabula'!D739,'Gebouwgegevens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Tabula'!C740,'Gebouwgegevens Allacker'!$A$35:$F$46,5,0)</f>
        <v>#N/A</v>
      </c>
      <c r="H740" s="123" t="e">
        <f>VLOOKUP('Verwarming Tabula'!D740,'Gebouwgegevens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Tabula'!C741,'Gebouwgegevens Allacker'!$A$35:$F$46,5,0)</f>
        <v>#N/A</v>
      </c>
      <c r="H741" s="123" t="e">
        <f>VLOOKUP('Verwarming Tabula'!D741,'Gebouwgegevens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Tabula'!C742,'Gebouwgegevens Allacker'!$A$35:$F$46,5,0)</f>
        <v>#N/A</v>
      </c>
      <c r="H742" s="123" t="e">
        <f>VLOOKUP('Verwarming Tabula'!D742,'Gebouwgegevens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Tabula'!C743,'Gebouwgegevens Allacker'!$A$35:$F$46,5,0)</f>
        <v>#N/A</v>
      </c>
      <c r="H743" s="123" t="e">
        <f>VLOOKUP('Verwarming Tabula'!D743,'Gebouwgegevens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Tabula'!C744,'Gebouwgegevens Allacker'!$A$35:$F$46,5,0)</f>
        <v>#N/A</v>
      </c>
      <c r="H744" s="123" t="e">
        <f>VLOOKUP('Verwarming Tabula'!D744,'Gebouwgegevens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Tabula'!C745,'Gebouwgegevens Allacker'!$A$35:$F$46,5,0)</f>
        <v>#N/A</v>
      </c>
      <c r="H745" s="123" t="e">
        <f>VLOOKUP('Verwarming Tabula'!D745,'Gebouwgegevens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Tabula'!C746,'Gebouwgegevens Allacker'!$A$35:$F$46,5,0)</f>
        <v>#N/A</v>
      </c>
      <c r="H746" s="123" t="e">
        <f>VLOOKUP('Verwarming Tabula'!D746,'Gebouwgegevens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Tabula'!C747,'Gebouwgegevens Allacker'!$A$35:$F$46,5,0)</f>
        <v>#N/A</v>
      </c>
      <c r="H747" s="123" t="e">
        <f>VLOOKUP('Verwarming Tabula'!D747,'Gebouwgegevens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Tabula'!C748,'Gebouwgegevens Allacker'!$A$35:$F$46,5,0)</f>
        <v>#N/A</v>
      </c>
      <c r="H748" s="123" t="e">
        <f>VLOOKUP('Verwarming Tabula'!D748,'Gebouwgegevens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Tabula'!C749,'Gebouwgegevens Allacker'!$A$35:$F$46,5,0)</f>
        <v>#N/A</v>
      </c>
      <c r="H749" s="123" t="e">
        <f>VLOOKUP('Verwarming Tabula'!D749,'Gebouwgegevens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Tabula'!C750,'Gebouwgegevens Allacker'!$A$35:$F$46,5,0)</f>
        <v>#N/A</v>
      </c>
      <c r="H750" s="123" t="e">
        <f>VLOOKUP('Verwarming Tabula'!D750,'Gebouwgegevens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22" t="s">
        <v>197</v>
      </c>
      <c r="B755" s="322"/>
      <c r="C755" s="322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22" t="s">
        <v>213</v>
      </c>
      <c r="B773" s="322"/>
      <c r="C773" s="322"/>
      <c r="D773" s="322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238:D238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552:D552"/>
    <mergeCell ref="A597:C597"/>
    <mergeCell ref="A755:C755"/>
    <mergeCell ref="A773:D773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26"/>
  <sheetViews>
    <sheetView topLeftCell="DD46" zoomScale="85" zoomScaleNormal="85" workbookViewId="0">
      <selection activeCell="DV79" sqref="DR5:DV79"/>
    </sheetView>
  </sheetViews>
  <sheetFormatPr defaultRowHeight="16.5" thickTop="1" thickBottom="1" x14ac:dyDescent="0.3"/>
  <cols>
    <col min="1" max="1" width="20.5703125"/>
    <col min="2" max="2" width="12.28515625"/>
    <col min="4" max="4" width="22.140625"/>
    <col min="6" max="6" width="7.140625"/>
    <col min="7" max="7" width="6"/>
    <col min="8" max="8" width="7.7109375"/>
    <col min="9" max="9" width="9.140625" style="81"/>
    <col min="10" max="10" width="9.140625" style="1"/>
    <col min="12" max="12" width="10.42578125" style="2"/>
    <col min="13" max="13" width="8" style="2"/>
    <col min="14" max="14" width="16.85546875" style="2"/>
    <col min="15" max="15" width="12.5703125"/>
    <col min="16" max="16" width="11.28515625"/>
    <col min="17" max="18" width="9.28515625" style="3"/>
    <col min="19" max="19" width="15.140625"/>
    <col min="20" max="20" width="11.7109375"/>
    <col min="21" max="21" width="12.140625"/>
    <col min="22" max="22" width="3.140625" style="1"/>
    <col min="23" max="23" width="3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56" max="56" width="16.42578125" customWidth="1"/>
    <col min="66" max="66" width="15.7109375" bestFit="1" customWidth="1"/>
    <col min="68" max="68" width="9.140625" style="171"/>
    <col min="81" max="81" width="15.7109375" bestFit="1" customWidth="1"/>
    <col min="88" max="88" width="10.28515625" style="81" bestFit="1" customWidth="1"/>
    <col min="89" max="91" width="9" style="81" bestFit="1" customWidth="1"/>
    <col min="94" max="94" width="16" style="258" bestFit="1" customWidth="1"/>
    <col min="95" max="95" width="12.28515625" style="258" bestFit="1" customWidth="1"/>
    <col min="96" max="96" width="23.5703125" style="258" bestFit="1" customWidth="1"/>
    <col min="97" max="97" width="9" style="258" bestFit="1" customWidth="1"/>
    <col min="98" max="99" width="8.42578125" style="258" bestFit="1" customWidth="1"/>
    <col min="100" max="100" width="8.42578125" bestFit="1" customWidth="1"/>
    <col min="101" max="101" width="5.28515625" bestFit="1" customWidth="1"/>
    <col min="102" max="102" width="18" style="260" customWidth="1"/>
    <col min="103" max="103" width="10" style="260" customWidth="1"/>
    <col min="104" max="104" width="2.7109375" style="260" customWidth="1"/>
    <col min="105" max="105" width="11" style="260" bestFit="1" customWidth="1"/>
    <col min="106" max="106" width="2.28515625" style="260" bestFit="1" customWidth="1"/>
    <col min="108" max="110" width="9.140625" style="170"/>
    <col min="111" max="111" width="19.85546875" style="170" bestFit="1" customWidth="1"/>
    <col min="112" max="112" width="9.140625" style="170"/>
    <col min="114" max="114" width="16" style="299" bestFit="1" customWidth="1"/>
    <col min="115" max="115" width="12.28515625" style="299" bestFit="1" customWidth="1"/>
    <col min="116" max="116" width="23.5703125" style="299" bestFit="1" customWidth="1"/>
    <col min="117" max="117" width="9" style="299" bestFit="1" customWidth="1"/>
    <col min="118" max="120" width="8.42578125" style="299" bestFit="1" customWidth="1"/>
    <col min="121" max="121" width="5.28515625" style="299" bestFit="1" customWidth="1"/>
    <col min="122" max="122" width="18" style="300" customWidth="1"/>
    <col min="123" max="123" width="10" style="300" customWidth="1"/>
    <col min="124" max="124" width="2.7109375" style="300" customWidth="1"/>
    <col min="125" max="125" width="11" style="300" bestFit="1" customWidth="1"/>
    <col min="126" max="126" width="2.28515625" style="300" bestFit="1" customWidth="1"/>
  </cols>
  <sheetData>
    <row r="1" spans="1:126" ht="20.25" customHeight="1" thickTop="1" thickBot="1" x14ac:dyDescent="0.35">
      <c r="A1" s="320" t="s">
        <v>312</v>
      </c>
      <c r="B1" s="320"/>
      <c r="C1" s="320"/>
      <c r="D1" s="320"/>
      <c r="E1" s="320"/>
      <c r="F1" s="320"/>
      <c r="G1" s="320"/>
      <c r="AO1" s="160" t="s">
        <v>314</v>
      </c>
      <c r="BC1" t="s">
        <v>378</v>
      </c>
      <c r="BQ1" t="s">
        <v>432</v>
      </c>
    </row>
    <row r="2" spans="1:126" thickTop="1" thickBot="1" x14ac:dyDescent="0.3">
      <c r="AO2" s="81" t="s">
        <v>315</v>
      </c>
      <c r="CJ2" s="81" t="s">
        <v>316</v>
      </c>
      <c r="CK2" s="79" t="s">
        <v>438</v>
      </c>
      <c r="CL2" s="79" t="s">
        <v>439</v>
      </c>
      <c r="CM2" s="79" t="s">
        <v>440</v>
      </c>
      <c r="CP2" s="258" t="s">
        <v>441</v>
      </c>
      <c r="DJ2" s="299" t="s">
        <v>441</v>
      </c>
    </row>
    <row r="3" spans="1:126" thickTop="1" thickBot="1" x14ac:dyDescent="0.3">
      <c r="A3" s="323" t="s">
        <v>1</v>
      </c>
      <c r="B3" s="324"/>
      <c r="C3" s="324"/>
      <c r="D3" s="324"/>
      <c r="E3" s="324"/>
      <c r="F3" s="324"/>
      <c r="G3" s="324"/>
      <c r="H3" s="325"/>
      <c r="I3" s="298"/>
      <c r="K3" s="317" t="s">
        <v>2</v>
      </c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4"/>
      <c r="W3" s="317" t="s">
        <v>3</v>
      </c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O3" s="163" t="s">
        <v>316</v>
      </c>
      <c r="AP3" s="164" t="s">
        <v>317</v>
      </c>
      <c r="AQ3" s="164"/>
      <c r="AR3" s="165"/>
      <c r="AS3" s="165"/>
      <c r="AT3" s="165"/>
      <c r="AV3" s="166" t="s">
        <v>318</v>
      </c>
      <c r="BC3" s="172"/>
      <c r="BD3" s="172" t="s">
        <v>379</v>
      </c>
      <c r="BE3" s="172"/>
      <c r="BF3" s="172"/>
      <c r="BG3" s="81"/>
      <c r="BH3" s="81"/>
      <c r="BJ3" s="173" t="s">
        <v>318</v>
      </c>
      <c r="BK3" s="173"/>
      <c r="BL3" s="173"/>
      <c r="BM3" s="173"/>
      <c r="BN3" s="174"/>
      <c r="BO3" s="173"/>
      <c r="BQ3" s="81" t="s">
        <v>433</v>
      </c>
      <c r="BR3" s="81" t="s">
        <v>379</v>
      </c>
      <c r="BS3" s="81"/>
      <c r="BT3" s="81"/>
      <c r="BU3" s="81"/>
      <c r="BV3" s="81"/>
      <c r="BW3" s="81"/>
      <c r="CJ3" s="81" t="s">
        <v>321</v>
      </c>
      <c r="CK3" s="254">
        <f>AZ4</f>
        <v>8.0492893638779733E-2</v>
      </c>
      <c r="CL3" s="254">
        <f>BN4</f>
        <v>0.16</v>
      </c>
      <c r="CM3" s="254">
        <f>CC6</f>
        <v>0.19</v>
      </c>
      <c r="CX3" s="260" t="s">
        <v>466</v>
      </c>
      <c r="DD3" s="260" t="s">
        <v>518</v>
      </c>
      <c r="DR3" s="300" t="s">
        <v>466</v>
      </c>
    </row>
    <row r="4" spans="1:126" ht="15.75" customHeight="1" thickTop="1" thickBot="1" x14ac:dyDescent="0.3">
      <c r="A4" s="182" t="s">
        <v>6</v>
      </c>
      <c r="B4" s="183">
        <f>'Tabula data'!B5</f>
        <v>462.8</v>
      </c>
      <c r="C4" s="183" t="s">
        <v>7</v>
      </c>
      <c r="D4" s="182" t="s">
        <v>8</v>
      </c>
      <c r="E4" s="183"/>
      <c r="F4" s="183"/>
      <c r="G4" s="184">
        <f>SUM(H6:H13)</f>
        <v>24.4</v>
      </c>
      <c r="H4" s="185" t="s">
        <v>9</v>
      </c>
      <c r="I4" s="193"/>
      <c r="L4" s="326" t="s">
        <v>2</v>
      </c>
      <c r="M4" s="327"/>
      <c r="N4" s="327"/>
      <c r="O4" s="327"/>
      <c r="P4" s="328"/>
      <c r="X4" s="226"/>
      <c r="Y4" s="226"/>
      <c r="Z4" s="227" t="s">
        <v>4</v>
      </c>
      <c r="AA4" s="227">
        <v>0.85</v>
      </c>
      <c r="AB4" s="227" t="s">
        <v>5</v>
      </c>
      <c r="AC4" s="226"/>
      <c r="AD4" s="226"/>
      <c r="AE4" s="226"/>
      <c r="AM4" s="159" t="s">
        <v>319</v>
      </c>
      <c r="AN4" s="81" t="s">
        <v>320</v>
      </c>
      <c r="AO4" s="81" t="s">
        <v>321</v>
      </c>
      <c r="AP4" s="81">
        <f>SUM(O6:O9)/(SUM($O$6:$O$14,$O$26,O30)+2*SUM($O$27))</f>
        <v>8.0492893638779733E-2</v>
      </c>
      <c r="AQ4" s="81" t="s">
        <v>322</v>
      </c>
      <c r="AR4" s="167">
        <v>0.1641929</v>
      </c>
      <c r="AV4" s="168" t="s">
        <v>319</v>
      </c>
      <c r="AW4" s="168" t="s">
        <v>320</v>
      </c>
      <c r="AX4" s="168" t="s">
        <v>321</v>
      </c>
      <c r="AY4" s="169" t="s">
        <v>323</v>
      </c>
      <c r="AZ4" s="162">
        <f>AP4</f>
        <v>8.0492893638779733E-2</v>
      </c>
      <c r="BA4" s="168" t="s">
        <v>322</v>
      </c>
      <c r="BC4" s="81" t="s">
        <v>380</v>
      </c>
      <c r="BD4" s="81"/>
      <c r="BE4" s="81"/>
      <c r="BF4" s="81"/>
      <c r="BG4" s="81"/>
      <c r="BH4" s="81"/>
      <c r="BJ4" s="175" t="s">
        <v>319</v>
      </c>
      <c r="BK4" s="175" t="s">
        <v>320</v>
      </c>
      <c r="BL4" s="175" t="s">
        <v>321</v>
      </c>
      <c r="BM4" s="175" t="s">
        <v>323</v>
      </c>
      <c r="BN4" s="174">
        <f>BD11</f>
        <v>0.16</v>
      </c>
      <c r="BO4" s="175" t="s">
        <v>322</v>
      </c>
      <c r="BQ4" s="81" t="s">
        <v>380</v>
      </c>
      <c r="BR4" s="81"/>
      <c r="BS4" s="81"/>
      <c r="BT4" s="81"/>
      <c r="BU4" s="81"/>
      <c r="BV4" s="81"/>
      <c r="BW4" s="81"/>
      <c r="CJ4" s="81" t="s">
        <v>324</v>
      </c>
      <c r="CK4" s="254">
        <f>AZ5</f>
        <v>0.55922140482267801</v>
      </c>
      <c r="CL4" s="254">
        <f>BN5</f>
        <v>0.318</v>
      </c>
      <c r="CM4" s="254">
        <f>CC7</f>
        <v>0.38</v>
      </c>
      <c r="CP4" s="258" t="s">
        <v>442</v>
      </c>
      <c r="CQ4" s="258" t="s">
        <v>433</v>
      </c>
      <c r="CR4" s="258" t="s">
        <v>443</v>
      </c>
      <c r="CV4" s="81"/>
      <c r="CW4" s="81"/>
      <c r="DJ4" s="299" t="s">
        <v>442</v>
      </c>
      <c r="DK4" s="299" t="s">
        <v>433</v>
      </c>
      <c r="DL4" s="299" t="s">
        <v>443</v>
      </c>
    </row>
    <row r="5" spans="1:126" ht="15" customHeight="1" thickTop="1" thickBot="1" x14ac:dyDescent="0.3">
      <c r="A5" s="186"/>
      <c r="B5" s="187"/>
      <c r="C5" s="187"/>
      <c r="D5" s="188"/>
      <c r="E5" s="189"/>
      <c r="F5" s="189"/>
      <c r="G5" s="189"/>
      <c r="H5" s="190"/>
      <c r="I5" s="189"/>
      <c r="K5" t="s">
        <v>10</v>
      </c>
      <c r="L5" s="211" t="s">
        <v>11</v>
      </c>
      <c r="M5" s="212" t="s">
        <v>12</v>
      </c>
      <c r="N5" s="212" t="s">
        <v>13</v>
      </c>
      <c r="O5" s="212" t="s">
        <v>14</v>
      </c>
      <c r="P5" s="21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8" t="s">
        <v>20</v>
      </c>
      <c r="Y5" s="229"/>
      <c r="Z5" s="230" t="s">
        <v>21</v>
      </c>
      <c r="AA5" s="231">
        <f>1/(1/10+SUM(AD9:AD12)+1/23)</f>
        <v>0.84975369458128069</v>
      </c>
      <c r="AB5" s="229" t="s">
        <v>5</v>
      </c>
      <c r="AC5" s="229"/>
      <c r="AD5" s="229" t="s">
        <v>22</v>
      </c>
      <c r="AE5" s="232">
        <f>SUM(AE7:AE10)</f>
        <v>54768</v>
      </c>
      <c r="AF5" s="14" t="s">
        <v>23</v>
      </c>
      <c r="AG5" s="14">
        <f>AE10</f>
        <v>16380</v>
      </c>
      <c r="AH5" s="14"/>
      <c r="AM5" s="159" t="s">
        <v>319</v>
      </c>
      <c r="AN5" s="81" t="s">
        <v>320</v>
      </c>
      <c r="AO5" s="81" t="s">
        <v>324</v>
      </c>
      <c r="AP5" s="81">
        <f>(2*O27+O30)/(SUM($O$6:$O$14,$O$26,O30)+2*SUM($O$27))</f>
        <v>0.55922140482267801</v>
      </c>
      <c r="AQ5" s="81" t="s">
        <v>322</v>
      </c>
      <c r="AR5" s="167">
        <v>0.42146270000000002</v>
      </c>
      <c r="AV5" s="168" t="s">
        <v>319</v>
      </c>
      <c r="AW5" s="168" t="s">
        <v>320</v>
      </c>
      <c r="AX5" s="168" t="s">
        <v>324</v>
      </c>
      <c r="AY5" s="169" t="s">
        <v>323</v>
      </c>
      <c r="AZ5" s="162">
        <f t="shared" ref="AZ5:AZ7" si="0">AP5</f>
        <v>0.55922140482267801</v>
      </c>
      <c r="BA5" s="168" t="s">
        <v>322</v>
      </c>
      <c r="BC5" s="81" t="s">
        <v>381</v>
      </c>
      <c r="BD5" s="81" t="s">
        <v>382</v>
      </c>
      <c r="BE5" s="81" t="s">
        <v>383</v>
      </c>
      <c r="BF5" s="81" t="s">
        <v>384</v>
      </c>
      <c r="BG5" s="81" t="s">
        <v>385</v>
      </c>
      <c r="BH5" s="81"/>
      <c r="BJ5" s="175" t="s">
        <v>319</v>
      </c>
      <c r="BK5" s="175" t="s">
        <v>320</v>
      </c>
      <c r="BL5" s="175" t="s">
        <v>324</v>
      </c>
      <c r="BM5" s="175" t="s">
        <v>323</v>
      </c>
      <c r="BN5" s="174">
        <f>BD12</f>
        <v>0.318</v>
      </c>
      <c r="BO5" s="175" t="s">
        <v>322</v>
      </c>
      <c r="BQ5" s="81" t="s">
        <v>381</v>
      </c>
      <c r="BR5" s="81" t="s">
        <v>382</v>
      </c>
      <c r="BS5" s="81" t="s">
        <v>383</v>
      </c>
      <c r="BT5" s="81" t="s">
        <v>384</v>
      </c>
      <c r="BU5" s="81" t="s">
        <v>385</v>
      </c>
      <c r="BV5" s="81" t="s">
        <v>386</v>
      </c>
      <c r="BW5" s="81"/>
      <c r="BY5" s="176" t="s">
        <v>318</v>
      </c>
      <c r="BZ5" s="176"/>
      <c r="CA5" s="176"/>
      <c r="CB5" s="176"/>
      <c r="CC5" s="177"/>
      <c r="CD5" s="176"/>
      <c r="CJ5" s="81" t="s">
        <v>325</v>
      </c>
      <c r="CK5" s="254">
        <f>AZ6</f>
        <v>3.2272287509326106E-2</v>
      </c>
      <c r="CL5" s="254">
        <f>BN6</f>
        <v>0.26200000000000001</v>
      </c>
      <c r="CM5" s="254">
        <f>CC8</f>
        <v>5.0500000000000003E-2</v>
      </c>
      <c r="CP5" s="258" t="s">
        <v>442</v>
      </c>
      <c r="CQ5" s="258" t="s">
        <v>380</v>
      </c>
      <c r="CV5" s="81"/>
      <c r="CW5" s="81"/>
      <c r="CX5" s="260" t="s">
        <v>467</v>
      </c>
      <c r="CY5" s="261" t="s">
        <v>468</v>
      </c>
      <c r="CZ5" s="261" t="s">
        <v>323</v>
      </c>
      <c r="DA5" s="262">
        <f>CR12</f>
        <v>0.128</v>
      </c>
      <c r="DB5" s="260" t="s">
        <v>322</v>
      </c>
      <c r="DD5" s="170" t="s">
        <v>467</v>
      </c>
      <c r="DE5" s="291" t="s">
        <v>468</v>
      </c>
      <c r="DF5" s="291" t="s">
        <v>323</v>
      </c>
      <c r="DG5" s="170">
        <f>$O$11*$Z$37*$AP$4</f>
        <v>0.19523551352086024</v>
      </c>
      <c r="DH5" s="170" t="s">
        <v>322</v>
      </c>
      <c r="DJ5" s="299" t="s">
        <v>442</v>
      </c>
      <c r="DK5" s="299" t="s">
        <v>380</v>
      </c>
      <c r="DR5" s="300" t="s">
        <v>467</v>
      </c>
      <c r="DS5" s="301" t="s">
        <v>468</v>
      </c>
      <c r="DT5" s="301" t="s">
        <v>323</v>
      </c>
      <c r="DU5" s="302">
        <f t="shared" ref="DU5:DU24" si="1">DL12</f>
        <v>0.153</v>
      </c>
      <c r="DV5" s="300" t="s">
        <v>322</v>
      </c>
    </row>
    <row r="6" spans="1:126" ht="15" customHeight="1" thickTop="1" thickBot="1" x14ac:dyDescent="0.3">
      <c r="A6" s="191" t="s">
        <v>34</v>
      </c>
      <c r="B6" s="192">
        <f>'Tabula data'!B4</f>
        <v>168.3</v>
      </c>
      <c r="C6" s="193" t="s">
        <v>9</v>
      </c>
      <c r="D6" s="194" t="s">
        <v>35</v>
      </c>
      <c r="E6" s="189" t="s">
        <v>36</v>
      </c>
      <c r="F6" s="195">
        <f t="shared" ref="F6:F13" si="2">H6/$G$4</f>
        <v>0.11680327868852459</v>
      </c>
      <c r="G6" s="189"/>
      <c r="H6" s="196">
        <f>'Tabula data'!B21*'Gebouwgegevens Tabula 2zone'!C45</f>
        <v>2.85</v>
      </c>
      <c r="I6" s="208"/>
      <c r="K6" t="s">
        <v>24</v>
      </c>
      <c r="L6" s="214">
        <v>0</v>
      </c>
      <c r="M6" s="215">
        <v>1</v>
      </c>
      <c r="N6" s="215" t="s">
        <v>25</v>
      </c>
      <c r="O6" s="216">
        <f>'Tabula data'!B10*C42/2*C43</f>
        <v>15.214497920380273</v>
      </c>
      <c r="P6" s="217" t="s">
        <v>26</v>
      </c>
      <c r="Q6" s="30">
        <f t="shared" ref="Q6:Q27" si="3">VLOOKUP(N6,$X$5:$AA$391,4,0)</f>
        <v>0.99033657090706906</v>
      </c>
      <c r="R6" s="30">
        <f t="shared" ref="R6:R27" si="4">Q6*O6</f>
        <v>15.067473698542132</v>
      </c>
      <c r="S6" s="30">
        <f t="shared" ref="S6:S14" si="5">VLOOKUP(N6,$X$5:$AE$391,8,0)*O6</f>
        <v>6767442.1468805717</v>
      </c>
      <c r="T6" s="30">
        <f t="shared" ref="T6:T14" si="6">S6/O6</f>
        <v>444802.20000000007</v>
      </c>
      <c r="U6" s="30">
        <f t="shared" ref="U6:U14" si="7">VLOOKUP(N6,$X$5:$AG$391,10,0)*O6</f>
        <v>2754128.4135472374</v>
      </c>
      <c r="V6" s="31"/>
      <c r="W6" s="3"/>
      <c r="X6" s="233"/>
      <c r="Y6" s="234" t="s">
        <v>27</v>
      </c>
      <c r="Z6" s="234" t="s">
        <v>28</v>
      </c>
      <c r="AA6" s="234" t="s">
        <v>29</v>
      </c>
      <c r="AB6" s="234" t="s">
        <v>30</v>
      </c>
      <c r="AC6" s="234" t="s">
        <v>31</v>
      </c>
      <c r="AD6" s="234" t="s">
        <v>32</v>
      </c>
      <c r="AE6" s="235" t="s">
        <v>33</v>
      </c>
      <c r="AF6" s="14"/>
      <c r="AG6" s="14"/>
      <c r="AH6" s="14"/>
      <c r="AM6" s="159" t="s">
        <v>319</v>
      </c>
      <c r="AN6" s="81" t="s">
        <v>320</v>
      </c>
      <c r="AO6" s="81" t="s">
        <v>325</v>
      </c>
      <c r="AP6" s="81">
        <f>SUM(O10:O13)/(SUM($O$6:$O$14,$O$26,O30)+2*SUM($O$27))</f>
        <v>3.2272287509326106E-2</v>
      </c>
      <c r="AQ6" s="81" t="s">
        <v>322</v>
      </c>
      <c r="AR6" s="167">
        <v>0.13510150000000001</v>
      </c>
      <c r="AV6" s="168" t="s">
        <v>319</v>
      </c>
      <c r="AW6" s="168" t="s">
        <v>320</v>
      </c>
      <c r="AX6" s="168" t="s">
        <v>325</v>
      </c>
      <c r="AY6" s="169" t="s">
        <v>323</v>
      </c>
      <c r="AZ6" s="162">
        <f t="shared" si="0"/>
        <v>3.2272287509326106E-2</v>
      </c>
      <c r="BA6" s="168" t="s">
        <v>322</v>
      </c>
      <c r="BC6" s="81" t="s">
        <v>387</v>
      </c>
      <c r="BD6" s="167">
        <v>299</v>
      </c>
      <c r="BE6" s="167">
        <v>9.6299999999999997E-2</v>
      </c>
      <c r="BF6" s="81">
        <v>3101.23</v>
      </c>
      <c r="BG6" s="81" t="s">
        <v>388</v>
      </c>
      <c r="BH6" s="81"/>
      <c r="BJ6" s="175" t="s">
        <v>319</v>
      </c>
      <c r="BK6" s="175" t="s">
        <v>320</v>
      </c>
      <c r="BL6" s="175" t="s">
        <v>325</v>
      </c>
      <c r="BM6" s="175" t="s">
        <v>323</v>
      </c>
      <c r="BN6" s="174">
        <f>BD13</f>
        <v>0.26200000000000001</v>
      </c>
      <c r="BO6" s="175" t="s">
        <v>322</v>
      </c>
      <c r="BQ6" s="81" t="s">
        <v>387</v>
      </c>
      <c r="BR6" s="167">
        <v>291</v>
      </c>
      <c r="BS6" s="167">
        <v>0.14199999999999999</v>
      </c>
      <c r="BT6" s="81">
        <v>2053.1799999999998</v>
      </c>
      <c r="BU6" s="81" t="s">
        <v>422</v>
      </c>
      <c r="BV6" s="167">
        <v>2E-16</v>
      </c>
      <c r="BW6" s="81" t="s">
        <v>389</v>
      </c>
      <c r="BY6" s="178" t="s">
        <v>319</v>
      </c>
      <c r="BZ6" s="178" t="s">
        <v>320</v>
      </c>
      <c r="CA6" s="178" t="s">
        <v>321</v>
      </c>
      <c r="CB6" s="178" t="s">
        <v>323</v>
      </c>
      <c r="CC6" s="177">
        <f>BR11</f>
        <v>0.19</v>
      </c>
      <c r="CD6" s="178" t="s">
        <v>322</v>
      </c>
      <c r="CJ6" s="81" t="s">
        <v>326</v>
      </c>
      <c r="CK6" s="254">
        <f>AZ7</f>
        <v>0.16400670701460809</v>
      </c>
      <c r="CL6" s="254">
        <f>BN7</f>
        <v>0.156</v>
      </c>
      <c r="CM6" s="254">
        <f>CC9</f>
        <v>0.20300000000000001</v>
      </c>
      <c r="CP6" s="258" t="s">
        <v>442</v>
      </c>
      <c r="CQ6" s="258" t="s">
        <v>381</v>
      </c>
      <c r="CR6" s="258" t="s">
        <v>382</v>
      </c>
      <c r="CS6" s="258" t="s">
        <v>383</v>
      </c>
      <c r="CT6" s="258" t="s">
        <v>384</v>
      </c>
      <c r="CU6" s="258" t="s">
        <v>385</v>
      </c>
      <c r="CV6" s="81" t="s">
        <v>386</v>
      </c>
      <c r="CW6" s="81"/>
      <c r="CX6" s="260" t="s">
        <v>467</v>
      </c>
      <c r="CY6" s="261" t="s">
        <v>469</v>
      </c>
      <c r="CZ6" s="261" t="s">
        <v>323</v>
      </c>
      <c r="DA6" s="262">
        <f t="shared" ref="DA6:DA24" si="8">CR13</f>
        <v>0.16600000000000001</v>
      </c>
      <c r="DB6" s="260" t="s">
        <v>322</v>
      </c>
      <c r="DD6" s="170" t="s">
        <v>467</v>
      </c>
      <c r="DE6" s="291" t="s">
        <v>469</v>
      </c>
      <c r="DF6" s="291" t="s">
        <v>323</v>
      </c>
      <c r="DG6" s="170">
        <f>$O10*$Z37*$AP4</f>
        <v>0.17664165509030214</v>
      </c>
      <c r="DH6" s="170" t="s">
        <v>322</v>
      </c>
      <c r="DJ6" s="299" t="s">
        <v>442</v>
      </c>
      <c r="DK6" s="299" t="s">
        <v>381</v>
      </c>
      <c r="DL6" s="299" t="s">
        <v>382</v>
      </c>
      <c r="DM6" s="299" t="s">
        <v>383</v>
      </c>
      <c r="DN6" s="299" t="s">
        <v>384</v>
      </c>
      <c r="DO6" s="299" t="s">
        <v>385</v>
      </c>
      <c r="DP6" s="299" t="s">
        <v>386</v>
      </c>
      <c r="DR6" s="300" t="s">
        <v>467</v>
      </c>
      <c r="DS6" s="301" t="s">
        <v>469</v>
      </c>
      <c r="DT6" s="301" t="s">
        <v>323</v>
      </c>
      <c r="DU6" s="302">
        <f t="shared" si="1"/>
        <v>0.19600000000000001</v>
      </c>
      <c r="DV6" s="300" t="s">
        <v>322</v>
      </c>
    </row>
    <row r="7" spans="1:126" ht="15" customHeight="1" thickTop="1" thickBot="1" x14ac:dyDescent="0.3">
      <c r="A7" s="194" t="s">
        <v>42</v>
      </c>
      <c r="B7" s="197">
        <f>'Tabula data'!B14</f>
        <v>62</v>
      </c>
      <c r="C7" s="198" t="s">
        <v>9</v>
      </c>
      <c r="D7" s="194" t="s">
        <v>43</v>
      </c>
      <c r="E7" s="189" t="s">
        <v>36</v>
      </c>
      <c r="F7" s="195">
        <f t="shared" si="2"/>
        <v>0.12909836065573771</v>
      </c>
      <c r="G7" s="189"/>
      <c r="H7" s="196">
        <f>'Tabula data'!B22*'Gebouwgegevens Tabula 2zone'!C45</f>
        <v>3.15</v>
      </c>
      <c r="I7" s="208"/>
      <c r="K7" t="s">
        <v>38</v>
      </c>
      <c r="L7" s="218">
        <v>0</v>
      </c>
      <c r="M7" s="219">
        <v>1</v>
      </c>
      <c r="N7" s="219" t="s">
        <v>25</v>
      </c>
      <c r="O7" s="220">
        <f>'Tabula data'!B10*(1-C42)/2*C44</f>
        <v>0</v>
      </c>
      <c r="P7" s="221" t="s">
        <v>39</v>
      </c>
      <c r="Q7" s="30">
        <f t="shared" si="3"/>
        <v>0.99033657090706906</v>
      </c>
      <c r="R7" s="30">
        <f t="shared" si="4"/>
        <v>0</v>
      </c>
      <c r="S7" s="30">
        <f t="shared" si="5"/>
        <v>0</v>
      </c>
      <c r="T7" s="30" t="e">
        <f t="shared" si="6"/>
        <v>#DIV/0!</v>
      </c>
      <c r="U7" s="30">
        <f t="shared" si="7"/>
        <v>0</v>
      </c>
      <c r="V7" s="31"/>
      <c r="W7" s="3"/>
      <c r="X7" s="188"/>
      <c r="Y7" s="189" t="s">
        <v>40</v>
      </c>
      <c r="Z7" s="189">
        <v>2.5000000000000001E-2</v>
      </c>
      <c r="AA7" s="189">
        <v>1.3</v>
      </c>
      <c r="AB7" s="189">
        <v>1700</v>
      </c>
      <c r="AC7" s="189">
        <v>840</v>
      </c>
      <c r="AD7" s="236">
        <f>Z7/AA7</f>
        <v>1.9230769230769232E-2</v>
      </c>
      <c r="AE7" s="190">
        <f>Z7*AB7*AC7</f>
        <v>35700</v>
      </c>
      <c r="AF7" s="14" t="s">
        <v>41</v>
      </c>
      <c r="AG7" s="14"/>
      <c r="AH7" s="14"/>
      <c r="AM7" s="159" t="s">
        <v>319</v>
      </c>
      <c r="AN7" s="81" t="s">
        <v>320</v>
      </c>
      <c r="AO7" s="81" t="s">
        <v>326</v>
      </c>
      <c r="AP7" s="81">
        <f>SUM(O14)/(SUM($O$6:$O$14,$O$26,O30)+2*SUM($O$27))</f>
        <v>0.16400670701460809</v>
      </c>
      <c r="AQ7" s="81" t="s">
        <v>322</v>
      </c>
      <c r="AR7" s="167">
        <v>0.161666</v>
      </c>
      <c r="AV7" s="168" t="s">
        <v>319</v>
      </c>
      <c r="AW7" s="168" t="s">
        <v>320</v>
      </c>
      <c r="AX7" s="168" t="s">
        <v>326</v>
      </c>
      <c r="AY7" s="169" t="s">
        <v>323</v>
      </c>
      <c r="AZ7" s="162">
        <f t="shared" si="0"/>
        <v>0.16400670701460809</v>
      </c>
      <c r="BA7" s="168" t="s">
        <v>322</v>
      </c>
      <c r="BC7" s="81" t="s">
        <v>390</v>
      </c>
      <c r="BD7" s="167">
        <v>295</v>
      </c>
      <c r="BE7" s="167">
        <v>4.9200000000000001E-2</v>
      </c>
      <c r="BF7" s="81">
        <v>5996.7</v>
      </c>
      <c r="BG7" s="81" t="s">
        <v>388</v>
      </c>
      <c r="BH7" s="81"/>
      <c r="BJ7" s="175" t="s">
        <v>319</v>
      </c>
      <c r="BK7" s="175" t="s">
        <v>320</v>
      </c>
      <c r="BL7" s="175" t="s">
        <v>326</v>
      </c>
      <c r="BM7" s="175" t="s">
        <v>323</v>
      </c>
      <c r="BN7" s="174">
        <f>BD14</f>
        <v>0.156</v>
      </c>
      <c r="BO7" s="175" t="s">
        <v>322</v>
      </c>
      <c r="BQ7" s="81" t="s">
        <v>390</v>
      </c>
      <c r="BR7" s="167">
        <v>289</v>
      </c>
      <c r="BS7" s="167">
        <v>0.112</v>
      </c>
      <c r="BT7" s="81">
        <v>2573.84</v>
      </c>
      <c r="BU7" s="81" t="s">
        <v>422</v>
      </c>
      <c r="BV7" s="167">
        <v>2E-16</v>
      </c>
      <c r="BW7" s="81" t="s">
        <v>389</v>
      </c>
      <c r="BY7" s="178" t="s">
        <v>319</v>
      </c>
      <c r="BZ7" s="178" t="s">
        <v>320</v>
      </c>
      <c r="CA7" s="178" t="s">
        <v>324</v>
      </c>
      <c r="CB7" s="178" t="s">
        <v>323</v>
      </c>
      <c r="CC7" s="177">
        <f t="shared" ref="CC7:CC9" si="9">BR12</f>
        <v>0.38</v>
      </c>
      <c r="CD7" s="178" t="s">
        <v>322</v>
      </c>
      <c r="CK7" s="255"/>
      <c r="CL7" s="255"/>
      <c r="CM7" s="255"/>
      <c r="CP7" s="258" t="s">
        <v>442</v>
      </c>
      <c r="CQ7" s="258" t="s">
        <v>387</v>
      </c>
      <c r="CR7" s="259">
        <v>292</v>
      </c>
      <c r="CS7" s="259">
        <v>5.7599999999999998E-2</v>
      </c>
      <c r="CT7" s="258">
        <v>5075.24</v>
      </c>
      <c r="CU7" s="258" t="s">
        <v>422</v>
      </c>
      <c r="CV7" s="167">
        <v>2E-16</v>
      </c>
      <c r="CW7" s="81" t="s">
        <v>389</v>
      </c>
      <c r="CX7" s="260" t="s">
        <v>467</v>
      </c>
      <c r="CY7" s="263" t="s">
        <v>470</v>
      </c>
      <c r="CZ7" s="261" t="s">
        <v>323</v>
      </c>
      <c r="DA7" s="262">
        <f t="shared" si="8"/>
        <v>0.129</v>
      </c>
      <c r="DB7" s="260" t="s">
        <v>322</v>
      </c>
      <c r="DD7" s="170" t="s">
        <v>467</v>
      </c>
      <c r="DE7" s="292" t="s">
        <v>470</v>
      </c>
      <c r="DF7" s="291" t="s">
        <v>323</v>
      </c>
      <c r="DG7" s="170">
        <f>$O12*$Z37*$AP4</f>
        <v>0.18283960790048817</v>
      </c>
      <c r="DH7" s="170" t="s">
        <v>322</v>
      </c>
      <c r="DJ7" s="299" t="s">
        <v>442</v>
      </c>
      <c r="DK7" s="299" t="s">
        <v>387</v>
      </c>
      <c r="DL7" s="303">
        <v>295</v>
      </c>
      <c r="DM7" s="303">
        <v>0.32500000000000001</v>
      </c>
      <c r="DN7" s="299">
        <v>910.51</v>
      </c>
      <c r="DO7" s="299" t="s">
        <v>422</v>
      </c>
      <c r="DP7" s="303">
        <v>2E-16</v>
      </c>
      <c r="DQ7" s="299" t="s">
        <v>389</v>
      </c>
      <c r="DR7" s="300" t="s">
        <v>467</v>
      </c>
      <c r="DS7" s="304" t="s">
        <v>470</v>
      </c>
      <c r="DT7" s="301" t="s">
        <v>323</v>
      </c>
      <c r="DU7" s="302">
        <f t="shared" si="1"/>
        <v>0.14399999999999999</v>
      </c>
      <c r="DV7" s="300" t="s">
        <v>322</v>
      </c>
    </row>
    <row r="8" spans="1:126" ht="15" customHeight="1" thickTop="1" thickBot="1" x14ac:dyDescent="0.3">
      <c r="A8" s="194" t="s">
        <v>47</v>
      </c>
      <c r="B8" s="197">
        <f>B6-B7</f>
        <v>106.30000000000001</v>
      </c>
      <c r="C8" s="189" t="s">
        <v>9</v>
      </c>
      <c r="D8" s="194" t="s">
        <v>48</v>
      </c>
      <c r="E8" s="189" t="s">
        <v>36</v>
      </c>
      <c r="F8" s="195">
        <f t="shared" si="2"/>
        <v>0.1209016393442623</v>
      </c>
      <c r="G8" s="189"/>
      <c r="H8" s="196">
        <f>'Tabula data'!B23*C45</f>
        <v>2.95</v>
      </c>
      <c r="I8" s="208"/>
      <c r="K8" t="s">
        <v>44</v>
      </c>
      <c r="L8" s="218">
        <v>0</v>
      </c>
      <c r="M8" s="219">
        <v>1</v>
      </c>
      <c r="N8" s="219" t="s">
        <v>25</v>
      </c>
      <c r="O8" s="220">
        <f>O6</f>
        <v>15.214497920380273</v>
      </c>
      <c r="P8" s="221" t="s">
        <v>45</v>
      </c>
      <c r="Q8" s="30">
        <f t="shared" si="3"/>
        <v>0.99033657090706906</v>
      </c>
      <c r="R8" s="30">
        <f t="shared" si="4"/>
        <v>15.067473698542132</v>
      </c>
      <c r="S8" s="30">
        <f t="shared" si="5"/>
        <v>6767442.1468805717</v>
      </c>
      <c r="T8" s="30">
        <f t="shared" si="6"/>
        <v>444802.20000000007</v>
      </c>
      <c r="U8" s="30">
        <f t="shared" si="7"/>
        <v>2754128.4135472374</v>
      </c>
      <c r="V8" s="31"/>
      <c r="W8" s="3"/>
      <c r="X8" s="188"/>
      <c r="Y8" s="189" t="s">
        <v>46</v>
      </c>
      <c r="Z8" s="189">
        <v>0.03</v>
      </c>
      <c r="AA8" s="189">
        <f>0.18/Z8</f>
        <v>6</v>
      </c>
      <c r="AB8" s="189">
        <v>0</v>
      </c>
      <c r="AC8" s="189">
        <v>0</v>
      </c>
      <c r="AD8" s="236">
        <v>0.18</v>
      </c>
      <c r="AE8" s="190">
        <f>Z8*AB8*AC8</f>
        <v>0</v>
      </c>
      <c r="AF8" s="14"/>
      <c r="AG8" s="14"/>
      <c r="AH8" s="14"/>
      <c r="AQ8" s="81" t="s">
        <v>322</v>
      </c>
      <c r="AR8" s="167"/>
      <c r="AV8" s="168"/>
      <c r="AW8" s="168"/>
      <c r="AX8" s="168"/>
      <c r="AY8" s="169"/>
      <c r="BA8" s="168"/>
      <c r="BC8" s="81" t="s">
        <v>391</v>
      </c>
      <c r="BD8" s="167">
        <v>299</v>
      </c>
      <c r="BE8" s="167">
        <v>2.6599999999999999E-2</v>
      </c>
      <c r="BF8" s="81">
        <v>11253.68</v>
      </c>
      <c r="BG8" s="81" t="s">
        <v>388</v>
      </c>
      <c r="BH8" s="81"/>
      <c r="BJ8" s="175"/>
      <c r="BK8" s="175"/>
      <c r="BL8" s="175"/>
      <c r="BM8" s="175"/>
      <c r="BN8" s="174"/>
      <c r="BO8" s="175"/>
      <c r="BQ8" s="81" t="s">
        <v>391</v>
      </c>
      <c r="BR8" s="167">
        <v>295</v>
      </c>
      <c r="BS8" s="167">
        <v>5.5100000000000003E-2</v>
      </c>
      <c r="BT8" s="81">
        <v>5345.13</v>
      </c>
      <c r="BU8" s="81" t="s">
        <v>422</v>
      </c>
      <c r="BV8" s="167">
        <v>2E-16</v>
      </c>
      <c r="BW8" s="81" t="s">
        <v>389</v>
      </c>
      <c r="BY8" s="178" t="s">
        <v>319</v>
      </c>
      <c r="BZ8" s="178" t="s">
        <v>320</v>
      </c>
      <c r="CA8" s="178" t="s">
        <v>325</v>
      </c>
      <c r="CB8" s="178" t="s">
        <v>323</v>
      </c>
      <c r="CC8" s="177">
        <f t="shared" si="9"/>
        <v>5.0500000000000003E-2</v>
      </c>
      <c r="CD8" s="178" t="s">
        <v>322</v>
      </c>
      <c r="CJ8" s="81" t="s">
        <v>327</v>
      </c>
      <c r="CK8" s="256">
        <f>AZ9</f>
        <v>897190.73464052298</v>
      </c>
      <c r="CL8" s="256">
        <f>BN9</f>
        <v>2950000</v>
      </c>
      <c r="CM8" s="256">
        <f>CC11</f>
        <v>3560000</v>
      </c>
      <c r="CP8" s="258" t="s">
        <v>442</v>
      </c>
      <c r="CQ8" s="258" t="s">
        <v>390</v>
      </c>
      <c r="CR8" s="259">
        <v>290</v>
      </c>
      <c r="CS8" s="259">
        <v>4.2500000000000003E-2</v>
      </c>
      <c r="CT8" s="258">
        <v>6833.51</v>
      </c>
      <c r="CU8" s="258" t="s">
        <v>422</v>
      </c>
      <c r="CV8" s="167">
        <v>2E-16</v>
      </c>
      <c r="CW8" s="81" t="s">
        <v>389</v>
      </c>
      <c r="CX8" s="260" t="s">
        <v>467</v>
      </c>
      <c r="CY8" s="264" t="s">
        <v>471</v>
      </c>
      <c r="CZ8" s="261" t="s">
        <v>323</v>
      </c>
      <c r="DA8" s="262">
        <f t="shared" si="8"/>
        <v>0.10299999999999999</v>
      </c>
      <c r="DB8" s="260" t="s">
        <v>322</v>
      </c>
      <c r="DD8" s="170" t="s">
        <v>467</v>
      </c>
      <c r="DE8" s="293" t="s">
        <v>471</v>
      </c>
      <c r="DF8" s="291" t="s">
        <v>323</v>
      </c>
      <c r="DG8" s="170">
        <f>$O13*$Z37*$AP4</f>
        <v>0.20143346633104628</v>
      </c>
      <c r="DH8" s="170" t="s">
        <v>322</v>
      </c>
      <c r="DJ8" s="299" t="s">
        <v>442</v>
      </c>
      <c r="DK8" s="299" t="s">
        <v>390</v>
      </c>
      <c r="DL8" s="303">
        <v>290</v>
      </c>
      <c r="DM8" s="303">
        <v>0.113</v>
      </c>
      <c r="DN8" s="299">
        <v>2557.89</v>
      </c>
      <c r="DO8" s="299" t="s">
        <v>422</v>
      </c>
      <c r="DP8" s="303">
        <v>2E-16</v>
      </c>
      <c r="DQ8" s="299" t="s">
        <v>389</v>
      </c>
      <c r="DR8" s="300" t="s">
        <v>467</v>
      </c>
      <c r="DS8" s="305" t="s">
        <v>471</v>
      </c>
      <c r="DT8" s="301" t="s">
        <v>323</v>
      </c>
      <c r="DU8" s="302">
        <f t="shared" si="1"/>
        <v>8.8800000000000004E-2</v>
      </c>
      <c r="DV8" s="300" t="s">
        <v>322</v>
      </c>
    </row>
    <row r="9" spans="1:126" ht="15" customHeight="1" thickTop="1" thickBot="1" x14ac:dyDescent="0.3">
      <c r="A9" s="188"/>
      <c r="B9" s="189"/>
      <c r="C9" s="189"/>
      <c r="D9" s="194" t="s">
        <v>52</v>
      </c>
      <c r="E9" s="199" t="s">
        <v>36</v>
      </c>
      <c r="F9" s="195">
        <f t="shared" si="2"/>
        <v>0.13319672131147542</v>
      </c>
      <c r="G9" s="189"/>
      <c r="H9" s="196">
        <f>'Tabula data'!B24*'Gebouwgegevens Tabula 2zone'!C45</f>
        <v>3.25</v>
      </c>
      <c r="I9" s="208"/>
      <c r="K9" t="s">
        <v>49</v>
      </c>
      <c r="L9" s="218">
        <v>0</v>
      </c>
      <c r="M9" s="219">
        <v>1</v>
      </c>
      <c r="N9" s="219" t="s">
        <v>25</v>
      </c>
      <c r="O9" s="220">
        <f>'Tabula data'!B10*(1-C42)/2*C44</f>
        <v>0</v>
      </c>
      <c r="P9" s="221" t="s">
        <v>50</v>
      </c>
      <c r="Q9" s="30">
        <f t="shared" si="3"/>
        <v>0.99033657090706906</v>
      </c>
      <c r="R9" s="30">
        <f t="shared" si="4"/>
        <v>0</v>
      </c>
      <c r="S9" s="30">
        <f t="shared" si="5"/>
        <v>0</v>
      </c>
      <c r="T9" s="30" t="e">
        <f t="shared" si="6"/>
        <v>#DIV/0!</v>
      </c>
      <c r="U9" s="30">
        <f t="shared" si="7"/>
        <v>0</v>
      </c>
      <c r="V9" s="31"/>
      <c r="W9" s="3"/>
      <c r="X9" s="188"/>
      <c r="Y9" s="199" t="s">
        <v>51</v>
      </c>
      <c r="Z9" s="189">
        <v>0.04</v>
      </c>
      <c r="AA9" s="189">
        <v>0.04</v>
      </c>
      <c r="AB9" s="189">
        <v>80</v>
      </c>
      <c r="AC9" s="189">
        <v>840</v>
      </c>
      <c r="AD9" s="236">
        <f>Z9/AA9</f>
        <v>1</v>
      </c>
      <c r="AE9" s="190">
        <f>Z9*AB9*AC9</f>
        <v>2688</v>
      </c>
      <c r="AF9" s="149" t="s">
        <v>270</v>
      </c>
      <c r="AG9" s="14"/>
      <c r="AH9" s="14"/>
      <c r="AM9" s="159" t="s">
        <v>319</v>
      </c>
      <c r="AN9" s="81" t="s">
        <v>320</v>
      </c>
      <c r="AO9" s="81" t="s">
        <v>327</v>
      </c>
      <c r="AP9" s="167">
        <f>B34*1.04*1012*5</f>
        <v>897190.73464052298</v>
      </c>
      <c r="AQ9" s="81" t="s">
        <v>322</v>
      </c>
      <c r="AR9" s="167">
        <v>2745646</v>
      </c>
      <c r="AV9" s="168" t="s">
        <v>319</v>
      </c>
      <c r="AW9" s="168" t="s">
        <v>320</v>
      </c>
      <c r="AX9" s="168" t="s">
        <v>327</v>
      </c>
      <c r="AY9" s="169" t="s">
        <v>323</v>
      </c>
      <c r="AZ9" s="162">
        <f>AP9</f>
        <v>897190.73464052298</v>
      </c>
      <c r="BA9" s="168" t="s">
        <v>322</v>
      </c>
      <c r="BC9" s="81" t="s">
        <v>392</v>
      </c>
      <c r="BD9" s="167">
        <v>297</v>
      </c>
      <c r="BE9" s="167">
        <v>9.3200000000000005E-2</v>
      </c>
      <c r="BF9" s="81">
        <v>3182.59</v>
      </c>
      <c r="BG9" s="81" t="s">
        <v>388</v>
      </c>
      <c r="BH9" s="81"/>
      <c r="BJ9" s="175" t="s">
        <v>319</v>
      </c>
      <c r="BK9" s="175" t="s">
        <v>320</v>
      </c>
      <c r="BL9" s="175" t="s">
        <v>327</v>
      </c>
      <c r="BM9" s="175" t="s">
        <v>323</v>
      </c>
      <c r="BN9" s="174">
        <f>BD19</f>
        <v>2950000</v>
      </c>
      <c r="BO9" s="175" t="s">
        <v>322</v>
      </c>
      <c r="BQ9" s="81" t="s">
        <v>392</v>
      </c>
      <c r="BR9" s="167">
        <v>290</v>
      </c>
      <c r="BS9" s="167">
        <v>0.124</v>
      </c>
      <c r="BT9" s="81">
        <v>2333.5300000000002</v>
      </c>
      <c r="BU9" s="81" t="s">
        <v>422</v>
      </c>
      <c r="BV9" s="167">
        <v>2E-16</v>
      </c>
      <c r="BW9" s="81" t="s">
        <v>389</v>
      </c>
      <c r="BY9" s="178" t="s">
        <v>319</v>
      </c>
      <c r="BZ9" s="178" t="s">
        <v>320</v>
      </c>
      <c r="CA9" s="178" t="s">
        <v>326</v>
      </c>
      <c r="CB9" s="178" t="s">
        <v>323</v>
      </c>
      <c r="CC9" s="177">
        <f t="shared" si="9"/>
        <v>0.20300000000000001</v>
      </c>
      <c r="CD9" s="178" t="s">
        <v>322</v>
      </c>
      <c r="CJ9" s="81" t="s">
        <v>328</v>
      </c>
      <c r="CK9" s="256">
        <f>AZ10</f>
        <v>5508256.8270944748</v>
      </c>
      <c r="CL9" s="256">
        <f>BN10</f>
        <v>23100000</v>
      </c>
      <c r="CM9" s="256">
        <f>CC12</f>
        <v>32200000</v>
      </c>
      <c r="CP9" s="258" t="s">
        <v>442</v>
      </c>
      <c r="CQ9" s="258" t="s">
        <v>391</v>
      </c>
      <c r="CR9" s="259">
        <v>295</v>
      </c>
      <c r="CS9" s="259">
        <v>3.6299999999999999E-2</v>
      </c>
      <c r="CT9" s="258">
        <v>8146.21</v>
      </c>
      <c r="CU9" s="258" t="s">
        <v>422</v>
      </c>
      <c r="CV9" s="167">
        <v>2E-16</v>
      </c>
      <c r="CW9" s="81" t="s">
        <v>389</v>
      </c>
      <c r="CX9" s="260" t="s">
        <v>467</v>
      </c>
      <c r="CY9" s="264" t="s">
        <v>472</v>
      </c>
      <c r="CZ9" s="261" t="s">
        <v>323</v>
      </c>
      <c r="DA9" s="262">
        <f t="shared" si="8"/>
        <v>0.82299999999999995</v>
      </c>
      <c r="DB9" s="260" t="s">
        <v>322</v>
      </c>
      <c r="DD9" s="170" t="s">
        <v>467</v>
      </c>
      <c r="DE9" s="293" t="s">
        <v>472</v>
      </c>
      <c r="DF9" s="291" t="s">
        <v>323</v>
      </c>
      <c r="DG9" s="170">
        <f>$O11*$Z37*$AP5</f>
        <v>1.3563915173974055</v>
      </c>
      <c r="DH9" s="170" t="s">
        <v>322</v>
      </c>
      <c r="DJ9" s="299" t="s">
        <v>442</v>
      </c>
      <c r="DK9" s="299" t="s">
        <v>391</v>
      </c>
      <c r="DL9" s="303">
        <v>294</v>
      </c>
      <c r="DM9" s="303">
        <v>7.0099999999999996E-2</v>
      </c>
      <c r="DN9" s="299">
        <v>4198.1499999999996</v>
      </c>
      <c r="DO9" s="299" t="s">
        <v>422</v>
      </c>
      <c r="DP9" s="303">
        <v>2E-16</v>
      </c>
      <c r="DQ9" s="299" t="s">
        <v>389</v>
      </c>
      <c r="DR9" s="300" t="s">
        <v>467</v>
      </c>
      <c r="DS9" s="305" t="s">
        <v>472</v>
      </c>
      <c r="DT9" s="301" t="s">
        <v>323</v>
      </c>
      <c r="DU9" s="302">
        <f t="shared" si="1"/>
        <v>0.88</v>
      </c>
      <c r="DV9" s="300" t="s">
        <v>322</v>
      </c>
    </row>
    <row r="10" spans="1:126" ht="15" customHeight="1" thickTop="1" thickBot="1" x14ac:dyDescent="0.3">
      <c r="A10" s="188"/>
      <c r="B10" s="189"/>
      <c r="C10" s="189"/>
      <c r="D10" s="194" t="s">
        <v>35</v>
      </c>
      <c r="E10" s="199" t="s">
        <v>56</v>
      </c>
      <c r="F10" s="195">
        <f t="shared" si="2"/>
        <v>0.11680327868852459</v>
      </c>
      <c r="G10" s="189"/>
      <c r="H10" s="200">
        <f>'Tabula data'!B21*(1-C45)</f>
        <v>2.85</v>
      </c>
      <c r="I10" s="206"/>
      <c r="K10" t="s">
        <v>53</v>
      </c>
      <c r="L10" s="218">
        <v>0</v>
      </c>
      <c r="M10" s="219">
        <v>1</v>
      </c>
      <c r="N10" s="219" t="s">
        <v>54</v>
      </c>
      <c r="O10" s="220">
        <f>H6</f>
        <v>2.85</v>
      </c>
      <c r="P10" s="221" t="s">
        <v>26</v>
      </c>
      <c r="Q10" s="30">
        <f t="shared" si="3"/>
        <v>3.5</v>
      </c>
      <c r="R10" s="30">
        <f t="shared" si="4"/>
        <v>9.9749999999999996</v>
      </c>
      <c r="S10" s="30">
        <f t="shared" si="5"/>
        <v>0</v>
      </c>
      <c r="T10" s="30">
        <f t="shared" si="6"/>
        <v>0</v>
      </c>
      <c r="U10" s="30">
        <f t="shared" si="7"/>
        <v>0</v>
      </c>
      <c r="V10" s="31"/>
      <c r="W10" s="3"/>
      <c r="X10" s="205"/>
      <c r="Y10" s="187" t="s">
        <v>58</v>
      </c>
      <c r="Z10" s="187">
        <v>0.02</v>
      </c>
      <c r="AA10" s="187">
        <v>0.6</v>
      </c>
      <c r="AB10" s="187">
        <v>975</v>
      </c>
      <c r="AC10" s="187">
        <v>840</v>
      </c>
      <c r="AD10" s="237">
        <f>Z10/AA10</f>
        <v>3.3333333333333333E-2</v>
      </c>
      <c r="AE10" s="210">
        <f>Z10*AB10*AC10</f>
        <v>16380</v>
      </c>
      <c r="AF10" s="14"/>
      <c r="AG10" s="14"/>
      <c r="AH10" s="14"/>
      <c r="AM10" s="159" t="s">
        <v>319</v>
      </c>
      <c r="AN10" s="81" t="s">
        <v>320</v>
      </c>
      <c r="AO10" s="81" t="s">
        <v>328</v>
      </c>
      <c r="AP10" s="167">
        <f>SUM(U6:U9)</f>
        <v>5508256.8270944748</v>
      </c>
      <c r="AQ10" s="81" t="s">
        <v>322</v>
      </c>
      <c r="AR10" s="167">
        <v>14395560</v>
      </c>
      <c r="AV10" s="168" t="s">
        <v>319</v>
      </c>
      <c r="AW10" s="168" t="s">
        <v>320</v>
      </c>
      <c r="AX10" s="168" t="s">
        <v>328</v>
      </c>
      <c r="AY10" s="169" t="s">
        <v>323</v>
      </c>
      <c r="AZ10" s="162">
        <f t="shared" ref="AZ10:AZ12" si="10">AP10</f>
        <v>5508256.8270944748</v>
      </c>
      <c r="BA10" s="168" t="s">
        <v>322</v>
      </c>
      <c r="BC10" s="81" t="s">
        <v>393</v>
      </c>
      <c r="BD10" s="167">
        <v>297</v>
      </c>
      <c r="BE10" s="167">
        <v>2.92E-2</v>
      </c>
      <c r="BF10" s="81">
        <v>10162.700000000001</v>
      </c>
      <c r="BG10" s="81" t="s">
        <v>388</v>
      </c>
      <c r="BH10" s="81"/>
      <c r="BJ10" s="175" t="s">
        <v>319</v>
      </c>
      <c r="BK10" s="175" t="s">
        <v>320</v>
      </c>
      <c r="BL10" s="175" t="s">
        <v>328</v>
      </c>
      <c r="BM10" s="175" t="s">
        <v>323</v>
      </c>
      <c r="BN10" s="174">
        <f>BD20</f>
        <v>23100000</v>
      </c>
      <c r="BO10" s="175" t="s">
        <v>322</v>
      </c>
      <c r="BQ10" s="81" t="s">
        <v>393</v>
      </c>
      <c r="BR10" s="167">
        <v>292</v>
      </c>
      <c r="BS10" s="167">
        <v>7.2499999999999995E-2</v>
      </c>
      <c r="BT10" s="81">
        <v>4026.39</v>
      </c>
      <c r="BU10" s="81" t="s">
        <v>422</v>
      </c>
      <c r="BV10" s="167">
        <v>2E-16</v>
      </c>
      <c r="BW10" s="81" t="s">
        <v>389</v>
      </c>
      <c r="BY10" s="178"/>
      <c r="BZ10" s="178"/>
      <c r="CA10" s="178"/>
      <c r="CB10" s="178"/>
      <c r="CC10" s="179"/>
      <c r="CD10" s="178"/>
      <c r="CJ10" s="81" t="s">
        <v>329</v>
      </c>
      <c r="CK10" s="256">
        <f>AZ11</f>
        <v>27062093.877674829</v>
      </c>
      <c r="CL10" s="256">
        <f>BN11</f>
        <v>30400000</v>
      </c>
      <c r="CM10" s="256">
        <f>CC13</f>
        <v>25400000</v>
      </c>
      <c r="CP10" s="258" t="s">
        <v>442</v>
      </c>
      <c r="CQ10" s="258" t="s">
        <v>392</v>
      </c>
      <c r="CR10" s="259">
        <v>291</v>
      </c>
      <c r="CS10" s="259">
        <v>6.3500000000000001E-2</v>
      </c>
      <c r="CT10" s="258">
        <v>4584.62</v>
      </c>
      <c r="CU10" s="258" t="s">
        <v>422</v>
      </c>
      <c r="CV10" s="167">
        <v>2E-16</v>
      </c>
      <c r="CW10" s="81" t="s">
        <v>389</v>
      </c>
      <c r="CX10" s="260" t="s">
        <v>467</v>
      </c>
      <c r="CY10" s="264" t="s">
        <v>473</v>
      </c>
      <c r="CZ10" s="261" t="s">
        <v>323</v>
      </c>
      <c r="DA10" s="262">
        <f t="shared" si="8"/>
        <v>0.94299999999999995</v>
      </c>
      <c r="DB10" s="260" t="s">
        <v>322</v>
      </c>
      <c r="DD10" s="170" t="s">
        <v>467</v>
      </c>
      <c r="DE10" s="293" t="s">
        <v>473</v>
      </c>
      <c r="DF10" s="291" t="s">
        <v>323</v>
      </c>
      <c r="DG10" s="170">
        <f>$O10*$Z37*$AP5</f>
        <v>1.2272113728833669</v>
      </c>
      <c r="DH10" s="170" t="s">
        <v>322</v>
      </c>
      <c r="DJ10" s="299" t="s">
        <v>442</v>
      </c>
      <c r="DK10" s="299" t="s">
        <v>392</v>
      </c>
      <c r="DL10" s="303">
        <v>293</v>
      </c>
      <c r="DM10" s="303">
        <v>0.13800000000000001</v>
      </c>
      <c r="DN10" s="299">
        <v>2115.27</v>
      </c>
      <c r="DO10" s="299" t="s">
        <v>422</v>
      </c>
      <c r="DP10" s="303">
        <v>2E-16</v>
      </c>
      <c r="DQ10" s="299" t="s">
        <v>389</v>
      </c>
      <c r="DR10" s="300" t="s">
        <v>467</v>
      </c>
      <c r="DS10" s="305" t="s">
        <v>473</v>
      </c>
      <c r="DT10" s="301" t="s">
        <v>323</v>
      </c>
      <c r="DU10" s="302">
        <f t="shared" si="1"/>
        <v>0.86499999999999999</v>
      </c>
      <c r="DV10" s="300" t="s">
        <v>322</v>
      </c>
    </row>
    <row r="11" spans="1:126" ht="15" customHeight="1" thickTop="1" thickBot="1" x14ac:dyDescent="0.3">
      <c r="A11" s="188"/>
      <c r="B11" s="189"/>
      <c r="C11" s="189"/>
      <c r="D11" s="194" t="s">
        <v>43</v>
      </c>
      <c r="E11" s="199" t="s">
        <v>56</v>
      </c>
      <c r="F11" s="195">
        <f t="shared" si="2"/>
        <v>0.12909836065573771</v>
      </c>
      <c r="G11" s="189"/>
      <c r="H11" s="200">
        <f>'Tabula data'!B22*(1-'Gebouwgegevens Tabula 2zone'!C45)</f>
        <v>3.15</v>
      </c>
      <c r="I11" s="206"/>
      <c r="K11" t="s">
        <v>57</v>
      </c>
      <c r="L11" s="218">
        <v>0</v>
      </c>
      <c r="M11" s="219">
        <v>1</v>
      </c>
      <c r="N11" s="219" t="s">
        <v>54</v>
      </c>
      <c r="O11" s="220">
        <f>H7</f>
        <v>3.15</v>
      </c>
      <c r="P11" s="221" t="s">
        <v>39</v>
      </c>
      <c r="Q11" s="30">
        <f t="shared" si="3"/>
        <v>3.5</v>
      </c>
      <c r="R11" s="30">
        <f t="shared" si="4"/>
        <v>11.025</v>
      </c>
      <c r="S11" s="30">
        <f t="shared" si="5"/>
        <v>0</v>
      </c>
      <c r="T11" s="30">
        <f t="shared" si="6"/>
        <v>0</v>
      </c>
      <c r="U11" s="30">
        <f t="shared" si="7"/>
        <v>0</v>
      </c>
      <c r="V11" s="31"/>
      <c r="W11" s="3"/>
      <c r="X11" s="189"/>
      <c r="Y11" s="189"/>
      <c r="Z11" s="238"/>
      <c r="AA11" s="238"/>
      <c r="AB11" s="238"/>
      <c r="AC11" s="189"/>
      <c r="AD11" s="236"/>
      <c r="AE11" s="189"/>
      <c r="AF11" s="14"/>
      <c r="AG11" s="14"/>
      <c r="AH11" s="14"/>
      <c r="AM11" s="159" t="s">
        <v>319</v>
      </c>
      <c r="AN11" s="81" t="s">
        <v>320</v>
      </c>
      <c r="AO11" s="81" t="s">
        <v>329</v>
      </c>
      <c r="AP11" s="167">
        <f>SUM(U27,U30)</f>
        <v>27062093.877674829</v>
      </c>
      <c r="AQ11" s="81" t="s">
        <v>322</v>
      </c>
      <c r="AR11" s="167">
        <v>26154150</v>
      </c>
      <c r="AV11" s="168" t="s">
        <v>319</v>
      </c>
      <c r="AW11" s="168" t="s">
        <v>320</v>
      </c>
      <c r="AX11" s="168" t="s">
        <v>329</v>
      </c>
      <c r="AY11" s="169" t="s">
        <v>323</v>
      </c>
      <c r="AZ11" s="162">
        <f t="shared" si="10"/>
        <v>27062093.877674829</v>
      </c>
      <c r="BA11" s="168" t="s">
        <v>322</v>
      </c>
      <c r="BC11" s="81" t="s">
        <v>394</v>
      </c>
      <c r="BD11" s="167">
        <v>0.16</v>
      </c>
      <c r="BE11" s="167">
        <v>1.5399999999999999E-3</v>
      </c>
      <c r="BF11" s="81">
        <v>103.9</v>
      </c>
      <c r="BG11" s="81" t="s">
        <v>388</v>
      </c>
      <c r="BH11" s="81"/>
      <c r="BJ11" s="175" t="s">
        <v>319</v>
      </c>
      <c r="BK11" s="175" t="s">
        <v>320</v>
      </c>
      <c r="BL11" s="175" t="s">
        <v>329</v>
      </c>
      <c r="BM11" s="175" t="s">
        <v>323</v>
      </c>
      <c r="BN11" s="174">
        <f>BD21</f>
        <v>30400000</v>
      </c>
      <c r="BO11" s="175" t="s">
        <v>322</v>
      </c>
      <c r="BQ11" s="81" t="s">
        <v>394</v>
      </c>
      <c r="BR11" s="167">
        <v>0.19</v>
      </c>
      <c r="BS11" s="167">
        <v>2.31E-3</v>
      </c>
      <c r="BT11" s="81">
        <v>82.21</v>
      </c>
      <c r="BU11" s="81" t="s">
        <v>422</v>
      </c>
      <c r="BV11" s="167">
        <v>2E-16</v>
      </c>
      <c r="BW11" s="81" t="s">
        <v>389</v>
      </c>
      <c r="BY11" s="178" t="s">
        <v>319</v>
      </c>
      <c r="BZ11" s="178" t="s">
        <v>320</v>
      </c>
      <c r="CA11" s="178" t="s">
        <v>327</v>
      </c>
      <c r="CB11" s="178" t="s">
        <v>323</v>
      </c>
      <c r="CC11" s="179">
        <f>BR19</f>
        <v>3560000</v>
      </c>
      <c r="CD11" s="178" t="s">
        <v>322</v>
      </c>
      <c r="CJ11" s="81" t="s">
        <v>330</v>
      </c>
      <c r="CK11" s="256">
        <f>AZ12</f>
        <v>6879520</v>
      </c>
      <c r="CL11" s="256">
        <f>BN12</f>
        <v>15600000</v>
      </c>
      <c r="CM11" s="256">
        <f>CC14</f>
        <v>0</v>
      </c>
      <c r="CP11" s="258" t="s">
        <v>442</v>
      </c>
      <c r="CQ11" s="258" t="s">
        <v>393</v>
      </c>
      <c r="CR11" s="259">
        <v>292</v>
      </c>
      <c r="CS11" s="259">
        <v>3.6600000000000001E-2</v>
      </c>
      <c r="CT11" s="258">
        <v>7967.69</v>
      </c>
      <c r="CU11" s="258" t="s">
        <v>422</v>
      </c>
      <c r="CV11" s="167">
        <v>2E-16</v>
      </c>
      <c r="CW11" s="81" t="s">
        <v>389</v>
      </c>
      <c r="CX11" s="260" t="s">
        <v>467</v>
      </c>
      <c r="CY11" s="264" t="s">
        <v>474</v>
      </c>
      <c r="CZ11" s="261" t="s">
        <v>323</v>
      </c>
      <c r="DA11" s="262">
        <f t="shared" si="8"/>
        <v>0.71299999999999997</v>
      </c>
      <c r="DB11" s="260" t="s">
        <v>322</v>
      </c>
      <c r="DD11" s="170" t="s">
        <v>467</v>
      </c>
      <c r="DE11" s="293" t="s">
        <v>474</v>
      </c>
      <c r="DF11" s="291" t="s">
        <v>323</v>
      </c>
      <c r="DG11" s="170">
        <f>$O12*$Z37*$AP5</f>
        <v>1.2702714210547132</v>
      </c>
      <c r="DH11" s="170" t="s">
        <v>322</v>
      </c>
      <c r="DJ11" s="299" t="s">
        <v>442</v>
      </c>
      <c r="DK11" s="299" t="s">
        <v>393</v>
      </c>
      <c r="DL11" s="303">
        <v>290</v>
      </c>
      <c r="DM11" s="303">
        <v>7.9899999999999999E-2</v>
      </c>
      <c r="DN11" s="299">
        <v>3634.98</v>
      </c>
      <c r="DO11" s="299" t="s">
        <v>422</v>
      </c>
      <c r="DP11" s="303">
        <v>2E-16</v>
      </c>
      <c r="DQ11" s="299" t="s">
        <v>389</v>
      </c>
      <c r="DR11" s="300" t="s">
        <v>467</v>
      </c>
      <c r="DS11" s="305" t="s">
        <v>474</v>
      </c>
      <c r="DT11" s="301" t="s">
        <v>323</v>
      </c>
      <c r="DU11" s="302">
        <f t="shared" si="1"/>
        <v>0.77600000000000002</v>
      </c>
      <c r="DV11" s="300" t="s">
        <v>322</v>
      </c>
    </row>
    <row r="12" spans="1:126" ht="15" customHeight="1" thickTop="1" thickBot="1" x14ac:dyDescent="0.3">
      <c r="A12" s="188"/>
      <c r="B12" s="189"/>
      <c r="C12" s="189"/>
      <c r="D12" s="194" t="s">
        <v>48</v>
      </c>
      <c r="E12" s="199" t="s">
        <v>56</v>
      </c>
      <c r="F12" s="195">
        <f t="shared" si="2"/>
        <v>0.1209016393442623</v>
      </c>
      <c r="G12" s="189"/>
      <c r="H12" s="200">
        <f>'Tabula data'!B23*(1-'Gebouwgegevens Tabula 2zone'!C45)</f>
        <v>2.95</v>
      </c>
      <c r="I12" s="206"/>
      <c r="K12" t="s">
        <v>59</v>
      </c>
      <c r="L12" s="218">
        <v>0</v>
      </c>
      <c r="M12" s="219">
        <v>1</v>
      </c>
      <c r="N12" s="219" t="s">
        <v>54</v>
      </c>
      <c r="O12" s="220">
        <f>H8</f>
        <v>2.95</v>
      </c>
      <c r="P12" s="221" t="s">
        <v>45</v>
      </c>
      <c r="Q12" s="30">
        <f t="shared" si="3"/>
        <v>3.5</v>
      </c>
      <c r="R12" s="30">
        <f t="shared" si="4"/>
        <v>10.325000000000001</v>
      </c>
      <c r="S12" s="30">
        <f t="shared" si="5"/>
        <v>0</v>
      </c>
      <c r="T12" s="30">
        <f t="shared" si="6"/>
        <v>0</v>
      </c>
      <c r="U12" s="30">
        <f t="shared" si="7"/>
        <v>0</v>
      </c>
      <c r="V12" s="31"/>
      <c r="W12" s="3"/>
      <c r="X12" s="226"/>
      <c r="Y12" s="226"/>
      <c r="Z12" s="227" t="s">
        <v>4</v>
      </c>
      <c r="AA12" s="227">
        <v>1</v>
      </c>
      <c r="AB12" s="227" t="s">
        <v>5</v>
      </c>
      <c r="AC12" s="226"/>
      <c r="AD12" s="226"/>
      <c r="AE12" s="226"/>
      <c r="AF12" s="14"/>
      <c r="AG12" s="14"/>
      <c r="AH12" s="14"/>
      <c r="AM12" s="159" t="s">
        <v>319</v>
      </c>
      <c r="AN12" s="81" t="s">
        <v>320</v>
      </c>
      <c r="AO12" s="81" t="s">
        <v>330</v>
      </c>
      <c r="AP12" s="167">
        <f>SUM(U14)</f>
        <v>6879520</v>
      </c>
      <c r="AQ12" s="81" t="s">
        <v>322</v>
      </c>
      <c r="AR12" s="167">
        <v>12228720</v>
      </c>
      <c r="AV12" s="168" t="s">
        <v>319</v>
      </c>
      <c r="AW12" s="168" t="s">
        <v>320</v>
      </c>
      <c r="AX12" s="168" t="s">
        <v>330</v>
      </c>
      <c r="AY12" s="169" t="s">
        <v>323</v>
      </c>
      <c r="AZ12" s="162">
        <f t="shared" si="10"/>
        <v>6879520</v>
      </c>
      <c r="BA12" s="168" t="s">
        <v>322</v>
      </c>
      <c r="BC12" s="81" t="s">
        <v>395</v>
      </c>
      <c r="BD12" s="167">
        <v>0.318</v>
      </c>
      <c r="BE12" s="167">
        <v>2.1299999999999999E-3</v>
      </c>
      <c r="BF12" s="81">
        <v>149.15</v>
      </c>
      <c r="BG12" s="81" t="s">
        <v>388</v>
      </c>
      <c r="BH12" s="81"/>
      <c r="BJ12" s="175" t="s">
        <v>319</v>
      </c>
      <c r="BK12" s="175" t="s">
        <v>320</v>
      </c>
      <c r="BL12" s="175" t="s">
        <v>330</v>
      </c>
      <c r="BM12" s="175" t="s">
        <v>323</v>
      </c>
      <c r="BN12" s="174">
        <f>BD18</f>
        <v>15600000</v>
      </c>
      <c r="BO12" s="175" t="s">
        <v>322</v>
      </c>
      <c r="BQ12" s="81" t="s">
        <v>395</v>
      </c>
      <c r="BR12" s="167">
        <v>0.38</v>
      </c>
      <c r="BS12" s="167">
        <v>1.3600000000000001E-3</v>
      </c>
      <c r="BT12" s="81">
        <v>278.99</v>
      </c>
      <c r="BU12" s="81" t="s">
        <v>422</v>
      </c>
      <c r="BV12" s="167">
        <v>2E-16</v>
      </c>
      <c r="BW12" s="81" t="s">
        <v>389</v>
      </c>
      <c r="BY12" s="178" t="s">
        <v>319</v>
      </c>
      <c r="BZ12" s="178" t="s">
        <v>320</v>
      </c>
      <c r="CA12" s="178" t="s">
        <v>328</v>
      </c>
      <c r="CB12" s="178" t="s">
        <v>323</v>
      </c>
      <c r="CC12" s="179">
        <f t="shared" ref="CC12:CC13" si="11">BR20</f>
        <v>32200000</v>
      </c>
      <c r="CD12" s="178" t="s">
        <v>322</v>
      </c>
      <c r="CK12" s="255"/>
      <c r="CL12" s="255"/>
      <c r="CM12" s="255"/>
      <c r="CP12" s="258" t="s">
        <v>442</v>
      </c>
      <c r="CQ12" s="258" t="s">
        <v>444</v>
      </c>
      <c r="CR12" s="259">
        <v>0.128</v>
      </c>
      <c r="CS12" s="259">
        <v>5.3800000000000002E-3</v>
      </c>
      <c r="CT12" s="258">
        <v>23.82</v>
      </c>
      <c r="CU12" s="258" t="s">
        <v>422</v>
      </c>
      <c r="CV12" s="167">
        <v>2E-16</v>
      </c>
      <c r="CW12" s="81" t="s">
        <v>389</v>
      </c>
      <c r="CX12" s="260" t="s">
        <v>467</v>
      </c>
      <c r="CY12" s="263" t="s">
        <v>475</v>
      </c>
      <c r="CZ12" s="261" t="s">
        <v>323</v>
      </c>
      <c r="DA12" s="262">
        <f t="shared" si="8"/>
        <v>0.873</v>
      </c>
      <c r="DB12" s="260" t="s">
        <v>322</v>
      </c>
      <c r="DD12" s="170" t="s">
        <v>467</v>
      </c>
      <c r="DE12" s="292" t="s">
        <v>475</v>
      </c>
      <c r="DF12" s="291" t="s">
        <v>323</v>
      </c>
      <c r="DG12" s="170">
        <f>$O13*$Z37*$AP5</f>
        <v>1.3994515655687516</v>
      </c>
      <c r="DH12" s="170" t="s">
        <v>322</v>
      </c>
      <c r="DJ12" s="299" t="s">
        <v>442</v>
      </c>
      <c r="DK12" s="299" t="s">
        <v>444</v>
      </c>
      <c r="DL12" s="303">
        <v>0.153</v>
      </c>
      <c r="DM12" s="303">
        <v>1.2800000000000001E-2</v>
      </c>
      <c r="DN12" s="299">
        <v>11.9</v>
      </c>
      <c r="DO12" s="299" t="s">
        <v>422</v>
      </c>
      <c r="DP12" s="303">
        <v>2E-16</v>
      </c>
      <c r="DQ12" s="299" t="s">
        <v>389</v>
      </c>
      <c r="DR12" s="300" t="s">
        <v>467</v>
      </c>
      <c r="DS12" s="304" t="s">
        <v>475</v>
      </c>
      <c r="DT12" s="301" t="s">
        <v>323</v>
      </c>
      <c r="DU12" s="302">
        <f t="shared" si="1"/>
        <v>0.749</v>
      </c>
      <c r="DV12" s="300" t="s">
        <v>322</v>
      </c>
    </row>
    <row r="13" spans="1:126" ht="15" customHeight="1" thickTop="1" thickBot="1" x14ac:dyDescent="0.3">
      <c r="A13" s="188"/>
      <c r="B13" s="189"/>
      <c r="C13" s="189"/>
      <c r="D13" s="194" t="s">
        <v>52</v>
      </c>
      <c r="E13" s="199" t="s">
        <v>56</v>
      </c>
      <c r="F13" s="195">
        <f t="shared" si="2"/>
        <v>0.13319672131147542</v>
      </c>
      <c r="G13" s="189"/>
      <c r="H13" s="200">
        <f>'Tabula data'!B24*(1-'Gebouwgegevens Tabula 2zone'!C45)</f>
        <v>3.25</v>
      </c>
      <c r="I13" s="206"/>
      <c r="K13" t="s">
        <v>60</v>
      </c>
      <c r="L13" s="218">
        <v>0</v>
      </c>
      <c r="M13" s="219">
        <v>1</v>
      </c>
      <c r="N13" s="219" t="s">
        <v>54</v>
      </c>
      <c r="O13" s="220">
        <f>H9</f>
        <v>3.25</v>
      </c>
      <c r="P13" s="221" t="s">
        <v>50</v>
      </c>
      <c r="Q13" s="30">
        <f t="shared" si="3"/>
        <v>3.5</v>
      </c>
      <c r="R13" s="30">
        <f t="shared" si="4"/>
        <v>11.375</v>
      </c>
      <c r="S13" s="30">
        <f t="shared" si="5"/>
        <v>0</v>
      </c>
      <c r="T13" s="30">
        <f t="shared" si="6"/>
        <v>0</v>
      </c>
      <c r="U13" s="30">
        <f t="shared" si="7"/>
        <v>0</v>
      </c>
      <c r="V13" s="31"/>
      <c r="W13" s="3"/>
      <c r="X13" s="228" t="s">
        <v>64</v>
      </c>
      <c r="Y13" s="229"/>
      <c r="Z13" s="230" t="s">
        <v>21</v>
      </c>
      <c r="AA13" s="231">
        <f>1/(1/8+SUM(AD15:AD19)+1/23)</f>
        <v>0.99033657090706906</v>
      </c>
      <c r="AB13" s="229" t="s">
        <v>5</v>
      </c>
      <c r="AC13" s="229"/>
      <c r="AD13" s="229" t="s">
        <v>22</v>
      </c>
      <c r="AE13" s="232">
        <f>SUM(AE15:AE20)</f>
        <v>444802.20000000007</v>
      </c>
      <c r="AF13" s="14" t="s">
        <v>23</v>
      </c>
      <c r="AG13" s="14">
        <f>SUM(AE18:AE19)</f>
        <v>181020.00000000003</v>
      </c>
      <c r="AH13" s="14"/>
      <c r="AP13" s="167"/>
      <c r="AQ13" s="81" t="s">
        <v>322</v>
      </c>
      <c r="AR13" s="167"/>
      <c r="AV13" s="168"/>
      <c r="AW13" s="168"/>
      <c r="AX13" s="168"/>
      <c r="AY13" s="169"/>
      <c r="BA13" s="168"/>
      <c r="BC13" s="81" t="s">
        <v>396</v>
      </c>
      <c r="BD13" s="167">
        <v>0.26200000000000001</v>
      </c>
      <c r="BE13" s="167">
        <v>8.6800000000000002E-3</v>
      </c>
      <c r="BF13" s="81">
        <v>30.21</v>
      </c>
      <c r="BG13" s="81" t="s">
        <v>388</v>
      </c>
      <c r="BH13" s="81"/>
      <c r="BJ13" s="175"/>
      <c r="BK13" s="175"/>
      <c r="BL13" s="175"/>
      <c r="BM13" s="175"/>
      <c r="BN13" s="174"/>
      <c r="BO13" s="175"/>
      <c r="BQ13" s="81" t="s">
        <v>396</v>
      </c>
      <c r="BR13" s="167">
        <v>5.0500000000000003E-2</v>
      </c>
      <c r="BS13" s="167">
        <v>8.2699999999999996E-3</v>
      </c>
      <c r="BT13" s="81">
        <v>6.11</v>
      </c>
      <c r="BU13" s="167">
        <v>1.0999999999999999E-9</v>
      </c>
      <c r="BV13" s="81" t="s">
        <v>389</v>
      </c>
      <c r="BW13" s="81"/>
      <c r="BY13" s="178" t="s">
        <v>319</v>
      </c>
      <c r="BZ13" s="178" t="s">
        <v>320</v>
      </c>
      <c r="CA13" s="178" t="s">
        <v>329</v>
      </c>
      <c r="CB13" s="178" t="s">
        <v>323</v>
      </c>
      <c r="CC13" s="179">
        <f t="shared" si="11"/>
        <v>25400000</v>
      </c>
      <c r="CD13" s="178" t="s">
        <v>322</v>
      </c>
      <c r="CJ13" s="81" t="s">
        <v>331</v>
      </c>
      <c r="CK13" s="254">
        <f>AZ14</f>
        <v>2.4147868091633919E-2</v>
      </c>
      <c r="CL13" s="254">
        <f>BN14</f>
        <v>0.11700000000000001</v>
      </c>
      <c r="CM13" s="254">
        <f>CC16</f>
        <v>7.0400000000000004E-2</v>
      </c>
      <c r="CP13" s="258" t="s">
        <v>442</v>
      </c>
      <c r="CQ13" s="258" t="s">
        <v>341</v>
      </c>
      <c r="CR13" s="259">
        <v>0.16600000000000001</v>
      </c>
      <c r="CS13" s="259">
        <v>1.1900000000000001E-2</v>
      </c>
      <c r="CT13" s="258">
        <v>13.86</v>
      </c>
      <c r="CU13" s="259" t="s">
        <v>422</v>
      </c>
      <c r="CV13" s="167">
        <v>2E-16</v>
      </c>
      <c r="CW13" s="81" t="s">
        <v>389</v>
      </c>
      <c r="CX13" s="260" t="s">
        <v>467</v>
      </c>
      <c r="CY13" s="265" t="s">
        <v>476</v>
      </c>
      <c r="CZ13" s="261" t="s">
        <v>323</v>
      </c>
      <c r="DA13" s="262">
        <f t="shared" si="8"/>
        <v>0.248</v>
      </c>
      <c r="DB13" s="260" t="s">
        <v>322</v>
      </c>
      <c r="DD13" s="170" t="s">
        <v>467</v>
      </c>
      <c r="DE13" s="294" t="s">
        <v>476</v>
      </c>
      <c r="DF13" s="291" t="s">
        <v>323</v>
      </c>
      <c r="DG13" s="170">
        <f>$O11*$Z37*$AP6</f>
        <v>7.8276433353870467E-2</v>
      </c>
      <c r="DH13" s="170" t="s">
        <v>322</v>
      </c>
      <c r="DJ13" s="299" t="s">
        <v>442</v>
      </c>
      <c r="DK13" s="299" t="s">
        <v>341</v>
      </c>
      <c r="DL13" s="303">
        <v>0.19600000000000001</v>
      </c>
      <c r="DM13" s="303">
        <v>2.9499999999999998E-2</v>
      </c>
      <c r="DN13" s="299">
        <v>6.66</v>
      </c>
      <c r="DO13" s="303">
        <v>3E-11</v>
      </c>
      <c r="DP13" s="303" t="s">
        <v>389</v>
      </c>
      <c r="DR13" s="300" t="s">
        <v>467</v>
      </c>
      <c r="DS13" s="306" t="s">
        <v>476</v>
      </c>
      <c r="DT13" s="301" t="s">
        <v>323</v>
      </c>
      <c r="DU13" s="302">
        <f t="shared" si="1"/>
        <v>0.18</v>
      </c>
      <c r="DV13" s="300" t="s">
        <v>322</v>
      </c>
    </row>
    <row r="14" spans="1:126" ht="15" customHeight="1" thickTop="1" thickBot="1" x14ac:dyDescent="0.3">
      <c r="A14" s="188"/>
      <c r="B14" s="189"/>
      <c r="C14" s="189"/>
      <c r="D14" s="201" t="s">
        <v>65</v>
      </c>
      <c r="E14" s="202"/>
      <c r="F14" s="202"/>
      <c r="G14" s="202"/>
      <c r="H14" s="203"/>
      <c r="I14" s="193"/>
      <c r="K14" t="s">
        <v>61</v>
      </c>
      <c r="L14" s="218" t="s">
        <v>62</v>
      </c>
      <c r="M14" s="219">
        <v>1</v>
      </c>
      <c r="N14" s="219" t="s">
        <v>63</v>
      </c>
      <c r="O14" s="220">
        <f>B7</f>
        <v>62</v>
      </c>
      <c r="P14" s="221"/>
      <c r="Q14" s="30">
        <f t="shared" si="3"/>
        <v>0.84168336673346678</v>
      </c>
      <c r="R14" s="30">
        <f t="shared" si="4"/>
        <v>52.184368737474941</v>
      </c>
      <c r="S14" s="30">
        <f t="shared" si="5"/>
        <v>23366746</v>
      </c>
      <c r="T14" s="30">
        <f t="shared" si="6"/>
        <v>376883</v>
      </c>
      <c r="U14" s="30">
        <f t="shared" si="7"/>
        <v>6879520</v>
      </c>
      <c r="V14" s="31"/>
      <c r="W14" s="3"/>
      <c r="X14" s="233"/>
      <c r="Y14" s="234" t="s">
        <v>27</v>
      </c>
      <c r="Z14" s="234" t="s">
        <v>28</v>
      </c>
      <c r="AA14" s="234" t="s">
        <v>29</v>
      </c>
      <c r="AB14" s="234" t="s">
        <v>30</v>
      </c>
      <c r="AC14" s="234" t="s">
        <v>31</v>
      </c>
      <c r="AD14" s="234" t="s">
        <v>32</v>
      </c>
      <c r="AE14" s="235" t="s">
        <v>33</v>
      </c>
      <c r="AF14" s="14"/>
      <c r="AG14" s="14"/>
      <c r="AH14" s="14"/>
      <c r="AM14" s="159" t="s">
        <v>319</v>
      </c>
      <c r="AN14" s="81" t="s">
        <v>320</v>
      </c>
      <c r="AO14" s="81" t="s">
        <v>331</v>
      </c>
      <c r="AP14" s="81">
        <f>AP4*0.2</f>
        <v>1.6098578727755948E-2</v>
      </c>
      <c r="AQ14" s="81" t="s">
        <v>322</v>
      </c>
      <c r="AR14" s="167">
        <v>6.5890790000000005E-2</v>
      </c>
      <c r="AV14" s="168" t="s">
        <v>319</v>
      </c>
      <c r="AW14" s="168" t="s">
        <v>320</v>
      </c>
      <c r="AX14" s="168" t="s">
        <v>331</v>
      </c>
      <c r="AY14" s="169" t="s">
        <v>323</v>
      </c>
      <c r="AZ14" s="162">
        <f>AZ4*0.3</f>
        <v>2.4147868091633919E-2</v>
      </c>
      <c r="BA14" s="168" t="s">
        <v>322</v>
      </c>
      <c r="BC14" s="81" t="s">
        <v>397</v>
      </c>
      <c r="BD14" s="167">
        <v>0.156</v>
      </c>
      <c r="BE14" s="167">
        <v>1.4499999999999999E-3</v>
      </c>
      <c r="BF14" s="81">
        <v>107.8</v>
      </c>
      <c r="BG14" s="81" t="s">
        <v>388</v>
      </c>
      <c r="BH14" s="81"/>
      <c r="BJ14" s="175" t="s">
        <v>319</v>
      </c>
      <c r="BK14" s="175" t="s">
        <v>320</v>
      </c>
      <c r="BL14" s="175" t="s">
        <v>331</v>
      </c>
      <c r="BM14" s="175" t="s">
        <v>323</v>
      </c>
      <c r="BN14" s="174">
        <f>BD27</f>
        <v>0.11700000000000001</v>
      </c>
      <c r="BO14" s="175" t="s">
        <v>322</v>
      </c>
      <c r="BQ14" s="81" t="s">
        <v>397</v>
      </c>
      <c r="BR14" s="167">
        <v>0.20300000000000001</v>
      </c>
      <c r="BS14" s="167">
        <v>1.14E-3</v>
      </c>
      <c r="BT14" s="81">
        <v>177.92</v>
      </c>
      <c r="BU14" s="81" t="s">
        <v>422</v>
      </c>
      <c r="BV14" s="167">
        <v>2E-16</v>
      </c>
      <c r="BW14" s="81" t="s">
        <v>389</v>
      </c>
      <c r="BY14" s="178" t="s">
        <v>319</v>
      </c>
      <c r="BZ14" s="178" t="s">
        <v>320</v>
      </c>
      <c r="CA14" s="178" t="s">
        <v>330</v>
      </c>
      <c r="CB14" s="178" t="s">
        <v>323</v>
      </c>
      <c r="CC14" s="179">
        <v>0</v>
      </c>
      <c r="CD14" s="178" t="s">
        <v>322</v>
      </c>
      <c r="CJ14" s="81" t="s">
        <v>332</v>
      </c>
      <c r="CK14" s="254">
        <f>AZ15</f>
        <v>0.1677664214468034</v>
      </c>
      <c r="CL14" s="254">
        <f>BN15</f>
        <v>0.22500000000000001</v>
      </c>
      <c r="CM14" s="254">
        <f>CC17</f>
        <v>0.13700000000000001</v>
      </c>
      <c r="CP14" s="258" t="s">
        <v>442</v>
      </c>
      <c r="CQ14" s="258" t="s">
        <v>445</v>
      </c>
      <c r="CR14" s="259">
        <v>0.129</v>
      </c>
      <c r="CS14" s="259">
        <v>2.7799999999999999E-3</v>
      </c>
      <c r="CT14" s="258">
        <v>46.52</v>
      </c>
      <c r="CU14" s="258" t="s">
        <v>422</v>
      </c>
      <c r="CV14" s="167">
        <v>2E-16</v>
      </c>
      <c r="CW14" s="81" t="s">
        <v>389</v>
      </c>
      <c r="CX14" s="260" t="s">
        <v>467</v>
      </c>
      <c r="CY14" s="265" t="s">
        <v>477</v>
      </c>
      <c r="CZ14" s="261" t="s">
        <v>323</v>
      </c>
      <c r="DA14" s="262">
        <f t="shared" si="8"/>
        <v>0.52100000000000002</v>
      </c>
      <c r="DB14" s="260" t="s">
        <v>322</v>
      </c>
      <c r="DD14" s="170" t="s">
        <v>467</v>
      </c>
      <c r="DE14" s="294" t="s">
        <v>477</v>
      </c>
      <c r="DF14" s="291" t="s">
        <v>323</v>
      </c>
      <c r="DG14" s="170">
        <f>$O10*$Z37*$AP6</f>
        <v>7.0821534939216141E-2</v>
      </c>
      <c r="DH14" s="170" t="s">
        <v>322</v>
      </c>
      <c r="DJ14" s="299" t="s">
        <v>442</v>
      </c>
      <c r="DK14" s="299" t="s">
        <v>445</v>
      </c>
      <c r="DL14" s="303">
        <v>0.14399999999999999</v>
      </c>
      <c r="DM14" s="303">
        <v>6.1599999999999997E-3</v>
      </c>
      <c r="DN14" s="299">
        <v>23.31</v>
      </c>
      <c r="DO14" s="299" t="s">
        <v>422</v>
      </c>
      <c r="DP14" s="303">
        <v>2E-16</v>
      </c>
      <c r="DQ14" s="299" t="s">
        <v>389</v>
      </c>
      <c r="DR14" s="300" t="s">
        <v>467</v>
      </c>
      <c r="DS14" s="306" t="s">
        <v>477</v>
      </c>
      <c r="DT14" s="301" t="s">
        <v>323</v>
      </c>
      <c r="DU14" s="302">
        <f t="shared" si="1"/>
        <v>0.44900000000000001</v>
      </c>
      <c r="DV14" s="300" t="s">
        <v>322</v>
      </c>
    </row>
    <row r="15" spans="1:126" ht="15" customHeight="1" thickTop="1" thickBot="1" x14ac:dyDescent="0.3">
      <c r="A15" s="188"/>
      <c r="B15" s="189"/>
      <c r="C15" s="189"/>
      <c r="D15" s="204"/>
      <c r="E15" s="189"/>
      <c r="F15" s="189"/>
      <c r="G15" s="189"/>
      <c r="H15" s="190"/>
      <c r="I15" s="189"/>
      <c r="K15" t="s">
        <v>66</v>
      </c>
      <c r="L15" s="218">
        <v>0</v>
      </c>
      <c r="M15" s="219">
        <v>1</v>
      </c>
      <c r="N15" s="219" t="s">
        <v>20</v>
      </c>
      <c r="O15" s="222">
        <v>0</v>
      </c>
      <c r="P15" s="221"/>
      <c r="Q15" s="30">
        <f t="shared" si="3"/>
        <v>0.84975369458128069</v>
      </c>
      <c r="R15" s="30">
        <f t="shared" si="4"/>
        <v>0</v>
      </c>
      <c r="S15" s="30">
        <f>VLOOKUP(N15,$X$5:$AE$391,8,0)*O25</f>
        <v>4304764.8</v>
      </c>
      <c r="T15" s="30">
        <f>S15/O25</f>
        <v>54768</v>
      </c>
      <c r="U15" s="30">
        <f>VLOOKUP(N15,$X$5:$AG$391,10,0)*O25</f>
        <v>1287468</v>
      </c>
      <c r="V15" s="31"/>
      <c r="W15" s="3"/>
      <c r="X15" s="188"/>
      <c r="Y15" s="189" t="s">
        <v>271</v>
      </c>
      <c r="Z15" s="189">
        <v>0.1</v>
      </c>
      <c r="AA15" s="189">
        <v>1.1000000000000001</v>
      </c>
      <c r="AB15" s="189">
        <v>1850</v>
      </c>
      <c r="AC15" s="199">
        <v>840</v>
      </c>
      <c r="AD15" s="236">
        <f>Z15/AA15</f>
        <v>9.0909090909090912E-2</v>
      </c>
      <c r="AE15" s="190">
        <f>AB15*AC15*Z15</f>
        <v>155400</v>
      </c>
      <c r="AF15" s="14"/>
      <c r="AG15" s="14"/>
      <c r="AH15" s="14"/>
      <c r="AM15" s="159" t="s">
        <v>319</v>
      </c>
      <c r="AN15" s="81" t="s">
        <v>320</v>
      </c>
      <c r="AO15" s="81" t="s">
        <v>332</v>
      </c>
      <c r="AP15" s="81">
        <f>AP5*0.2</f>
        <v>0.11184428096453561</v>
      </c>
      <c r="AQ15" s="81" t="s">
        <v>322</v>
      </c>
      <c r="AR15" s="167">
        <v>0.1612856</v>
      </c>
      <c r="AV15" s="168" t="s">
        <v>319</v>
      </c>
      <c r="AW15" s="168" t="s">
        <v>320</v>
      </c>
      <c r="AX15" s="168" t="s">
        <v>332</v>
      </c>
      <c r="AY15" s="169" t="s">
        <v>323</v>
      </c>
      <c r="AZ15" s="162">
        <f>AZ5*0.3</f>
        <v>0.1677664214468034</v>
      </c>
      <c r="BA15" s="168" t="s">
        <v>322</v>
      </c>
      <c r="BC15" s="81" t="s">
        <v>398</v>
      </c>
      <c r="BD15" s="167">
        <v>9.35E-2</v>
      </c>
      <c r="BE15" s="167">
        <v>1.6000000000000001E-3</v>
      </c>
      <c r="BF15" s="81">
        <v>58.4</v>
      </c>
      <c r="BG15" s="81" t="s">
        <v>388</v>
      </c>
      <c r="BH15" s="81"/>
      <c r="BJ15" s="175" t="s">
        <v>319</v>
      </c>
      <c r="BK15" s="175" t="s">
        <v>320</v>
      </c>
      <c r="BL15" s="175" t="s">
        <v>332</v>
      </c>
      <c r="BM15" s="175" t="s">
        <v>323</v>
      </c>
      <c r="BN15" s="174">
        <f>BD28</f>
        <v>0.22500000000000001</v>
      </c>
      <c r="BO15" s="175" t="s">
        <v>322</v>
      </c>
      <c r="BQ15" s="81" t="s">
        <v>398</v>
      </c>
      <c r="BR15" s="167">
        <v>0.11799999999999999</v>
      </c>
      <c r="BS15" s="167">
        <v>5.9500000000000004E-4</v>
      </c>
      <c r="BT15" s="81">
        <v>198</v>
      </c>
      <c r="BU15" s="81" t="s">
        <v>422</v>
      </c>
      <c r="BV15" s="167">
        <v>2E-16</v>
      </c>
      <c r="BW15" s="81" t="s">
        <v>389</v>
      </c>
      <c r="BY15" s="178"/>
      <c r="BZ15" s="178"/>
      <c r="CA15" s="178"/>
      <c r="CB15" s="178"/>
      <c r="CC15" s="179"/>
      <c r="CD15" s="178"/>
      <c r="CJ15" s="81" t="s">
        <v>333</v>
      </c>
      <c r="CK15" s="254">
        <f>AZ16</f>
        <v>0.70968168625279782</v>
      </c>
      <c r="CL15" s="254">
        <f>BN16</f>
        <v>0.46500000000000002</v>
      </c>
      <c r="CM15" s="254">
        <f>CC18</f>
        <v>0.76900000000000002</v>
      </c>
      <c r="CP15" s="258" t="s">
        <v>442</v>
      </c>
      <c r="CQ15" s="258" t="s">
        <v>446</v>
      </c>
      <c r="CR15" s="259">
        <v>0.10299999999999999</v>
      </c>
      <c r="CS15" s="259">
        <v>2.8600000000000001E-3</v>
      </c>
      <c r="CT15" s="258">
        <v>35.85</v>
      </c>
      <c r="CU15" s="258" t="s">
        <v>422</v>
      </c>
      <c r="CV15" s="167">
        <v>2E-16</v>
      </c>
      <c r="CW15" s="81" t="s">
        <v>389</v>
      </c>
      <c r="CX15" s="260" t="s">
        <v>467</v>
      </c>
      <c r="CY15" s="265" t="s">
        <v>478</v>
      </c>
      <c r="CZ15" s="261" t="s">
        <v>323</v>
      </c>
      <c r="DA15" s="262">
        <f t="shared" si="8"/>
        <v>0.13800000000000001</v>
      </c>
      <c r="DB15" s="260" t="s">
        <v>322</v>
      </c>
      <c r="DD15" s="170" t="s">
        <v>467</v>
      </c>
      <c r="DE15" s="294" t="s">
        <v>478</v>
      </c>
      <c r="DF15" s="291" t="s">
        <v>323</v>
      </c>
      <c r="DG15" s="170">
        <f>$O12*$Z37*$AP6</f>
        <v>7.330650107743425E-2</v>
      </c>
      <c r="DH15" s="170" t="s">
        <v>322</v>
      </c>
      <c r="DJ15" s="299" t="s">
        <v>442</v>
      </c>
      <c r="DK15" s="299" t="s">
        <v>446</v>
      </c>
      <c r="DL15" s="303">
        <v>8.8800000000000004E-2</v>
      </c>
      <c r="DM15" s="303">
        <v>5.6800000000000002E-3</v>
      </c>
      <c r="DN15" s="299">
        <v>15.64</v>
      </c>
      <c r="DO15" s="299" t="s">
        <v>422</v>
      </c>
      <c r="DP15" s="303">
        <v>2E-16</v>
      </c>
      <c r="DQ15" s="299" t="s">
        <v>389</v>
      </c>
      <c r="DR15" s="300" t="s">
        <v>467</v>
      </c>
      <c r="DS15" s="306" t="s">
        <v>478</v>
      </c>
      <c r="DT15" s="301" t="s">
        <v>323</v>
      </c>
      <c r="DU15" s="302">
        <f t="shared" si="1"/>
        <v>5.51E-7</v>
      </c>
      <c r="DV15" s="300" t="s">
        <v>322</v>
      </c>
    </row>
    <row r="16" spans="1:126" ht="15" customHeight="1" thickTop="1" thickBot="1" x14ac:dyDescent="0.3">
      <c r="A16" s="205"/>
      <c r="B16" s="187"/>
      <c r="C16" s="187"/>
      <c r="D16" s="194" t="s">
        <v>69</v>
      </c>
      <c r="E16" s="189"/>
      <c r="F16" s="206">
        <f>B4/B26</f>
        <v>1.8014791747761778</v>
      </c>
      <c r="G16" s="199" t="s">
        <v>70</v>
      </c>
      <c r="H16" s="190"/>
      <c r="I16" s="189"/>
      <c r="K16" t="s">
        <v>67</v>
      </c>
      <c r="L16" s="218">
        <v>0</v>
      </c>
      <c r="M16" s="219">
        <v>1</v>
      </c>
      <c r="N16" s="219" t="s">
        <v>68</v>
      </c>
      <c r="O16" s="220">
        <f>'Tabula data'!B20</f>
        <v>9.5</v>
      </c>
      <c r="P16" s="221"/>
      <c r="Q16" s="30">
        <f t="shared" si="3"/>
        <v>4</v>
      </c>
      <c r="R16" s="30">
        <f t="shared" si="4"/>
        <v>38</v>
      </c>
      <c r="S16" s="30">
        <f t="shared" ref="S16:S27" si="12">VLOOKUP(N16,$X$5:$AE$391,8,0)*O16</f>
        <v>346940</v>
      </c>
      <c r="T16" s="30">
        <f t="shared" ref="T16:T27" si="13">S16/O16</f>
        <v>36520</v>
      </c>
      <c r="U16" s="30">
        <f t="shared" ref="U16:U27" si="14">VLOOKUP(N16,$X$5:$AG$391,10,0)*O16</f>
        <v>0</v>
      </c>
      <c r="V16" s="31"/>
      <c r="W16" s="3"/>
      <c r="X16" s="188"/>
      <c r="Y16" s="189" t="s">
        <v>272</v>
      </c>
      <c r="Z16" s="189">
        <v>0.06</v>
      </c>
      <c r="AA16" s="189">
        <v>1</v>
      </c>
      <c r="AB16" s="189">
        <v>1800</v>
      </c>
      <c r="AC16" s="189">
        <v>1000</v>
      </c>
      <c r="AD16" s="236">
        <v>0.18</v>
      </c>
      <c r="AE16" s="190">
        <f>Z16*AB16*AC16</f>
        <v>108000</v>
      </c>
      <c r="AF16" s="14"/>
      <c r="AG16" s="14"/>
      <c r="AH16" s="14"/>
      <c r="AM16" s="159" t="s">
        <v>319</v>
      </c>
      <c r="AN16" s="81" t="s">
        <v>320</v>
      </c>
      <c r="AO16" s="81" t="s">
        <v>333</v>
      </c>
      <c r="AP16" s="81">
        <f>AP6*0.2+0.8</f>
        <v>0.80645445750186528</v>
      </c>
      <c r="AQ16" s="81" t="s">
        <v>322</v>
      </c>
      <c r="AR16" s="167">
        <v>0.64236059999999995</v>
      </c>
      <c r="AV16" s="168" t="s">
        <v>319</v>
      </c>
      <c r="AW16" s="168" t="s">
        <v>320</v>
      </c>
      <c r="AX16" s="168" t="s">
        <v>333</v>
      </c>
      <c r="AY16" s="169" t="s">
        <v>323</v>
      </c>
      <c r="AZ16" s="162">
        <f>AZ6*0.3+0.7</f>
        <v>0.70968168625279782</v>
      </c>
      <c r="BA16" s="168" t="s">
        <v>322</v>
      </c>
      <c r="BC16" s="81" t="s">
        <v>308</v>
      </c>
      <c r="BD16" s="167">
        <v>13100000</v>
      </c>
      <c r="BE16" s="167">
        <v>252000</v>
      </c>
      <c r="BF16" s="81">
        <v>51.84</v>
      </c>
      <c r="BG16" s="81" t="s">
        <v>388</v>
      </c>
      <c r="BH16" s="81"/>
      <c r="BJ16" s="175" t="s">
        <v>319</v>
      </c>
      <c r="BK16" s="175" t="s">
        <v>320</v>
      </c>
      <c r="BL16" s="175" t="s">
        <v>333</v>
      </c>
      <c r="BM16" s="175" t="s">
        <v>323</v>
      </c>
      <c r="BN16" s="174">
        <f>BD29</f>
        <v>0.46500000000000002</v>
      </c>
      <c r="BO16" s="175" t="s">
        <v>322</v>
      </c>
      <c r="BQ16" s="81" t="s">
        <v>308</v>
      </c>
      <c r="BR16" s="167">
        <v>812000000</v>
      </c>
      <c r="BS16" s="167">
        <v>25300000</v>
      </c>
      <c r="BT16" s="81">
        <v>32.119999999999997</v>
      </c>
      <c r="BU16" s="81" t="s">
        <v>422</v>
      </c>
      <c r="BV16" s="167">
        <v>2E-16</v>
      </c>
      <c r="BW16" s="81" t="s">
        <v>389</v>
      </c>
      <c r="BY16" s="178" t="s">
        <v>319</v>
      </c>
      <c r="BZ16" s="178" t="s">
        <v>320</v>
      </c>
      <c r="CA16" s="178" t="s">
        <v>331</v>
      </c>
      <c r="CB16" s="178" t="s">
        <v>323</v>
      </c>
      <c r="CC16" s="177">
        <f>BR27</f>
        <v>7.0400000000000004E-2</v>
      </c>
      <c r="CD16" s="178" t="s">
        <v>322</v>
      </c>
      <c r="CJ16" s="81" t="s">
        <v>334</v>
      </c>
      <c r="CK16" s="254">
        <f>AZ17</f>
        <v>4.920201210438243E-2</v>
      </c>
      <c r="CL16" s="254">
        <f>BN17</f>
        <v>0.11</v>
      </c>
      <c r="CM16" s="254">
        <f>CC19</f>
        <v>7.2499999999999995E-2</v>
      </c>
      <c r="CP16" s="258" t="s">
        <v>442</v>
      </c>
      <c r="CQ16" s="258" t="s">
        <v>447</v>
      </c>
      <c r="CR16" s="259">
        <v>0.82299999999999995</v>
      </c>
      <c r="CS16" s="259">
        <v>2.2700000000000001E-2</v>
      </c>
      <c r="CT16" s="258">
        <v>36.33</v>
      </c>
      <c r="CU16" s="258" t="s">
        <v>422</v>
      </c>
      <c r="CV16" s="167">
        <v>2E-16</v>
      </c>
      <c r="CW16" s="81" t="s">
        <v>389</v>
      </c>
      <c r="CX16" s="260" t="s">
        <v>467</v>
      </c>
      <c r="CY16" s="265" t="s">
        <v>479</v>
      </c>
      <c r="CZ16" s="261" t="s">
        <v>323</v>
      </c>
      <c r="DA16" s="262">
        <f>CR23</f>
        <v>0.23899999999999999</v>
      </c>
      <c r="DB16" s="260" t="s">
        <v>322</v>
      </c>
      <c r="DD16" s="170" t="s">
        <v>467</v>
      </c>
      <c r="DE16" s="294" t="s">
        <v>479</v>
      </c>
      <c r="DF16" s="291" t="s">
        <v>323</v>
      </c>
      <c r="DG16" s="170">
        <f>$O13*$Z37*$AP6</f>
        <v>8.0761399492088576E-2</v>
      </c>
      <c r="DH16" s="170" t="s">
        <v>322</v>
      </c>
      <c r="DJ16" s="299" t="s">
        <v>442</v>
      </c>
      <c r="DK16" s="299" t="s">
        <v>447</v>
      </c>
      <c r="DL16" s="303">
        <v>0.88</v>
      </c>
      <c r="DM16" s="303">
        <v>4.07E-2</v>
      </c>
      <c r="DN16" s="299">
        <v>21.61</v>
      </c>
      <c r="DO16" s="299" t="s">
        <v>422</v>
      </c>
      <c r="DP16" s="303">
        <v>2E-16</v>
      </c>
      <c r="DQ16" s="299" t="s">
        <v>389</v>
      </c>
      <c r="DR16" s="300" t="s">
        <v>467</v>
      </c>
      <c r="DS16" s="306" t="s">
        <v>479</v>
      </c>
      <c r="DT16" s="301" t="s">
        <v>323</v>
      </c>
      <c r="DU16" s="302">
        <f t="shared" si="1"/>
        <v>0.245</v>
      </c>
      <c r="DV16" s="300" t="s">
        <v>322</v>
      </c>
    </row>
    <row r="17" spans="1:126" ht="15" customHeight="1" thickTop="1" thickBot="1" x14ac:dyDescent="0.3">
      <c r="A17" s="191" t="s">
        <v>73</v>
      </c>
      <c r="B17" s="192">
        <v>0</v>
      </c>
      <c r="C17" s="202" t="s">
        <v>9</v>
      </c>
      <c r="D17" s="194" t="s">
        <v>74</v>
      </c>
      <c r="E17" s="189"/>
      <c r="F17" s="206">
        <f>B26/B23</f>
        <v>1.5264408793820556</v>
      </c>
      <c r="G17" s="199"/>
      <c r="H17" s="190"/>
      <c r="I17" s="189"/>
      <c r="K17" t="s">
        <v>71</v>
      </c>
      <c r="L17" s="218">
        <v>0</v>
      </c>
      <c r="M17" s="219">
        <v>2</v>
      </c>
      <c r="N17" s="219" t="s">
        <v>25</v>
      </c>
      <c r="O17" s="220">
        <f>'Tabula data'!B10*'Gebouwgegevens Tabula 2zone'!C42/2*(1-'Gebouwgegevens Tabula 2zone'!C43)</f>
        <v>26.085502079619726</v>
      </c>
      <c r="P17" s="221" t="s">
        <v>26</v>
      </c>
      <c r="Q17" s="30">
        <f t="shared" si="3"/>
        <v>0.99033657090706906</v>
      </c>
      <c r="R17" s="30">
        <f t="shared" si="4"/>
        <v>25.833426679919818</v>
      </c>
      <c r="S17" s="30">
        <f t="shared" si="12"/>
        <v>11602888.71311943</v>
      </c>
      <c r="T17" s="30">
        <f t="shared" si="13"/>
        <v>444802.20000000007</v>
      </c>
      <c r="U17" s="30">
        <f t="shared" si="14"/>
        <v>4721997.5864527635</v>
      </c>
      <c r="V17" s="31"/>
      <c r="W17" s="3"/>
      <c r="X17" s="188"/>
      <c r="Y17" s="189" t="s">
        <v>273</v>
      </c>
      <c r="Z17" s="189">
        <v>0.01</v>
      </c>
      <c r="AA17" s="189">
        <v>3.5999999999999997E-2</v>
      </c>
      <c r="AB17" s="189">
        <v>26</v>
      </c>
      <c r="AC17" s="189">
        <v>1470</v>
      </c>
      <c r="AD17" s="236">
        <f>Z17/AA17</f>
        <v>0.27777777777777779</v>
      </c>
      <c r="AE17" s="190">
        <f>Z17*AB17*AC17</f>
        <v>382.2</v>
      </c>
      <c r="AF17" s="149" t="s">
        <v>274</v>
      </c>
      <c r="AG17" s="14"/>
      <c r="AH17" s="14"/>
      <c r="AM17" s="159" t="s">
        <v>319</v>
      </c>
      <c r="AN17" s="81" t="s">
        <v>320</v>
      </c>
      <c r="AO17" s="81" t="s">
        <v>334</v>
      </c>
      <c r="AP17" s="81">
        <f>AP7*0.3</f>
        <v>4.920201210438243E-2</v>
      </c>
      <c r="AQ17" s="81" t="s">
        <v>322</v>
      </c>
      <c r="AR17" s="167">
        <v>6.4977720000000003E-2</v>
      </c>
      <c r="AV17" s="168" t="s">
        <v>319</v>
      </c>
      <c r="AW17" s="168" t="s">
        <v>320</v>
      </c>
      <c r="AX17" s="168" t="s">
        <v>334</v>
      </c>
      <c r="AY17" s="169" t="s">
        <v>323</v>
      </c>
      <c r="AZ17" s="162">
        <f>AZ7*0.3</f>
        <v>4.920201210438243E-2</v>
      </c>
      <c r="BA17" s="168" t="s">
        <v>322</v>
      </c>
      <c r="BC17" s="81"/>
      <c r="BD17" s="81"/>
      <c r="BE17" s="81"/>
      <c r="BF17" s="81"/>
      <c r="BG17" s="81"/>
      <c r="BH17" s="81"/>
      <c r="BJ17" s="175" t="s">
        <v>319</v>
      </c>
      <c r="BK17" s="175" t="s">
        <v>320</v>
      </c>
      <c r="BL17" s="175" t="s">
        <v>334</v>
      </c>
      <c r="BM17" s="175" t="s">
        <v>323</v>
      </c>
      <c r="BN17" s="174">
        <f>BD30</f>
        <v>0.11</v>
      </c>
      <c r="BO17" s="175" t="s">
        <v>322</v>
      </c>
      <c r="BQ17" s="81"/>
      <c r="BR17" s="81"/>
      <c r="BS17" s="81"/>
      <c r="BT17" s="81"/>
      <c r="BU17" s="81"/>
      <c r="BV17" s="81"/>
      <c r="BW17" s="81"/>
      <c r="BY17" s="178" t="s">
        <v>319</v>
      </c>
      <c r="BZ17" s="178" t="s">
        <v>320</v>
      </c>
      <c r="CA17" s="178" t="s">
        <v>332</v>
      </c>
      <c r="CB17" s="178" t="s">
        <v>323</v>
      </c>
      <c r="CC17" s="177">
        <f t="shared" ref="CC17:CC19" si="15">BR28</f>
        <v>0.13700000000000001</v>
      </c>
      <c r="CD17" s="178" t="s">
        <v>322</v>
      </c>
      <c r="CK17" s="255"/>
      <c r="CL17" s="255"/>
      <c r="CM17" s="255"/>
      <c r="CP17" s="258" t="s">
        <v>442</v>
      </c>
      <c r="CQ17" s="258" t="s">
        <v>342</v>
      </c>
      <c r="CR17" s="259">
        <v>0.94299999999999995</v>
      </c>
      <c r="CS17" s="259">
        <v>5.6800000000000003E-2</v>
      </c>
      <c r="CT17" s="258">
        <v>16.600000000000001</v>
      </c>
      <c r="CU17" s="258" t="s">
        <v>422</v>
      </c>
      <c r="CV17" s="167">
        <v>2E-16</v>
      </c>
      <c r="CW17" s="81" t="s">
        <v>389</v>
      </c>
      <c r="CX17" s="260" t="s">
        <v>467</v>
      </c>
      <c r="CY17" s="265" t="s">
        <v>480</v>
      </c>
      <c r="CZ17" s="261" t="s">
        <v>323</v>
      </c>
      <c r="DA17" s="262">
        <f t="shared" si="8"/>
        <v>0.27900000000000003</v>
      </c>
      <c r="DB17" s="260" t="s">
        <v>322</v>
      </c>
      <c r="DD17" s="170" t="s">
        <v>467</v>
      </c>
      <c r="DE17" s="294" t="s">
        <v>480</v>
      </c>
      <c r="DF17" s="291" t="s">
        <v>323</v>
      </c>
      <c r="DG17" s="170">
        <f>$O11*$Z37*$AP7</f>
        <v>0.39779826786393191</v>
      </c>
      <c r="DH17" s="170" t="s">
        <v>322</v>
      </c>
      <c r="DJ17" s="299" t="s">
        <v>442</v>
      </c>
      <c r="DK17" s="299" t="s">
        <v>342</v>
      </c>
      <c r="DL17" s="303">
        <v>0.86499999999999999</v>
      </c>
      <c r="DM17" s="303">
        <v>8.2500000000000004E-2</v>
      </c>
      <c r="DN17" s="299">
        <v>10.49</v>
      </c>
      <c r="DO17" s="299" t="s">
        <v>422</v>
      </c>
      <c r="DP17" s="303">
        <v>2E-16</v>
      </c>
      <c r="DQ17" s="299" t="s">
        <v>389</v>
      </c>
      <c r="DR17" s="300" t="s">
        <v>467</v>
      </c>
      <c r="DS17" s="306" t="s">
        <v>480</v>
      </c>
      <c r="DT17" s="301" t="s">
        <v>323</v>
      </c>
      <c r="DU17" s="302">
        <f t="shared" si="1"/>
        <v>0.311</v>
      </c>
      <c r="DV17" s="300" t="s">
        <v>322</v>
      </c>
    </row>
    <row r="18" spans="1:126" ht="15" customHeight="1" thickTop="1" thickBot="1" x14ac:dyDescent="0.3">
      <c r="A18" s="188" t="s">
        <v>77</v>
      </c>
      <c r="B18" s="189">
        <v>0</v>
      </c>
      <c r="C18" s="189"/>
      <c r="D18" s="194" t="s">
        <v>78</v>
      </c>
      <c r="E18" s="189"/>
      <c r="F18" s="206">
        <f>B26/B6</f>
        <v>1.5264408793820556</v>
      </c>
      <c r="G18" s="199"/>
      <c r="H18" s="190"/>
      <c r="I18" s="189"/>
      <c r="K18" t="s">
        <v>75</v>
      </c>
      <c r="L18" s="218">
        <v>0</v>
      </c>
      <c r="M18" s="219">
        <v>2</v>
      </c>
      <c r="N18" s="219" t="s">
        <v>25</v>
      </c>
      <c r="O18" s="220">
        <f>'Tabula data'!B10*(1-'Gebouwgegevens Tabula 2zone'!C42)/2*(1-'Gebouwgegevens Tabula 2zone'!C44)</f>
        <v>0</v>
      </c>
      <c r="P18" s="221" t="s">
        <v>39</v>
      </c>
      <c r="Q18" s="30">
        <f t="shared" si="3"/>
        <v>0.99033657090706906</v>
      </c>
      <c r="R18" s="30">
        <f t="shared" si="4"/>
        <v>0</v>
      </c>
      <c r="S18" s="30">
        <f t="shared" si="12"/>
        <v>0</v>
      </c>
      <c r="T18" s="30" t="e">
        <f t="shared" si="13"/>
        <v>#DIV/0!</v>
      </c>
      <c r="U18" s="30">
        <f t="shared" si="14"/>
        <v>0</v>
      </c>
      <c r="V18" s="31"/>
      <c r="W18" s="3"/>
      <c r="X18" s="188"/>
      <c r="Y18" s="199" t="s">
        <v>275</v>
      </c>
      <c r="Z18" s="189">
        <v>0.14000000000000001</v>
      </c>
      <c r="AA18" s="189">
        <v>0.54</v>
      </c>
      <c r="AB18" s="189">
        <v>1400</v>
      </c>
      <c r="AC18" s="199">
        <v>840</v>
      </c>
      <c r="AD18" s="236">
        <f>Z18/AA18</f>
        <v>0.25925925925925924</v>
      </c>
      <c r="AE18" s="190">
        <f>Z18*AB18*AC18</f>
        <v>164640.00000000003</v>
      </c>
      <c r="AF18" s="14" t="s">
        <v>276</v>
      </c>
      <c r="AG18" s="14"/>
      <c r="AH18" s="14"/>
      <c r="AQ18" s="81" t="s">
        <v>322</v>
      </c>
      <c r="AR18" s="167"/>
      <c r="AV18" s="168"/>
      <c r="AW18" s="168"/>
      <c r="AX18" s="168"/>
      <c r="AY18" s="169"/>
      <c r="BA18" s="168"/>
      <c r="BC18" s="81" t="s">
        <v>304</v>
      </c>
      <c r="BD18" s="167">
        <v>15600000</v>
      </c>
      <c r="BE18" s="167">
        <v>67000</v>
      </c>
      <c r="BF18" s="81">
        <v>232.84</v>
      </c>
      <c r="BG18" s="81" t="s">
        <v>388</v>
      </c>
      <c r="BH18" s="81"/>
      <c r="BJ18" s="175"/>
      <c r="BK18" s="175"/>
      <c r="BL18" s="175"/>
      <c r="BM18" s="175"/>
      <c r="BN18" s="174"/>
      <c r="BO18" s="175"/>
      <c r="BQ18" s="81" t="s">
        <v>304</v>
      </c>
      <c r="BR18" s="167">
        <v>15000000</v>
      </c>
      <c r="BS18" s="167">
        <v>733000</v>
      </c>
      <c r="BT18" s="81">
        <v>20.420000000000002</v>
      </c>
      <c r="BU18" s="81" t="s">
        <v>422</v>
      </c>
      <c r="BV18" s="167">
        <v>2E-16</v>
      </c>
      <c r="BW18" s="81" t="s">
        <v>389</v>
      </c>
      <c r="BY18" s="178" t="s">
        <v>319</v>
      </c>
      <c r="BZ18" s="178" t="s">
        <v>320</v>
      </c>
      <c r="CA18" s="178" t="s">
        <v>333</v>
      </c>
      <c r="CB18" s="178" t="s">
        <v>323</v>
      </c>
      <c r="CC18" s="177">
        <f t="shared" si="15"/>
        <v>0.76900000000000002</v>
      </c>
      <c r="CD18" s="178" t="s">
        <v>322</v>
      </c>
      <c r="CJ18" s="81" t="s">
        <v>335</v>
      </c>
      <c r="CK18" s="257">
        <f t="shared" ref="CK18:CK23" si="16">AZ19</f>
        <v>72.867661880313506</v>
      </c>
      <c r="CL18" s="257">
        <f t="shared" ref="CL18:CL23" si="17">BN19</f>
        <v>637</v>
      </c>
      <c r="CM18" s="257">
        <f t="shared" ref="CM18:CM23" si="18">CC21</f>
        <v>278</v>
      </c>
      <c r="CP18" s="258" t="s">
        <v>442</v>
      </c>
      <c r="CQ18" s="258" t="s">
        <v>448</v>
      </c>
      <c r="CR18" s="259">
        <v>0.71299999999999997</v>
      </c>
      <c r="CS18" s="259">
        <v>1.14E-2</v>
      </c>
      <c r="CT18" s="258">
        <v>62.32</v>
      </c>
      <c r="CU18" s="258" t="s">
        <v>422</v>
      </c>
      <c r="CV18" s="167">
        <v>2E-16</v>
      </c>
      <c r="CW18" s="81" t="s">
        <v>389</v>
      </c>
      <c r="CX18" s="260" t="s">
        <v>467</v>
      </c>
      <c r="CY18" s="265" t="s">
        <v>481</v>
      </c>
      <c r="CZ18" s="261" t="s">
        <v>323</v>
      </c>
      <c r="DA18" s="262">
        <f t="shared" si="8"/>
        <v>0.33900000000000002</v>
      </c>
      <c r="DB18" s="260" t="s">
        <v>322</v>
      </c>
      <c r="DD18" s="170" t="s">
        <v>467</v>
      </c>
      <c r="DE18" s="294" t="s">
        <v>481</v>
      </c>
      <c r="DF18" s="291" t="s">
        <v>323</v>
      </c>
      <c r="DG18" s="170">
        <f>$O10*$Z37*$AP7</f>
        <v>0.3599127185435575</v>
      </c>
      <c r="DH18" s="170" t="s">
        <v>322</v>
      </c>
      <c r="DJ18" s="299" t="s">
        <v>442</v>
      </c>
      <c r="DK18" s="299" t="s">
        <v>448</v>
      </c>
      <c r="DL18" s="303">
        <v>0.77600000000000002</v>
      </c>
      <c r="DM18" s="303">
        <v>1.7299999999999999E-2</v>
      </c>
      <c r="DN18" s="299">
        <v>44.95</v>
      </c>
      <c r="DO18" s="299" t="s">
        <v>422</v>
      </c>
      <c r="DP18" s="303">
        <v>2E-16</v>
      </c>
      <c r="DQ18" s="299" t="s">
        <v>389</v>
      </c>
      <c r="DR18" s="300" t="s">
        <v>467</v>
      </c>
      <c r="DS18" s="306" t="s">
        <v>481</v>
      </c>
      <c r="DT18" s="301" t="s">
        <v>323</v>
      </c>
      <c r="DU18" s="302">
        <f t="shared" si="1"/>
        <v>0.26900000000000002</v>
      </c>
      <c r="DV18" s="300" t="s">
        <v>322</v>
      </c>
    </row>
    <row r="19" spans="1:126" ht="15" customHeight="1" thickTop="1" thickBot="1" x14ac:dyDescent="0.3">
      <c r="A19" s="188" t="s">
        <v>81</v>
      </c>
      <c r="B19" s="197">
        <f>B17-B18</f>
        <v>0</v>
      </c>
      <c r="C19" s="189"/>
      <c r="D19" s="204"/>
      <c r="E19" s="199"/>
      <c r="F19" s="199"/>
      <c r="G19" s="199"/>
      <c r="H19" s="198"/>
      <c r="I19" s="199"/>
      <c r="K19" t="s">
        <v>79</v>
      </c>
      <c r="L19" s="218">
        <v>0</v>
      </c>
      <c r="M19" s="219">
        <v>2</v>
      </c>
      <c r="N19" s="219" t="s">
        <v>25</v>
      </c>
      <c r="O19" s="220">
        <f>'Tabula data'!B10*'Gebouwgegevens Tabula 2zone'!C42/2*(1-'Gebouwgegevens Tabula 2zone'!C43)</f>
        <v>26.085502079619726</v>
      </c>
      <c r="P19" s="221" t="s">
        <v>45</v>
      </c>
      <c r="Q19" s="30">
        <f t="shared" si="3"/>
        <v>0.99033657090706906</v>
      </c>
      <c r="R19" s="30">
        <f t="shared" si="4"/>
        <v>25.833426679919818</v>
      </c>
      <c r="S19" s="30">
        <f t="shared" si="12"/>
        <v>11602888.71311943</v>
      </c>
      <c r="T19" s="30">
        <f t="shared" si="13"/>
        <v>444802.20000000007</v>
      </c>
      <c r="U19" s="30">
        <f t="shared" si="14"/>
        <v>4721997.5864527635</v>
      </c>
      <c r="V19" s="31"/>
      <c r="W19" s="3"/>
      <c r="X19" s="205"/>
      <c r="Y19" s="187" t="s">
        <v>277</v>
      </c>
      <c r="Z19" s="187">
        <v>0.02</v>
      </c>
      <c r="AA19" s="187">
        <v>0.6</v>
      </c>
      <c r="AB19" s="187">
        <v>975</v>
      </c>
      <c r="AC19" s="187">
        <v>840</v>
      </c>
      <c r="AD19" s="237">
        <f>Z19/AA19</f>
        <v>3.3333333333333333E-2</v>
      </c>
      <c r="AE19" s="210">
        <f>Z19*AB19*AC19</f>
        <v>16380</v>
      </c>
      <c r="AF19" s="14"/>
      <c r="AG19" s="14"/>
      <c r="AH19" s="14"/>
      <c r="AM19" s="159" t="s">
        <v>319</v>
      </c>
      <c r="AN19" s="81" t="s">
        <v>320</v>
      </c>
      <c r="AO19" s="81" t="s">
        <v>335</v>
      </c>
      <c r="AP19" s="81">
        <f>SUM(O6:O9)*(1/(SUM(AD18:AD19)+1/8))</f>
        <v>72.867661880313506</v>
      </c>
      <c r="AQ19" s="81" t="s">
        <v>322</v>
      </c>
      <c r="AR19" s="167">
        <v>298.59179999999998</v>
      </c>
      <c r="AV19" s="168" t="s">
        <v>319</v>
      </c>
      <c r="AW19" s="168" t="s">
        <v>320</v>
      </c>
      <c r="AX19" s="168" t="s">
        <v>335</v>
      </c>
      <c r="AY19" s="169" t="s">
        <v>323</v>
      </c>
      <c r="AZ19" s="162">
        <f>AP19</f>
        <v>72.867661880313506</v>
      </c>
      <c r="BA19" s="168" t="s">
        <v>322</v>
      </c>
      <c r="BC19" s="81" t="s">
        <v>399</v>
      </c>
      <c r="BD19" s="167">
        <v>2950000</v>
      </c>
      <c r="BE19" s="167">
        <v>42900</v>
      </c>
      <c r="BF19" s="81">
        <v>68.739999999999995</v>
      </c>
      <c r="BG19" s="81" t="s">
        <v>388</v>
      </c>
      <c r="BH19" s="81"/>
      <c r="BJ19" s="175" t="s">
        <v>319</v>
      </c>
      <c r="BK19" s="175" t="s">
        <v>320</v>
      </c>
      <c r="BL19" s="175" t="s">
        <v>335</v>
      </c>
      <c r="BM19" s="175" t="s">
        <v>323</v>
      </c>
      <c r="BN19" s="181">
        <f>BD32</f>
        <v>637</v>
      </c>
      <c r="BO19" s="175" t="s">
        <v>322</v>
      </c>
      <c r="BQ19" s="81" t="s">
        <v>399</v>
      </c>
      <c r="BR19" s="167">
        <v>3560000</v>
      </c>
      <c r="BS19" s="167">
        <v>405000</v>
      </c>
      <c r="BT19" s="81">
        <v>8.81</v>
      </c>
      <c r="BU19" s="81" t="s">
        <v>422</v>
      </c>
      <c r="BV19" s="167">
        <v>2E-16</v>
      </c>
      <c r="BW19" s="81" t="s">
        <v>389</v>
      </c>
      <c r="BY19" s="178" t="s">
        <v>319</v>
      </c>
      <c r="BZ19" s="178" t="s">
        <v>320</v>
      </c>
      <c r="CA19" s="178" t="s">
        <v>334</v>
      </c>
      <c r="CB19" s="178" t="s">
        <v>323</v>
      </c>
      <c r="CC19" s="177">
        <f t="shared" si="15"/>
        <v>7.2499999999999995E-2</v>
      </c>
      <c r="CD19" s="178" t="s">
        <v>322</v>
      </c>
      <c r="CJ19" s="81" t="s">
        <v>336</v>
      </c>
      <c r="CK19" s="257">
        <f t="shared" si="16"/>
        <v>197.27272727272728</v>
      </c>
      <c r="CL19" s="257">
        <f t="shared" si="17"/>
        <v>795</v>
      </c>
      <c r="CM19" s="257">
        <f t="shared" si="18"/>
        <v>215</v>
      </c>
      <c r="CP19" s="258" t="s">
        <v>442</v>
      </c>
      <c r="CQ19" s="258" t="s">
        <v>449</v>
      </c>
      <c r="CR19" s="259">
        <v>0.873</v>
      </c>
      <c r="CS19" s="259">
        <v>1.29E-2</v>
      </c>
      <c r="CT19" s="258">
        <v>67.81</v>
      </c>
      <c r="CU19" s="258" t="s">
        <v>422</v>
      </c>
      <c r="CV19" s="167">
        <v>2E-16</v>
      </c>
      <c r="CW19" s="81" t="s">
        <v>389</v>
      </c>
      <c r="CX19" s="260" t="s">
        <v>467</v>
      </c>
      <c r="CY19" s="263" t="s">
        <v>482</v>
      </c>
      <c r="CZ19" s="261" t="s">
        <v>323</v>
      </c>
      <c r="DA19" s="262">
        <f t="shared" si="8"/>
        <v>0.245</v>
      </c>
      <c r="DB19" s="260" t="s">
        <v>322</v>
      </c>
      <c r="DD19" s="170" t="s">
        <v>467</v>
      </c>
      <c r="DE19" s="292" t="s">
        <v>482</v>
      </c>
      <c r="DF19" s="291" t="s">
        <v>323</v>
      </c>
      <c r="DG19" s="170">
        <f>$O12*$Z37*$AP7</f>
        <v>0.3725412349836823</v>
      </c>
      <c r="DH19" s="170" t="s">
        <v>322</v>
      </c>
      <c r="DJ19" s="299" t="s">
        <v>442</v>
      </c>
      <c r="DK19" s="299" t="s">
        <v>449</v>
      </c>
      <c r="DL19" s="303">
        <v>0.749</v>
      </c>
      <c r="DM19" s="303">
        <v>1.78E-2</v>
      </c>
      <c r="DN19" s="299">
        <v>42.09</v>
      </c>
      <c r="DO19" s="299" t="s">
        <v>422</v>
      </c>
      <c r="DP19" s="303">
        <v>2E-16</v>
      </c>
      <c r="DQ19" s="299" t="s">
        <v>389</v>
      </c>
      <c r="DR19" s="300" t="s">
        <v>467</v>
      </c>
      <c r="DS19" s="304" t="s">
        <v>482</v>
      </c>
      <c r="DT19" s="301" t="s">
        <v>323</v>
      </c>
      <c r="DU19" s="302">
        <f t="shared" si="1"/>
        <v>0.255</v>
      </c>
      <c r="DV19" s="300" t="s">
        <v>322</v>
      </c>
    </row>
    <row r="20" spans="1:126" ht="15" customHeight="1" thickTop="1" thickBot="1" x14ac:dyDescent="0.3">
      <c r="A20" s="188"/>
      <c r="B20" s="189"/>
      <c r="C20" s="189"/>
      <c r="D20" s="194" t="s">
        <v>83</v>
      </c>
      <c r="E20" s="199"/>
      <c r="F20" s="207">
        <f>G4/B23</f>
        <v>0.14497920380273319</v>
      </c>
      <c r="G20" s="199"/>
      <c r="H20" s="190"/>
      <c r="I20" s="189"/>
      <c r="K20" t="s">
        <v>82</v>
      </c>
      <c r="L20" s="218">
        <v>0</v>
      </c>
      <c r="M20" s="219">
        <v>2</v>
      </c>
      <c r="N20" s="219" t="s">
        <v>25</v>
      </c>
      <c r="O20" s="220">
        <f>'Tabula data'!B10*(1-'Gebouwgegevens Tabula 2zone'!C42)/2*(1-'Gebouwgegevens Tabula 2zone'!C44)</f>
        <v>0</v>
      </c>
      <c r="P20" s="221" t="s">
        <v>50</v>
      </c>
      <c r="Q20" s="30">
        <f t="shared" si="3"/>
        <v>0.99033657090706906</v>
      </c>
      <c r="R20" s="30">
        <f t="shared" si="4"/>
        <v>0</v>
      </c>
      <c r="S20" s="30">
        <f t="shared" si="12"/>
        <v>0</v>
      </c>
      <c r="T20" s="30" t="e">
        <f t="shared" si="13"/>
        <v>#DIV/0!</v>
      </c>
      <c r="U20" s="30">
        <f t="shared" si="14"/>
        <v>0</v>
      </c>
      <c r="V20" s="31"/>
      <c r="W20" s="3"/>
      <c r="X20" s="226"/>
      <c r="Y20" s="226"/>
      <c r="Z20" s="226"/>
      <c r="AA20" s="226"/>
      <c r="AB20" s="226"/>
      <c r="AC20" s="226"/>
      <c r="AD20" s="226"/>
      <c r="AE20" s="226"/>
      <c r="AF20" s="14"/>
      <c r="AG20" s="14"/>
      <c r="AH20" s="14"/>
      <c r="AM20" s="159" t="s">
        <v>319</v>
      </c>
      <c r="AN20" s="81" t="s">
        <v>320</v>
      </c>
      <c r="AO20" s="81" t="s">
        <v>336</v>
      </c>
      <c r="AP20" s="81">
        <f>SUM(O14)*1/(SUM(AD42:AD43)+1/6)</f>
        <v>197.27272727272728</v>
      </c>
      <c r="AQ20" s="81" t="s">
        <v>322</v>
      </c>
      <c r="AR20" s="167">
        <v>278.86439999999999</v>
      </c>
      <c r="AV20" s="168" t="s">
        <v>319</v>
      </c>
      <c r="AW20" s="168" t="s">
        <v>320</v>
      </c>
      <c r="AX20" s="168" t="s">
        <v>336</v>
      </c>
      <c r="AY20" s="169" t="s">
        <v>323</v>
      </c>
      <c r="AZ20" s="162">
        <f t="shared" ref="AZ20:AZ24" si="19">AP20</f>
        <v>197.27272727272728</v>
      </c>
      <c r="BA20" s="168" t="s">
        <v>322</v>
      </c>
      <c r="BC20" s="81" t="s">
        <v>301</v>
      </c>
      <c r="BD20" s="167">
        <v>23100000</v>
      </c>
      <c r="BE20" s="167">
        <v>232000</v>
      </c>
      <c r="BF20" s="81">
        <v>99.92</v>
      </c>
      <c r="BG20" s="81" t="s">
        <v>388</v>
      </c>
      <c r="BH20" s="81"/>
      <c r="BJ20" s="175" t="s">
        <v>319</v>
      </c>
      <c r="BK20" s="175" t="s">
        <v>320</v>
      </c>
      <c r="BL20" s="175" t="s">
        <v>336</v>
      </c>
      <c r="BM20" s="175" t="s">
        <v>323</v>
      </c>
      <c r="BN20" s="181">
        <f>BD33</f>
        <v>795</v>
      </c>
      <c r="BO20" s="175" t="s">
        <v>322</v>
      </c>
      <c r="BQ20" s="81" t="s">
        <v>301</v>
      </c>
      <c r="BR20" s="167">
        <v>32200000</v>
      </c>
      <c r="BS20" s="167">
        <v>1890000</v>
      </c>
      <c r="BT20" s="81">
        <v>17.04</v>
      </c>
      <c r="BU20" s="81" t="s">
        <v>422</v>
      </c>
      <c r="BV20" s="167">
        <v>2E-16</v>
      </c>
      <c r="BW20" s="81" t="s">
        <v>389</v>
      </c>
      <c r="BY20" s="178"/>
      <c r="BZ20" s="178"/>
      <c r="CA20" s="178"/>
      <c r="CB20" s="178"/>
      <c r="CC20" s="177"/>
      <c r="CD20" s="178"/>
      <c r="CJ20" s="81" t="s">
        <v>337</v>
      </c>
      <c r="CK20" s="257">
        <f t="shared" si="16"/>
        <v>375.09791588361577</v>
      </c>
      <c r="CL20" s="257">
        <f t="shared" si="17"/>
        <v>1310</v>
      </c>
      <c r="CM20" s="257">
        <f t="shared" si="18"/>
        <v>457</v>
      </c>
      <c r="CP20" s="258" t="s">
        <v>442</v>
      </c>
      <c r="CQ20" s="258" t="s">
        <v>450</v>
      </c>
      <c r="CR20" s="259">
        <v>0.248</v>
      </c>
      <c r="CS20" s="259">
        <v>5.2999999999999999E-2</v>
      </c>
      <c r="CT20" s="258">
        <v>4.6900000000000004</v>
      </c>
      <c r="CU20" s="259">
        <v>2.7999999999999999E-6</v>
      </c>
      <c r="CV20" s="81" t="s">
        <v>389</v>
      </c>
      <c r="CW20" s="81"/>
      <c r="CX20" s="260" t="s">
        <v>467</v>
      </c>
      <c r="CY20" s="264" t="s">
        <v>483</v>
      </c>
      <c r="CZ20" s="261" t="s">
        <v>323</v>
      </c>
      <c r="DA20" s="262">
        <f t="shared" si="8"/>
        <v>0.27300000000000002</v>
      </c>
      <c r="DB20" s="260" t="s">
        <v>322</v>
      </c>
      <c r="DD20" s="170" t="s">
        <v>467</v>
      </c>
      <c r="DE20" s="293" t="s">
        <v>483</v>
      </c>
      <c r="DF20" s="291" t="s">
        <v>323</v>
      </c>
      <c r="DG20" s="170">
        <f>$O13*$Z37*$AP7</f>
        <v>0.41042678430405677</v>
      </c>
      <c r="DH20" s="170" t="s">
        <v>322</v>
      </c>
      <c r="DJ20" s="299" t="s">
        <v>442</v>
      </c>
      <c r="DK20" s="299" t="s">
        <v>450</v>
      </c>
      <c r="DL20" s="303">
        <v>0.18</v>
      </c>
      <c r="DM20" s="303">
        <v>0.19600000000000001</v>
      </c>
      <c r="DN20" s="299">
        <v>0.92</v>
      </c>
      <c r="DO20" s="299">
        <v>0.35611999999999999</v>
      </c>
      <c r="DR20" s="300" t="s">
        <v>467</v>
      </c>
      <c r="DS20" s="305" t="s">
        <v>483</v>
      </c>
      <c r="DT20" s="301" t="s">
        <v>323</v>
      </c>
      <c r="DU20" s="302">
        <f t="shared" si="1"/>
        <v>0.24299999999999999</v>
      </c>
      <c r="DV20" s="300" t="s">
        <v>322</v>
      </c>
    </row>
    <row r="21" spans="1:126" ht="15" customHeight="1" thickTop="1" thickBot="1" x14ac:dyDescent="0.3">
      <c r="A21" s="188"/>
      <c r="B21" s="189"/>
      <c r="C21" s="189"/>
      <c r="D21" s="194" t="s">
        <v>86</v>
      </c>
      <c r="E21" s="199"/>
      <c r="F21" s="207">
        <f>G4/B6</f>
        <v>0.14497920380273319</v>
      </c>
      <c r="G21" s="199"/>
      <c r="H21" s="190"/>
      <c r="I21" s="189"/>
      <c r="K21" t="s">
        <v>84</v>
      </c>
      <c r="L21" s="218">
        <v>0</v>
      </c>
      <c r="M21" s="219">
        <v>2</v>
      </c>
      <c r="N21" s="219" t="s">
        <v>54</v>
      </c>
      <c r="O21" s="220">
        <f>H10</f>
        <v>2.85</v>
      </c>
      <c r="P21" s="221" t="s">
        <v>26</v>
      </c>
      <c r="Q21" s="30">
        <f t="shared" si="3"/>
        <v>3.5</v>
      </c>
      <c r="R21" s="30">
        <f t="shared" si="4"/>
        <v>9.9749999999999996</v>
      </c>
      <c r="S21" s="30">
        <f t="shared" si="12"/>
        <v>0</v>
      </c>
      <c r="T21" s="30">
        <f t="shared" si="13"/>
        <v>0</v>
      </c>
      <c r="U21" s="30">
        <f t="shared" si="14"/>
        <v>0</v>
      </c>
      <c r="V21" s="31"/>
      <c r="W21" s="3"/>
      <c r="X21" s="228" t="s">
        <v>85</v>
      </c>
      <c r="Y21" s="229"/>
      <c r="Z21" s="230" t="s">
        <v>21</v>
      </c>
      <c r="AA21" s="231">
        <f>(1/(1/8+SUM(AD23:AD25)+1/8))</f>
        <v>1.7363344051446945</v>
      </c>
      <c r="AB21" s="229" t="s">
        <v>5</v>
      </c>
      <c r="AC21" s="229"/>
      <c r="AD21" s="229" t="s">
        <v>22</v>
      </c>
      <c r="AE21" s="232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9" t="s">
        <v>319</v>
      </c>
      <c r="AN21" s="81" t="s">
        <v>320</v>
      </c>
      <c r="AO21" s="81" t="s">
        <v>337</v>
      </c>
      <c r="AP21" s="81">
        <f>2*AA21*O27+O30*1*AA53</f>
        <v>375.09791588361577</v>
      </c>
      <c r="AQ21" s="81" t="s">
        <v>322</v>
      </c>
      <c r="AR21" s="167">
        <v>721.00049999999999</v>
      </c>
      <c r="AV21" s="168" t="s">
        <v>319</v>
      </c>
      <c r="AW21" s="168" t="s">
        <v>320</v>
      </c>
      <c r="AX21" s="168" t="s">
        <v>337</v>
      </c>
      <c r="AY21" s="169" t="s">
        <v>323</v>
      </c>
      <c r="AZ21" s="162">
        <f t="shared" si="19"/>
        <v>375.09791588361577</v>
      </c>
      <c r="BA21" s="168" t="s">
        <v>322</v>
      </c>
      <c r="BC21" s="81" t="s">
        <v>303</v>
      </c>
      <c r="BD21" s="167">
        <v>30400000</v>
      </c>
      <c r="BE21" s="167">
        <v>78800</v>
      </c>
      <c r="BF21" s="81">
        <v>386.04</v>
      </c>
      <c r="BG21" s="81" t="s">
        <v>388</v>
      </c>
      <c r="BH21" s="81"/>
      <c r="BJ21" s="175" t="s">
        <v>319</v>
      </c>
      <c r="BK21" s="175" t="s">
        <v>320</v>
      </c>
      <c r="BL21" s="175" t="s">
        <v>337</v>
      </c>
      <c r="BM21" s="175" t="s">
        <v>323</v>
      </c>
      <c r="BN21" s="181">
        <f>BD34</f>
        <v>1310</v>
      </c>
      <c r="BO21" s="175" t="s">
        <v>322</v>
      </c>
      <c r="BQ21" s="81" t="s">
        <v>303</v>
      </c>
      <c r="BR21" s="167">
        <v>25400000</v>
      </c>
      <c r="BS21" s="167">
        <v>316000</v>
      </c>
      <c r="BT21" s="81">
        <v>80.53</v>
      </c>
      <c r="BU21" s="81" t="s">
        <v>422</v>
      </c>
      <c r="BV21" s="167">
        <v>2E-16</v>
      </c>
      <c r="BW21" s="81" t="s">
        <v>389</v>
      </c>
      <c r="BY21" s="178" t="s">
        <v>319</v>
      </c>
      <c r="BZ21" s="178" t="s">
        <v>320</v>
      </c>
      <c r="CA21" s="178" t="s">
        <v>335</v>
      </c>
      <c r="CB21" s="178" t="s">
        <v>323</v>
      </c>
      <c r="CC21" s="180">
        <f>BR32</f>
        <v>278</v>
      </c>
      <c r="CD21" s="178" t="s">
        <v>322</v>
      </c>
      <c r="CE21" s="167">
        <f>BS32</f>
        <v>2.25</v>
      </c>
      <c r="CJ21" s="81" t="s">
        <v>338</v>
      </c>
      <c r="CK21" s="257">
        <f t="shared" si="16"/>
        <v>103.38504848484848</v>
      </c>
      <c r="CL21" s="257">
        <f t="shared" si="17"/>
        <v>253</v>
      </c>
      <c r="CM21" s="257">
        <f t="shared" si="18"/>
        <v>272</v>
      </c>
      <c r="CP21" s="258" t="s">
        <v>442</v>
      </c>
      <c r="CQ21" s="258" t="s">
        <v>343</v>
      </c>
      <c r="CR21" s="259">
        <v>0.52100000000000002</v>
      </c>
      <c r="CS21" s="259">
        <v>9.8299999999999998E-2</v>
      </c>
      <c r="CT21" s="258">
        <v>5.3</v>
      </c>
      <c r="CU21" s="259">
        <v>1.1999999999999999E-7</v>
      </c>
      <c r="CV21" s="81" t="s">
        <v>389</v>
      </c>
      <c r="CW21" s="81"/>
      <c r="CX21" s="260" t="s">
        <v>467</v>
      </c>
      <c r="CY21" s="264" t="s">
        <v>484</v>
      </c>
      <c r="CZ21" s="261" t="s">
        <v>323</v>
      </c>
      <c r="DA21" s="262">
        <f t="shared" si="8"/>
        <v>0.185</v>
      </c>
      <c r="DB21" s="260" t="s">
        <v>322</v>
      </c>
      <c r="DD21" s="170" t="s">
        <v>467</v>
      </c>
      <c r="DE21" s="293" t="s">
        <v>484</v>
      </c>
      <c r="DF21" s="291" t="s">
        <v>323</v>
      </c>
      <c r="DG21" s="170">
        <f>$O11*$Z37*$AP42</f>
        <v>0.39779826786393191</v>
      </c>
      <c r="DH21" s="170" t="s">
        <v>322</v>
      </c>
      <c r="DJ21" s="299" t="s">
        <v>442</v>
      </c>
      <c r="DK21" s="299" t="s">
        <v>343</v>
      </c>
      <c r="DL21" s="303">
        <v>0.44900000000000001</v>
      </c>
      <c r="DM21" s="303">
        <v>0.34200000000000003</v>
      </c>
      <c r="DN21" s="299">
        <v>1.31</v>
      </c>
      <c r="DO21" s="303">
        <v>0.18953</v>
      </c>
      <c r="DR21" s="300" t="s">
        <v>467</v>
      </c>
      <c r="DS21" s="305" t="s">
        <v>484</v>
      </c>
      <c r="DT21" s="301" t="s">
        <v>323</v>
      </c>
      <c r="DU21" s="302">
        <f t="shared" si="1"/>
        <v>0.27200000000000002</v>
      </c>
      <c r="DV21" s="300" t="s">
        <v>322</v>
      </c>
    </row>
    <row r="22" spans="1:126" ht="15" customHeight="1" thickTop="1" thickBot="1" x14ac:dyDescent="0.3">
      <c r="A22" s="205"/>
      <c r="B22" s="187"/>
      <c r="C22" s="187"/>
      <c r="D22" s="188" t="s">
        <v>88</v>
      </c>
      <c r="E22" s="189"/>
      <c r="F22" s="195">
        <f>G4/B26</f>
        <v>9.497859089139743E-2</v>
      </c>
      <c r="G22" s="189"/>
      <c r="H22" s="190"/>
      <c r="I22" s="189"/>
      <c r="K22" t="s">
        <v>87</v>
      </c>
      <c r="L22" s="218">
        <v>0</v>
      </c>
      <c r="M22" s="219">
        <v>2</v>
      </c>
      <c r="N22" s="219" t="s">
        <v>54</v>
      </c>
      <c r="O22" s="220">
        <f>H11</f>
        <v>3.15</v>
      </c>
      <c r="P22" s="221" t="s">
        <v>39</v>
      </c>
      <c r="Q22" s="30">
        <f t="shared" si="3"/>
        <v>3.5</v>
      </c>
      <c r="R22" s="30">
        <f t="shared" si="4"/>
        <v>11.025</v>
      </c>
      <c r="S22" s="30">
        <f t="shared" si="12"/>
        <v>0</v>
      </c>
      <c r="T22" s="30">
        <f t="shared" si="13"/>
        <v>0</v>
      </c>
      <c r="U22" s="30">
        <f t="shared" si="14"/>
        <v>0</v>
      </c>
      <c r="V22" s="31"/>
      <c r="W22" s="3"/>
      <c r="X22" s="233"/>
      <c r="Y22" s="234" t="s">
        <v>27</v>
      </c>
      <c r="Z22" s="234" t="s">
        <v>28</v>
      </c>
      <c r="AA22" s="234" t="s">
        <v>29</v>
      </c>
      <c r="AB22" s="234" t="s">
        <v>30</v>
      </c>
      <c r="AC22" s="234" t="s">
        <v>31</v>
      </c>
      <c r="AD22" s="234" t="s">
        <v>32</v>
      </c>
      <c r="AE22" s="235" t="s">
        <v>33</v>
      </c>
      <c r="AF22" s="14"/>
      <c r="AG22" s="14"/>
      <c r="AH22" s="14"/>
      <c r="AM22" s="159" t="s">
        <v>319</v>
      </c>
      <c r="AN22" s="81" t="s">
        <v>320</v>
      </c>
      <c r="AO22" s="81" t="s">
        <v>338</v>
      </c>
      <c r="AP22" s="153">
        <f>'Verwarming Tabula 2zone'!B60+SUM(R10:R13)+R16</f>
        <v>103.38504848484848</v>
      </c>
      <c r="AQ22" s="81" t="s">
        <v>322</v>
      </c>
      <c r="AR22" s="167">
        <v>110.5333</v>
      </c>
      <c r="AV22" s="168" t="s">
        <v>319</v>
      </c>
      <c r="AW22" s="168" t="s">
        <v>320</v>
      </c>
      <c r="AX22" s="168" t="s">
        <v>338</v>
      </c>
      <c r="AY22" s="169" t="s">
        <v>323</v>
      </c>
      <c r="AZ22" s="162">
        <f t="shared" si="19"/>
        <v>103.38504848484848</v>
      </c>
      <c r="BA22" s="168" t="s">
        <v>322</v>
      </c>
      <c r="BC22" s="81" t="s">
        <v>400</v>
      </c>
      <c r="BD22" s="167">
        <v>-5.92</v>
      </c>
      <c r="BE22" s="167">
        <v>5.1700000000000003E-2</v>
      </c>
      <c r="BF22" s="81">
        <v>-114.57</v>
      </c>
      <c r="BG22" s="81" t="s">
        <v>388</v>
      </c>
      <c r="BH22" s="81"/>
      <c r="BJ22" s="175" t="s">
        <v>319</v>
      </c>
      <c r="BK22" s="175" t="s">
        <v>320</v>
      </c>
      <c r="BL22" s="175" t="s">
        <v>338</v>
      </c>
      <c r="BM22" s="175" t="s">
        <v>323</v>
      </c>
      <c r="BN22" s="181">
        <f>BD35</f>
        <v>253</v>
      </c>
      <c r="BO22" s="175" t="s">
        <v>322</v>
      </c>
      <c r="BQ22" s="81" t="s">
        <v>400</v>
      </c>
      <c r="BR22" s="167">
        <v>-6.08</v>
      </c>
      <c r="BS22" s="167">
        <v>0.23</v>
      </c>
      <c r="BT22" s="81">
        <v>-26.41</v>
      </c>
      <c r="BU22" s="81" t="s">
        <v>422</v>
      </c>
      <c r="BV22" s="167">
        <v>2E-16</v>
      </c>
      <c r="BW22" s="81" t="s">
        <v>389</v>
      </c>
      <c r="BY22" s="178" t="s">
        <v>319</v>
      </c>
      <c r="BZ22" s="178" t="s">
        <v>320</v>
      </c>
      <c r="CA22" s="178" t="s">
        <v>336</v>
      </c>
      <c r="CB22" s="178" t="s">
        <v>323</v>
      </c>
      <c r="CC22" s="180">
        <f t="shared" ref="CC22:CC24" si="20">BR33</f>
        <v>215</v>
      </c>
      <c r="CD22" s="178" t="s">
        <v>322</v>
      </c>
      <c r="CE22" s="167">
        <f t="shared" ref="CE22:CE24" si="21">BS33</f>
        <v>1.54</v>
      </c>
      <c r="CJ22" s="81" t="s">
        <v>339</v>
      </c>
      <c r="CK22" s="257">
        <f t="shared" si="16"/>
        <v>51.385997455732721</v>
      </c>
      <c r="CL22" s="257">
        <f t="shared" si="17"/>
        <v>217.39130434782609</v>
      </c>
      <c r="CM22" s="257">
        <f t="shared" si="18"/>
        <v>326.79738562091507</v>
      </c>
      <c r="CP22" s="258" t="s">
        <v>442</v>
      </c>
      <c r="CQ22" s="258" t="s">
        <v>451</v>
      </c>
      <c r="CR22" s="259">
        <v>0.13800000000000001</v>
      </c>
      <c r="CS22" s="259">
        <v>2.12E-2</v>
      </c>
      <c r="CT22" s="258">
        <v>6.51</v>
      </c>
      <c r="CU22" s="259">
        <v>7.7000000000000006E-11</v>
      </c>
      <c r="CV22" s="81" t="s">
        <v>389</v>
      </c>
      <c r="CW22" s="81"/>
      <c r="CX22" s="260" t="s">
        <v>467</v>
      </c>
      <c r="CY22" s="264" t="s">
        <v>485</v>
      </c>
      <c r="CZ22" s="261" t="s">
        <v>323</v>
      </c>
      <c r="DA22" s="262">
        <f t="shared" si="8"/>
        <v>8.5999999999999998E-26</v>
      </c>
      <c r="DB22" s="260" t="s">
        <v>322</v>
      </c>
      <c r="DD22" s="170" t="s">
        <v>467</v>
      </c>
      <c r="DE22" s="293" t="s">
        <v>485</v>
      </c>
      <c r="DF22" s="291" t="s">
        <v>323</v>
      </c>
      <c r="DG22" s="170">
        <f>$O10*$Z37*$AP42</f>
        <v>0.3599127185435575</v>
      </c>
      <c r="DH22" s="170" t="s">
        <v>322</v>
      </c>
      <c r="DJ22" s="299" t="s">
        <v>442</v>
      </c>
      <c r="DK22" s="299" t="s">
        <v>451</v>
      </c>
      <c r="DL22" s="303">
        <v>5.51E-7</v>
      </c>
      <c r="DM22" s="303">
        <v>1.12E-4</v>
      </c>
      <c r="DN22" s="299">
        <v>0</v>
      </c>
      <c r="DO22" s="299">
        <v>0.99605999999999995</v>
      </c>
      <c r="DR22" s="300" t="s">
        <v>467</v>
      </c>
      <c r="DS22" s="305" t="s">
        <v>485</v>
      </c>
      <c r="DT22" s="301" t="s">
        <v>323</v>
      </c>
      <c r="DU22" s="302">
        <f t="shared" si="1"/>
        <v>0.31</v>
      </c>
      <c r="DV22" s="300" t="s">
        <v>322</v>
      </c>
    </row>
    <row r="23" spans="1:126" ht="15" customHeight="1" thickTop="1" thickBot="1" x14ac:dyDescent="0.3">
      <c r="A23" s="191" t="s">
        <v>91</v>
      </c>
      <c r="B23" s="192">
        <f>B17+B6</f>
        <v>168.3</v>
      </c>
      <c r="C23" s="202" t="s">
        <v>9</v>
      </c>
      <c r="D23" s="188"/>
      <c r="E23" s="189"/>
      <c r="F23" s="189"/>
      <c r="G23" s="189"/>
      <c r="H23" s="190"/>
      <c r="I23" s="189"/>
      <c r="K23" t="s">
        <v>89</v>
      </c>
      <c r="L23" s="218">
        <v>0</v>
      </c>
      <c r="M23" s="219">
        <v>2</v>
      </c>
      <c r="N23" s="219" t="s">
        <v>54</v>
      </c>
      <c r="O23" s="220">
        <f>H12</f>
        <v>2.95</v>
      </c>
      <c r="P23" s="221" t="s">
        <v>45</v>
      </c>
      <c r="Q23" s="30">
        <f t="shared" si="3"/>
        <v>3.5</v>
      </c>
      <c r="R23" s="30">
        <f t="shared" si="4"/>
        <v>10.325000000000001</v>
      </c>
      <c r="S23" s="30">
        <f t="shared" si="12"/>
        <v>0</v>
      </c>
      <c r="T23" s="30">
        <f t="shared" si="13"/>
        <v>0</v>
      </c>
      <c r="U23" s="30">
        <f t="shared" si="14"/>
        <v>0</v>
      </c>
      <c r="V23" s="31"/>
      <c r="W23" s="3"/>
      <c r="X23" s="188"/>
      <c r="Y23" s="189" t="s">
        <v>90</v>
      </c>
      <c r="Z23" s="189">
        <v>0.02</v>
      </c>
      <c r="AA23" s="189">
        <v>0.6</v>
      </c>
      <c r="AB23" s="189">
        <v>975</v>
      </c>
      <c r="AC23" s="189">
        <v>840</v>
      </c>
      <c r="AD23" s="236">
        <f>Z23/AA23</f>
        <v>3.3333333333333333E-2</v>
      </c>
      <c r="AE23" s="190">
        <f>Z23*AB23*AC23</f>
        <v>16380</v>
      </c>
      <c r="AF23" s="14"/>
      <c r="AG23" s="14"/>
      <c r="AH23" s="14"/>
      <c r="AM23" s="159" t="s">
        <v>319</v>
      </c>
      <c r="AN23" s="81" t="s">
        <v>320</v>
      </c>
      <c r="AO23" s="81" t="s">
        <v>339</v>
      </c>
      <c r="AP23" s="81">
        <f>SUM(O6:O9)*1/(SUM(AD15:AD17)+1/23)</f>
        <v>51.385997455732721</v>
      </c>
      <c r="AQ23" s="81" t="s">
        <v>322</v>
      </c>
      <c r="AR23" s="81">
        <f>1/0.01496205</f>
        <v>66.83576114235683</v>
      </c>
      <c r="AV23" s="168" t="s">
        <v>319</v>
      </c>
      <c r="AW23" s="168" t="s">
        <v>320</v>
      </c>
      <c r="AX23" s="168" t="s">
        <v>339</v>
      </c>
      <c r="AY23" s="169" t="s">
        <v>323</v>
      </c>
      <c r="AZ23" s="162">
        <f t="shared" si="19"/>
        <v>51.385997455732721</v>
      </c>
      <c r="BA23" s="168" t="s">
        <v>322</v>
      </c>
      <c r="BC23" s="81" t="s">
        <v>401</v>
      </c>
      <c r="BD23" s="167">
        <v>-13.3</v>
      </c>
      <c r="BE23" s="167">
        <v>65</v>
      </c>
      <c r="BF23" s="81">
        <v>-0.2</v>
      </c>
      <c r="BG23" s="81">
        <v>0.84</v>
      </c>
      <c r="BH23" s="81"/>
      <c r="BJ23" s="175" t="s">
        <v>319</v>
      </c>
      <c r="BK23" s="175" t="s">
        <v>320</v>
      </c>
      <c r="BL23" s="175" t="s">
        <v>339</v>
      </c>
      <c r="BM23" s="175" t="s">
        <v>323</v>
      </c>
      <c r="BN23" s="181">
        <f>1/BD41</f>
        <v>217.39130434782609</v>
      </c>
      <c r="BO23" s="175" t="s">
        <v>322</v>
      </c>
      <c r="BQ23" s="81" t="s">
        <v>401</v>
      </c>
      <c r="BR23" s="167">
        <v>-27.7</v>
      </c>
      <c r="BS23" s="167">
        <v>2.08</v>
      </c>
      <c r="BT23" s="81">
        <v>-13.34</v>
      </c>
      <c r="BU23" s="81" t="s">
        <v>422</v>
      </c>
      <c r="BV23" s="167">
        <v>2E-16</v>
      </c>
      <c r="BW23" s="81" t="s">
        <v>389</v>
      </c>
      <c r="BY23" s="178" t="s">
        <v>319</v>
      </c>
      <c r="BZ23" s="178" t="s">
        <v>320</v>
      </c>
      <c r="CA23" s="178" t="s">
        <v>337</v>
      </c>
      <c r="CB23" s="178" t="s">
        <v>323</v>
      </c>
      <c r="CC23" s="180">
        <f t="shared" si="20"/>
        <v>457</v>
      </c>
      <c r="CD23" s="178" t="s">
        <v>322</v>
      </c>
      <c r="CE23" s="167">
        <f t="shared" si="21"/>
        <v>3.7</v>
      </c>
      <c r="CJ23" s="81" t="s">
        <v>340</v>
      </c>
      <c r="CK23" s="257">
        <f t="shared" si="16"/>
        <v>31.950920245398773</v>
      </c>
      <c r="CL23" s="257">
        <f t="shared" si="17"/>
        <v>81.900000000000006</v>
      </c>
      <c r="CM23" s="257">
        <f t="shared" si="18"/>
        <v>75.900000000000006</v>
      </c>
      <c r="CP23" s="258" t="s">
        <v>442</v>
      </c>
      <c r="CQ23" s="258" t="s">
        <v>452</v>
      </c>
      <c r="CR23" s="259">
        <v>0.23899999999999999</v>
      </c>
      <c r="CS23" s="259">
        <v>2.5600000000000001E-2</v>
      </c>
      <c r="CT23" s="258">
        <v>9.36</v>
      </c>
      <c r="CU23" s="258" t="s">
        <v>422</v>
      </c>
      <c r="CV23" s="167">
        <v>2E-16</v>
      </c>
      <c r="CW23" s="81" t="s">
        <v>389</v>
      </c>
      <c r="CX23" s="260" t="s">
        <v>467</v>
      </c>
      <c r="CY23" s="263" t="s">
        <v>486</v>
      </c>
      <c r="CZ23" s="261" t="s">
        <v>323</v>
      </c>
      <c r="DA23" s="262">
        <f t="shared" si="8"/>
        <v>0.14699999999999999</v>
      </c>
      <c r="DB23" s="260" t="s">
        <v>322</v>
      </c>
      <c r="DD23" s="170" t="s">
        <v>467</v>
      </c>
      <c r="DE23" s="292" t="s">
        <v>486</v>
      </c>
      <c r="DF23" s="291" t="s">
        <v>323</v>
      </c>
      <c r="DG23" s="170">
        <f>$O12*$Z37*$AP42</f>
        <v>0.3725412349836823</v>
      </c>
      <c r="DH23" s="170" t="s">
        <v>322</v>
      </c>
      <c r="DJ23" s="299" t="s">
        <v>442</v>
      </c>
      <c r="DK23" s="299" t="s">
        <v>452</v>
      </c>
      <c r="DL23" s="303">
        <v>0.245</v>
      </c>
      <c r="DM23" s="303">
        <v>7.2400000000000006E-2</v>
      </c>
      <c r="DN23" s="299">
        <v>3.39</v>
      </c>
      <c r="DO23" s="303">
        <v>7.1000000000000002E-4</v>
      </c>
      <c r="DP23" s="299" t="s">
        <v>389</v>
      </c>
      <c r="DR23" s="300" t="s">
        <v>467</v>
      </c>
      <c r="DS23" s="304" t="s">
        <v>486</v>
      </c>
      <c r="DT23" s="301" t="s">
        <v>323</v>
      </c>
      <c r="DU23" s="302">
        <f t="shared" si="1"/>
        <v>0.23400000000000001</v>
      </c>
      <c r="DV23" s="300" t="s">
        <v>322</v>
      </c>
    </row>
    <row r="24" spans="1:126" ht="15" customHeight="1" thickTop="1" thickBot="1" x14ac:dyDescent="0.3">
      <c r="A24" s="188" t="s">
        <v>94</v>
      </c>
      <c r="B24" s="208">
        <f>B23/B6</f>
        <v>1</v>
      </c>
      <c r="C24" s="189"/>
      <c r="D24" s="188" t="s">
        <v>95</v>
      </c>
      <c r="E24" s="189"/>
      <c r="F24" s="208">
        <f>B8/B6</f>
        <v>0.63161021984551402</v>
      </c>
      <c r="G24" s="189"/>
      <c r="H24" s="190"/>
      <c r="I24" s="189"/>
      <c r="K24" t="s">
        <v>92</v>
      </c>
      <c r="L24" s="218">
        <v>0</v>
      </c>
      <c r="M24" s="219">
        <v>2</v>
      </c>
      <c r="N24" s="219" t="s">
        <v>54</v>
      </c>
      <c r="O24" s="220">
        <f>H13</f>
        <v>3.25</v>
      </c>
      <c r="P24" s="221" t="s">
        <v>50</v>
      </c>
      <c r="Q24" s="30">
        <f t="shared" si="3"/>
        <v>3.5</v>
      </c>
      <c r="R24" s="30">
        <f t="shared" si="4"/>
        <v>11.375</v>
      </c>
      <c r="S24" s="30">
        <f t="shared" si="12"/>
        <v>0</v>
      </c>
      <c r="T24" s="30">
        <f t="shared" si="13"/>
        <v>0</v>
      </c>
      <c r="U24" s="30">
        <f t="shared" si="14"/>
        <v>0</v>
      </c>
      <c r="V24" s="31"/>
      <c r="W24" s="3"/>
      <c r="X24" s="188"/>
      <c r="Y24" s="189" t="s">
        <v>93</v>
      </c>
      <c r="Z24" s="189">
        <v>0.14000000000000001</v>
      </c>
      <c r="AA24" s="189">
        <v>0.54</v>
      </c>
      <c r="AB24" s="189">
        <v>1400</v>
      </c>
      <c r="AC24" s="189">
        <v>840</v>
      </c>
      <c r="AD24" s="236">
        <f>Z24/AA24</f>
        <v>0.25925925925925924</v>
      </c>
      <c r="AE24" s="190">
        <f>Z24*AB24*AC24</f>
        <v>164640.00000000003</v>
      </c>
      <c r="AF24" s="14"/>
      <c r="AG24" s="14"/>
      <c r="AH24" s="14"/>
      <c r="AM24" s="159" t="s">
        <v>319</v>
      </c>
      <c r="AN24" s="81" t="s">
        <v>320</v>
      </c>
      <c r="AO24" s="81" t="s">
        <v>340</v>
      </c>
      <c r="AP24" s="81">
        <f>SUM(O14)*1/(SUM(AD44:AD46)+1)</f>
        <v>31.950920245398773</v>
      </c>
      <c r="AQ24" s="81" t="s">
        <v>322</v>
      </c>
      <c r="AR24" s="167">
        <v>43.800190000000001</v>
      </c>
      <c r="AV24" s="168" t="s">
        <v>319</v>
      </c>
      <c r="AW24" s="168" t="s">
        <v>320</v>
      </c>
      <c r="AX24" s="168" t="s">
        <v>340</v>
      </c>
      <c r="AY24" s="169" t="s">
        <v>323</v>
      </c>
      <c r="AZ24" s="162">
        <f t="shared" si="19"/>
        <v>31.950920245398773</v>
      </c>
      <c r="BA24" s="168" t="s">
        <v>322</v>
      </c>
      <c r="BC24" s="81" t="s">
        <v>402</v>
      </c>
      <c r="BD24" s="167">
        <v>-15.6</v>
      </c>
      <c r="BE24" s="167">
        <v>83.5</v>
      </c>
      <c r="BF24" s="81">
        <v>-0.19</v>
      </c>
      <c r="BG24" s="81">
        <v>0.85</v>
      </c>
      <c r="BH24" s="81"/>
      <c r="BJ24" s="175" t="s">
        <v>319</v>
      </c>
      <c r="BK24" s="175" t="s">
        <v>320</v>
      </c>
      <c r="BL24" s="175" t="s">
        <v>340</v>
      </c>
      <c r="BM24" s="175" t="s">
        <v>323</v>
      </c>
      <c r="BN24" s="181">
        <f>BD44</f>
        <v>81.900000000000006</v>
      </c>
      <c r="BO24" s="175" t="s">
        <v>322</v>
      </c>
      <c r="BQ24" s="81" t="s">
        <v>402</v>
      </c>
      <c r="BR24" s="167">
        <v>-23.8</v>
      </c>
      <c r="BS24" s="167">
        <v>9</v>
      </c>
      <c r="BT24" s="81">
        <v>-2.65</v>
      </c>
      <c r="BU24" s="81">
        <v>8.0999999999999996E-3</v>
      </c>
      <c r="BV24" s="81" t="s">
        <v>425</v>
      </c>
      <c r="BW24" s="81"/>
      <c r="BY24" s="178" t="s">
        <v>319</v>
      </c>
      <c r="BZ24" s="178" t="s">
        <v>320</v>
      </c>
      <c r="CA24" s="178" t="s">
        <v>338</v>
      </c>
      <c r="CB24" s="178" t="s">
        <v>323</v>
      </c>
      <c r="CC24" s="180">
        <f t="shared" si="20"/>
        <v>272</v>
      </c>
      <c r="CD24" s="178" t="s">
        <v>322</v>
      </c>
      <c r="CE24" s="167">
        <f t="shared" si="21"/>
        <v>18.2</v>
      </c>
      <c r="CK24" s="255"/>
      <c r="CL24" s="255"/>
      <c r="CM24" s="255"/>
      <c r="CP24" s="258" t="s">
        <v>442</v>
      </c>
      <c r="CQ24" s="258" t="s">
        <v>453</v>
      </c>
      <c r="CR24" s="259">
        <v>0.27900000000000003</v>
      </c>
      <c r="CS24" s="259">
        <v>7.2899999999999996E-3</v>
      </c>
      <c r="CT24" s="258">
        <v>38.340000000000003</v>
      </c>
      <c r="CU24" s="258" t="s">
        <v>422</v>
      </c>
      <c r="CV24" s="167">
        <v>2E-16</v>
      </c>
      <c r="CW24" s="81" t="s">
        <v>389</v>
      </c>
      <c r="CX24" s="260" t="s">
        <v>467</v>
      </c>
      <c r="CY24" s="261" t="s">
        <v>487</v>
      </c>
      <c r="CZ24" s="261" t="s">
        <v>323</v>
      </c>
      <c r="DA24" s="262">
        <f t="shared" si="8"/>
        <v>0.14799999999999999</v>
      </c>
      <c r="DB24" s="260" t="s">
        <v>322</v>
      </c>
      <c r="DD24" s="170" t="s">
        <v>467</v>
      </c>
      <c r="DE24" s="291" t="s">
        <v>487</v>
      </c>
      <c r="DF24" s="291" t="s">
        <v>323</v>
      </c>
      <c r="DG24" s="170">
        <f>$O13*$Z37*$AP42</f>
        <v>0.41042678430405677</v>
      </c>
      <c r="DH24" s="170" t="s">
        <v>322</v>
      </c>
      <c r="DJ24" s="299" t="s">
        <v>442</v>
      </c>
      <c r="DK24" s="299" t="s">
        <v>453</v>
      </c>
      <c r="DL24" s="303">
        <v>0.311</v>
      </c>
      <c r="DM24" s="303">
        <v>1.6299999999999999E-2</v>
      </c>
      <c r="DN24" s="299">
        <v>19.09</v>
      </c>
      <c r="DO24" s="299" t="s">
        <v>422</v>
      </c>
      <c r="DP24" s="303">
        <v>2E-16</v>
      </c>
      <c r="DQ24" s="299" t="s">
        <v>389</v>
      </c>
      <c r="DR24" s="300" t="s">
        <v>467</v>
      </c>
      <c r="DS24" s="301" t="s">
        <v>487</v>
      </c>
      <c r="DT24" s="301" t="s">
        <v>323</v>
      </c>
      <c r="DU24" s="302">
        <f t="shared" si="1"/>
        <v>0.21199999999999999</v>
      </c>
      <c r="DV24" s="300" t="s">
        <v>322</v>
      </c>
    </row>
    <row r="25" spans="1:126" ht="15" customHeight="1" thickTop="1" thickBot="1" x14ac:dyDescent="0.3">
      <c r="A25" s="205"/>
      <c r="B25" s="187"/>
      <c r="C25" s="187"/>
      <c r="D25" s="188"/>
      <c r="E25" s="189"/>
      <c r="F25" s="189"/>
      <c r="G25" s="189"/>
      <c r="H25" s="190"/>
      <c r="I25" s="189"/>
      <c r="K25" t="s">
        <v>96</v>
      </c>
      <c r="L25" s="218">
        <v>0</v>
      </c>
      <c r="M25" s="219">
        <v>2</v>
      </c>
      <c r="N25" s="219" t="s">
        <v>20</v>
      </c>
      <c r="O25" s="220">
        <f>'Tabula data'!B7</f>
        <v>78.599999999999994</v>
      </c>
      <c r="P25" s="221" t="s">
        <v>97</v>
      </c>
      <c r="Q25" s="30">
        <f t="shared" si="3"/>
        <v>0.84975369458128069</v>
      </c>
      <c r="R25" s="30">
        <f t="shared" si="4"/>
        <v>66.790640394088655</v>
      </c>
      <c r="S25" s="30">
        <f t="shared" si="12"/>
        <v>4304764.8</v>
      </c>
      <c r="T25" s="30">
        <f t="shared" si="13"/>
        <v>54768</v>
      </c>
      <c r="U25" s="30">
        <f t="shared" si="14"/>
        <v>1287468</v>
      </c>
      <c r="V25" s="31"/>
      <c r="W25" s="3"/>
      <c r="X25" s="205"/>
      <c r="Y25" s="187" t="s">
        <v>90</v>
      </c>
      <c r="Z25" s="187">
        <v>0.02</v>
      </c>
      <c r="AA25" s="187">
        <v>0.6</v>
      </c>
      <c r="AB25" s="187">
        <v>975</v>
      </c>
      <c r="AC25" s="187">
        <v>840</v>
      </c>
      <c r="AD25" s="237">
        <f>Z25/AA25</f>
        <v>3.3333333333333333E-2</v>
      </c>
      <c r="AE25" s="210">
        <f>Z25*AB25*AC25</f>
        <v>16380</v>
      </c>
      <c r="AF25" s="14"/>
      <c r="AG25" s="14"/>
      <c r="AH25" s="14"/>
      <c r="AQ25" s="81" t="s">
        <v>322</v>
      </c>
      <c r="AV25" s="168"/>
      <c r="AW25" s="168"/>
      <c r="AX25" s="168"/>
      <c r="AY25" s="169"/>
      <c r="BA25" s="168"/>
      <c r="BC25" s="81" t="s">
        <v>403</v>
      </c>
      <c r="BD25" s="167">
        <v>-11.3</v>
      </c>
      <c r="BE25" s="167">
        <v>53</v>
      </c>
      <c r="BF25" s="81">
        <v>-0.21</v>
      </c>
      <c r="BG25" s="81">
        <v>0.83</v>
      </c>
      <c r="BH25" s="81"/>
      <c r="BJ25" s="175"/>
      <c r="BK25" s="175"/>
      <c r="BL25" s="175"/>
      <c r="BM25" s="175"/>
      <c r="BN25" s="174"/>
      <c r="BO25" s="175"/>
      <c r="BQ25" s="81" t="s">
        <v>403</v>
      </c>
      <c r="BR25" s="167">
        <v>-16.399999999999999</v>
      </c>
      <c r="BS25" s="167">
        <v>1.69</v>
      </c>
      <c r="BT25" s="81">
        <v>-9.69</v>
      </c>
      <c r="BU25" s="81" t="s">
        <v>422</v>
      </c>
      <c r="BV25" s="167">
        <v>2E-16</v>
      </c>
      <c r="BW25" s="81" t="s">
        <v>389</v>
      </c>
      <c r="BY25" s="178" t="s">
        <v>319</v>
      </c>
      <c r="BZ25" s="178" t="s">
        <v>320</v>
      </c>
      <c r="CA25" s="178" t="s">
        <v>339</v>
      </c>
      <c r="CB25" s="178" t="s">
        <v>323</v>
      </c>
      <c r="CC25" s="180">
        <f>1/BR41</f>
        <v>326.79738562091507</v>
      </c>
      <c r="CD25" s="178" t="s">
        <v>322</v>
      </c>
      <c r="CE25" s="167">
        <f>CC25/50</f>
        <v>6.5359477124183014</v>
      </c>
      <c r="CJ25" s="81" t="s">
        <v>341</v>
      </c>
      <c r="CK25" s="254">
        <f>AZ26</f>
        <v>0.19933779953344727</v>
      </c>
      <c r="CL25" s="254">
        <f>BN26</f>
        <v>0.44900000000000001</v>
      </c>
      <c r="CM25" s="254">
        <f>CC28</f>
        <v>0.46800000000000003</v>
      </c>
      <c r="CP25" s="258" t="s">
        <v>442</v>
      </c>
      <c r="CQ25" s="258" t="s">
        <v>454</v>
      </c>
      <c r="CR25" s="259">
        <v>0.33900000000000002</v>
      </c>
      <c r="CS25" s="259">
        <v>1.83E-2</v>
      </c>
      <c r="CT25" s="258">
        <v>18.579999999999998</v>
      </c>
      <c r="CU25" s="258" t="s">
        <v>422</v>
      </c>
      <c r="CV25" s="167">
        <v>2E-16</v>
      </c>
      <c r="CW25" s="81" t="s">
        <v>389</v>
      </c>
      <c r="CZ25" s="261"/>
      <c r="DF25" s="291"/>
      <c r="DJ25" s="299" t="s">
        <v>442</v>
      </c>
      <c r="DK25" s="299" t="s">
        <v>454</v>
      </c>
      <c r="DL25" s="303">
        <v>0.26900000000000002</v>
      </c>
      <c r="DM25" s="303">
        <v>3.44E-2</v>
      </c>
      <c r="DN25" s="299">
        <v>7.83</v>
      </c>
      <c r="DO25" s="303">
        <v>5.8000000000000004E-15</v>
      </c>
      <c r="DP25" s="303" t="s">
        <v>389</v>
      </c>
      <c r="DT25" s="301"/>
    </row>
    <row r="26" spans="1:126" ht="15" customHeight="1" thickTop="1" thickBot="1" x14ac:dyDescent="0.3">
      <c r="A26" s="191" t="s">
        <v>100</v>
      </c>
      <c r="B26" s="209">
        <f>'Tabula data'!B6</f>
        <v>256.89999999999998</v>
      </c>
      <c r="C26" s="203" t="s">
        <v>9</v>
      </c>
      <c r="D26" s="188"/>
      <c r="E26" s="189"/>
      <c r="F26" s="189"/>
      <c r="G26" s="189"/>
      <c r="H26" s="190"/>
      <c r="I26" s="189"/>
      <c r="K26" t="s">
        <v>98</v>
      </c>
      <c r="L26" s="218">
        <v>1</v>
      </c>
      <c r="M26" s="219">
        <v>2</v>
      </c>
      <c r="N26" s="219" t="s">
        <v>99</v>
      </c>
      <c r="O26" s="220">
        <f>O14</f>
        <v>62</v>
      </c>
      <c r="P26" s="221"/>
      <c r="Q26" s="30">
        <f t="shared" si="3"/>
        <v>1.4911242603550294</v>
      </c>
      <c r="R26" s="30">
        <f t="shared" si="4"/>
        <v>92.449704142011825</v>
      </c>
      <c r="S26" s="30">
        <f t="shared" si="12"/>
        <v>28355700</v>
      </c>
      <c r="T26" s="30">
        <f t="shared" si="13"/>
        <v>457350</v>
      </c>
      <c r="U26" s="30">
        <f t="shared" si="14"/>
        <v>28355700</v>
      </c>
      <c r="V26" s="31"/>
      <c r="W26" s="3"/>
      <c r="X26" s="226"/>
      <c r="Y26" s="226"/>
      <c r="Z26" s="226"/>
      <c r="AA26" s="226"/>
      <c r="AB26" s="226"/>
      <c r="AC26" s="226"/>
      <c r="AD26" s="226"/>
      <c r="AE26" s="226"/>
      <c r="AF26" s="14"/>
      <c r="AG26" s="14"/>
      <c r="AH26" s="14"/>
      <c r="AM26" s="159" t="s">
        <v>319</v>
      </c>
      <c r="AN26" s="81" t="s">
        <v>320</v>
      </c>
      <c r="AO26" s="81" t="s">
        <v>341</v>
      </c>
      <c r="AP26" s="81">
        <f>SUM(O17:O20,O25)/SUM(O$17:O$25,2*O$28,O$26,O31,2*O29)</f>
        <v>0.19933779953344727</v>
      </c>
      <c r="AQ26" s="81" t="s">
        <v>322</v>
      </c>
      <c r="AR26" s="167">
        <v>0.44339849999999997</v>
      </c>
      <c r="AV26" s="168" t="s">
        <v>319</v>
      </c>
      <c r="AW26" s="168" t="s">
        <v>320</v>
      </c>
      <c r="AX26" s="168" t="s">
        <v>341</v>
      </c>
      <c r="AY26" s="169" t="s">
        <v>323</v>
      </c>
      <c r="AZ26" s="162">
        <f>AP26</f>
        <v>0.19933779953344727</v>
      </c>
      <c r="BA26" s="168" t="s">
        <v>322</v>
      </c>
      <c r="BC26" s="81" t="s">
        <v>404</v>
      </c>
      <c r="BD26" s="167">
        <v>-14.8</v>
      </c>
      <c r="BE26" s="167">
        <v>69.3</v>
      </c>
      <c r="BF26" s="81">
        <v>-0.21</v>
      </c>
      <c r="BG26" s="81">
        <v>0.83</v>
      </c>
      <c r="BH26" s="81"/>
      <c r="BJ26" s="175" t="s">
        <v>319</v>
      </c>
      <c r="BK26" s="175" t="s">
        <v>320</v>
      </c>
      <c r="BL26" s="175" t="s">
        <v>341</v>
      </c>
      <c r="BM26" s="175" t="s">
        <v>323</v>
      </c>
      <c r="BN26" s="174">
        <f>BD54</f>
        <v>0.44900000000000001</v>
      </c>
      <c r="BO26" s="175" t="s">
        <v>322</v>
      </c>
      <c r="BQ26" s="81" t="s">
        <v>404</v>
      </c>
      <c r="BR26" s="167">
        <v>-21.6</v>
      </c>
      <c r="BS26" s="167">
        <v>1.83E-2</v>
      </c>
      <c r="BT26" s="81">
        <v>-1183.33</v>
      </c>
      <c r="BU26" s="81" t="s">
        <v>422</v>
      </c>
      <c r="BV26" s="167">
        <v>2E-16</v>
      </c>
      <c r="BW26" s="81" t="s">
        <v>389</v>
      </c>
      <c r="BY26" s="178" t="s">
        <v>319</v>
      </c>
      <c r="BZ26" s="178" t="s">
        <v>320</v>
      </c>
      <c r="CA26" s="178" t="s">
        <v>340</v>
      </c>
      <c r="CB26" s="178" t="s">
        <v>323</v>
      </c>
      <c r="CC26" s="180">
        <f>BR44</f>
        <v>75.900000000000006</v>
      </c>
      <c r="CD26" s="178" t="s">
        <v>322</v>
      </c>
      <c r="CJ26" s="81" t="s">
        <v>342</v>
      </c>
      <c r="CK26" s="254">
        <f>AZ27</f>
        <v>0.68755712170328964</v>
      </c>
      <c r="CL26" s="254">
        <f>BN27</f>
        <v>0.111</v>
      </c>
      <c r="CM26" s="254">
        <f>CC29</f>
        <v>0.14099999999999999</v>
      </c>
      <c r="CP26" s="258" t="s">
        <v>442</v>
      </c>
      <c r="CQ26" s="258" t="s">
        <v>455</v>
      </c>
      <c r="CR26" s="259">
        <v>0.245</v>
      </c>
      <c r="CS26" s="259">
        <v>3.7499999999999999E-3</v>
      </c>
      <c r="CT26" s="258">
        <v>65.400000000000006</v>
      </c>
      <c r="CU26" s="258" t="s">
        <v>422</v>
      </c>
      <c r="CV26" s="167">
        <v>2E-16</v>
      </c>
      <c r="CW26" s="81" t="s">
        <v>389</v>
      </c>
      <c r="CY26" s="261"/>
      <c r="CZ26" s="261"/>
      <c r="DA26" s="262"/>
      <c r="DE26" s="291"/>
      <c r="DF26" s="291"/>
      <c r="DJ26" s="299" t="s">
        <v>442</v>
      </c>
      <c r="DK26" s="299" t="s">
        <v>455</v>
      </c>
      <c r="DL26" s="303">
        <v>0.255</v>
      </c>
      <c r="DM26" s="303">
        <v>7.9100000000000004E-3</v>
      </c>
      <c r="DN26" s="299">
        <v>32.270000000000003</v>
      </c>
      <c r="DO26" s="299" t="s">
        <v>422</v>
      </c>
      <c r="DP26" s="303">
        <v>2E-16</v>
      </c>
      <c r="DQ26" s="299" t="s">
        <v>389</v>
      </c>
      <c r="DS26" s="301"/>
      <c r="DT26" s="301"/>
      <c r="DU26" s="302"/>
    </row>
    <row r="27" spans="1:126" ht="15" customHeight="1" thickTop="1" thickBot="1" x14ac:dyDescent="0.3">
      <c r="A27" s="188"/>
      <c r="B27" s="208">
        <f>SUM(O6:O25)</f>
        <v>257.09999999999997</v>
      </c>
      <c r="C27" s="190" t="s">
        <v>9</v>
      </c>
      <c r="D27" s="188"/>
      <c r="E27" s="189"/>
      <c r="F27" s="189"/>
      <c r="G27" s="189"/>
      <c r="H27" s="190"/>
      <c r="I27" s="189"/>
      <c r="K27" t="s">
        <v>101</v>
      </c>
      <c r="L27" s="218">
        <v>1</v>
      </c>
      <c r="M27" s="219">
        <v>1</v>
      </c>
      <c r="N27" s="219" t="s">
        <v>85</v>
      </c>
      <c r="O27" s="220">
        <f>SUM(O6:O9)+O30/2</f>
        <v>68.065579028785521</v>
      </c>
      <c r="P27" s="221"/>
      <c r="Q27" s="30">
        <f t="shared" si="3"/>
        <v>1.7363344051446945</v>
      </c>
      <c r="R27" s="30">
        <f t="shared" si="4"/>
        <v>118.18460667377551</v>
      </c>
      <c r="S27" s="30">
        <f t="shared" si="12"/>
        <v>13436145.300282264</v>
      </c>
      <c r="T27" s="30">
        <f t="shared" si="13"/>
        <v>197400.00000000003</v>
      </c>
      <c r="U27" s="30">
        <f t="shared" si="14"/>
        <v>13436145.300282264</v>
      </c>
      <c r="V27" s="31"/>
      <c r="W27" s="3"/>
      <c r="X27" s="228" t="s">
        <v>99</v>
      </c>
      <c r="Y27" s="229"/>
      <c r="Z27" s="230" t="s">
        <v>21</v>
      </c>
      <c r="AA27" s="231">
        <f>1/(1/10+SUM(AD29:AD32)+1/6)</f>
        <v>1.4911242603550294</v>
      </c>
      <c r="AB27" s="229" t="s">
        <v>5</v>
      </c>
      <c r="AC27" s="229"/>
      <c r="AD27" s="229" t="s">
        <v>22</v>
      </c>
      <c r="AE27" s="232">
        <f>SUM(AE29:AE33)</f>
        <v>457350</v>
      </c>
      <c r="AF27" s="14" t="s">
        <v>23</v>
      </c>
      <c r="AG27" s="14">
        <f>SUM(AE29:AE32)</f>
        <v>457350</v>
      </c>
      <c r="AH27" s="14"/>
      <c r="AM27" s="159" t="s">
        <v>319</v>
      </c>
      <c r="AN27" s="81" t="s">
        <v>320</v>
      </c>
      <c r="AO27" s="81" t="s">
        <v>342</v>
      </c>
      <c r="AP27" s="81">
        <f>SUM(2*O28,2*O29,O31)/SUM(O$17:O$25,2*O$28,O$26,O31,2*O29)</f>
        <v>0.68755712170328964</v>
      </c>
      <c r="AQ27" s="81" t="s">
        <v>322</v>
      </c>
      <c r="AR27" s="167">
        <v>0.14522370000000001</v>
      </c>
      <c r="AV27" s="168" t="s">
        <v>319</v>
      </c>
      <c r="AW27" s="168" t="s">
        <v>320</v>
      </c>
      <c r="AX27" s="168" t="s">
        <v>342</v>
      </c>
      <c r="AY27" s="169" t="s">
        <v>323</v>
      </c>
      <c r="AZ27" s="162">
        <f t="shared" ref="AZ27:AZ28" si="22">AP27</f>
        <v>0.68755712170328964</v>
      </c>
      <c r="BA27" s="168" t="s">
        <v>322</v>
      </c>
      <c r="BC27" s="81" t="s">
        <v>405</v>
      </c>
      <c r="BD27" s="167">
        <v>0.11700000000000001</v>
      </c>
      <c r="BE27" s="167">
        <v>5.5000000000000003E-4</v>
      </c>
      <c r="BF27" s="81">
        <v>212.4</v>
      </c>
      <c r="BG27" s="81" t="s">
        <v>388</v>
      </c>
      <c r="BH27" s="81"/>
      <c r="BJ27" s="175" t="s">
        <v>319</v>
      </c>
      <c r="BK27" s="175" t="s">
        <v>320</v>
      </c>
      <c r="BL27" s="175" t="s">
        <v>342</v>
      </c>
      <c r="BM27" s="175" t="s">
        <v>323</v>
      </c>
      <c r="BN27" s="174">
        <f>BD55</f>
        <v>0.111</v>
      </c>
      <c r="BO27" s="175" t="s">
        <v>322</v>
      </c>
      <c r="BQ27" s="81" t="s">
        <v>405</v>
      </c>
      <c r="BR27" s="167">
        <v>7.0400000000000004E-2</v>
      </c>
      <c r="BS27" s="167">
        <v>1.0300000000000001E-3</v>
      </c>
      <c r="BT27" s="81">
        <v>68.37</v>
      </c>
      <c r="BU27" s="81" t="s">
        <v>422</v>
      </c>
      <c r="BV27" s="167">
        <v>2E-16</v>
      </c>
      <c r="BW27" s="81" t="s">
        <v>389</v>
      </c>
      <c r="BY27" s="178"/>
      <c r="BZ27" s="178"/>
      <c r="CA27" s="178"/>
      <c r="CB27" s="178"/>
      <c r="CC27" s="177"/>
      <c r="CD27" s="178"/>
      <c r="CJ27" s="81" t="s">
        <v>343</v>
      </c>
      <c r="CK27" s="254">
        <f>AZ28</f>
        <v>1.8596791926035174E-2</v>
      </c>
      <c r="CL27" s="254">
        <f>BN28</f>
        <v>0.255</v>
      </c>
      <c r="CM27" s="254">
        <f>CC30</f>
        <v>0.108</v>
      </c>
      <c r="CP27" s="258" t="s">
        <v>442</v>
      </c>
      <c r="CQ27" s="258" t="s">
        <v>456</v>
      </c>
      <c r="CR27" s="259">
        <v>0.27300000000000002</v>
      </c>
      <c r="CS27" s="259">
        <v>4.2300000000000003E-3</v>
      </c>
      <c r="CT27" s="258">
        <v>64.48</v>
      </c>
      <c r="CU27" s="258" t="s">
        <v>422</v>
      </c>
      <c r="CV27" s="167">
        <v>2E-16</v>
      </c>
      <c r="CW27" s="81" t="s">
        <v>389</v>
      </c>
      <c r="CX27" s="260" t="s">
        <v>467</v>
      </c>
      <c r="CY27" s="261" t="s">
        <v>330</v>
      </c>
      <c r="CZ27" s="261" t="s">
        <v>323</v>
      </c>
      <c r="DA27" s="262">
        <f>CR33</f>
        <v>5330000</v>
      </c>
      <c r="DB27" s="260" t="s">
        <v>322</v>
      </c>
      <c r="DD27" s="170" t="s">
        <v>467</v>
      </c>
      <c r="DE27" s="291" t="s">
        <v>330</v>
      </c>
      <c r="DF27" s="291" t="s">
        <v>323</v>
      </c>
      <c r="DG27" s="295">
        <f>$AP12</f>
        <v>6879520</v>
      </c>
      <c r="DH27" s="170" t="s">
        <v>322</v>
      </c>
      <c r="DJ27" s="299" t="s">
        <v>442</v>
      </c>
      <c r="DK27" s="299" t="s">
        <v>456</v>
      </c>
      <c r="DL27" s="303">
        <v>0.24299999999999999</v>
      </c>
      <c r="DM27" s="303">
        <v>6.8399999999999997E-3</v>
      </c>
      <c r="DN27" s="299">
        <v>35.549999999999997</v>
      </c>
      <c r="DO27" s="299" t="s">
        <v>422</v>
      </c>
      <c r="DP27" s="303">
        <v>2E-16</v>
      </c>
      <c r="DQ27" s="299" t="s">
        <v>389</v>
      </c>
      <c r="DR27" s="300" t="s">
        <v>467</v>
      </c>
      <c r="DS27" s="301" t="s">
        <v>330</v>
      </c>
      <c r="DT27" s="301" t="s">
        <v>323</v>
      </c>
      <c r="DU27" s="302">
        <f>DL33</f>
        <v>6110000</v>
      </c>
      <c r="DV27" s="300" t="s">
        <v>322</v>
      </c>
    </row>
    <row r="28" spans="1:126" ht="15" customHeight="1" thickTop="1" thickBot="1" x14ac:dyDescent="0.3">
      <c r="A28" s="188"/>
      <c r="B28" s="189"/>
      <c r="C28" s="190"/>
      <c r="D28" s="188"/>
      <c r="E28" s="189"/>
      <c r="F28" s="189"/>
      <c r="G28" s="189"/>
      <c r="H28" s="190"/>
      <c r="I28" s="189"/>
      <c r="K28" t="s">
        <v>102</v>
      </c>
      <c r="L28" s="218">
        <v>2</v>
      </c>
      <c r="M28" s="219">
        <v>2</v>
      </c>
      <c r="N28" s="219" t="s">
        <v>85</v>
      </c>
      <c r="O28" s="220">
        <f>SUM(O17:O20)+O31/2</f>
        <v>116.69953307677261</v>
      </c>
      <c r="P28" s="221"/>
      <c r="Q28" s="30">
        <f>VLOOKUP(N28,$X$5:$AA$391,4,0)</f>
        <v>1.7363344051446945</v>
      </c>
      <c r="R28" s="30">
        <f>Q28*O28</f>
        <v>202.62941434552158</v>
      </c>
      <c r="S28" s="30">
        <f>VLOOKUP(N28,$X$5:$AE$391,8,0)*O28</f>
        <v>23036487.829354916</v>
      </c>
      <c r="T28" s="30">
        <f>S28/O28</f>
        <v>197400.00000000003</v>
      </c>
      <c r="U28" s="30">
        <f>VLOOKUP(N28,$X$5:$AG$391,10,0)*O28</f>
        <v>23036487.829354916</v>
      </c>
      <c r="V28" s="31"/>
      <c r="X28" s="233"/>
      <c r="Y28" s="234" t="s">
        <v>27</v>
      </c>
      <c r="Z28" s="234" t="s">
        <v>28</v>
      </c>
      <c r="AA28" s="234" t="s">
        <v>29</v>
      </c>
      <c r="AB28" s="234" t="s">
        <v>30</v>
      </c>
      <c r="AC28" s="234" t="s">
        <v>31</v>
      </c>
      <c r="AD28" s="234" t="s">
        <v>32</v>
      </c>
      <c r="AE28" s="235" t="s">
        <v>33</v>
      </c>
      <c r="AF28" s="14"/>
      <c r="AG28" s="14"/>
      <c r="AH28" s="14"/>
      <c r="AM28" s="159" t="s">
        <v>319</v>
      </c>
      <c r="AN28" s="81" t="s">
        <v>320</v>
      </c>
      <c r="AO28" s="81" t="s">
        <v>343</v>
      </c>
      <c r="AP28" s="81">
        <f>SUM(O21:O24)/SUM(O$17:O$25,2*O$28,O$26,O31,2*O29)</f>
        <v>1.8596791926035174E-2</v>
      </c>
      <c r="AQ28" s="81" t="s">
        <v>322</v>
      </c>
      <c r="AR28" s="167">
        <v>0.13569049999999999</v>
      </c>
      <c r="AV28" s="168" t="s">
        <v>319</v>
      </c>
      <c r="AW28" s="168" t="s">
        <v>320</v>
      </c>
      <c r="AX28" s="168" t="s">
        <v>343</v>
      </c>
      <c r="AY28" s="169" t="s">
        <v>323</v>
      </c>
      <c r="AZ28" s="162">
        <f t="shared" si="22"/>
        <v>1.8596791926035174E-2</v>
      </c>
      <c r="BA28" s="168" t="s">
        <v>322</v>
      </c>
      <c r="BC28" s="81" t="s">
        <v>406</v>
      </c>
      <c r="BD28" s="167">
        <v>0.22500000000000001</v>
      </c>
      <c r="BE28" s="167">
        <v>9.9500000000000001E-4</v>
      </c>
      <c r="BF28" s="81">
        <v>225.89</v>
      </c>
      <c r="BG28" s="81" t="s">
        <v>388</v>
      </c>
      <c r="BH28" s="81"/>
      <c r="BJ28" s="175" t="s">
        <v>319</v>
      </c>
      <c r="BK28" s="175" t="s">
        <v>320</v>
      </c>
      <c r="BL28" s="175" t="s">
        <v>343</v>
      </c>
      <c r="BM28" s="175" t="s">
        <v>323</v>
      </c>
      <c r="BN28" s="174">
        <f>BD56</f>
        <v>0.255</v>
      </c>
      <c r="BO28" s="175" t="s">
        <v>322</v>
      </c>
      <c r="BQ28" s="81" t="s">
        <v>406</v>
      </c>
      <c r="BR28" s="167">
        <v>0.13700000000000001</v>
      </c>
      <c r="BS28" s="167">
        <v>1.8699999999999999E-3</v>
      </c>
      <c r="BT28" s="81">
        <v>73.45</v>
      </c>
      <c r="BU28" s="81" t="s">
        <v>422</v>
      </c>
      <c r="BV28" s="167">
        <v>2E-16</v>
      </c>
      <c r="BW28" s="81" t="s">
        <v>389</v>
      </c>
      <c r="BY28" s="178" t="s">
        <v>319</v>
      </c>
      <c r="BZ28" s="178" t="s">
        <v>320</v>
      </c>
      <c r="CA28" s="178" t="s">
        <v>341</v>
      </c>
      <c r="CB28" s="178" t="s">
        <v>323</v>
      </c>
      <c r="CC28" s="177">
        <f>BR53</f>
        <v>0.46800000000000003</v>
      </c>
      <c r="CD28" s="178" t="s">
        <v>322</v>
      </c>
      <c r="CK28" s="255"/>
      <c r="CL28" s="255"/>
      <c r="CM28" s="255"/>
      <c r="CP28" s="258" t="s">
        <v>442</v>
      </c>
      <c r="CQ28" s="258" t="s">
        <v>457</v>
      </c>
      <c r="CR28" s="259">
        <v>0.185</v>
      </c>
      <c r="CS28" s="259">
        <v>5.5999999999999999E-3</v>
      </c>
      <c r="CT28" s="258">
        <v>32.950000000000003</v>
      </c>
      <c r="CU28" s="258" t="s">
        <v>422</v>
      </c>
      <c r="CV28" s="167">
        <v>2E-16</v>
      </c>
      <c r="CW28" s="81" t="s">
        <v>389</v>
      </c>
      <c r="CX28" s="260" t="s">
        <v>467</v>
      </c>
      <c r="CY28" s="264" t="s">
        <v>327</v>
      </c>
      <c r="CZ28" s="261" t="s">
        <v>323</v>
      </c>
      <c r="DA28" s="262">
        <f t="shared" ref="DA28:DA30" si="23">CR34</f>
        <v>1090000</v>
      </c>
      <c r="DB28" s="260" t="s">
        <v>322</v>
      </c>
      <c r="DD28" s="170" t="s">
        <v>467</v>
      </c>
      <c r="DE28" s="293" t="s">
        <v>327</v>
      </c>
      <c r="DF28" s="291" t="s">
        <v>323</v>
      </c>
      <c r="DG28" s="295">
        <f>$AP9</f>
        <v>897190.73464052298</v>
      </c>
      <c r="DH28" s="170" t="s">
        <v>322</v>
      </c>
      <c r="DJ28" s="299" t="s">
        <v>442</v>
      </c>
      <c r="DK28" s="299" t="s">
        <v>457</v>
      </c>
      <c r="DL28" s="303">
        <v>0.27200000000000002</v>
      </c>
      <c r="DM28" s="303">
        <v>2.2499999999999999E-2</v>
      </c>
      <c r="DN28" s="299">
        <v>12.07</v>
      </c>
      <c r="DO28" s="299" t="s">
        <v>422</v>
      </c>
      <c r="DP28" s="303">
        <v>2E-16</v>
      </c>
      <c r="DQ28" s="299" t="s">
        <v>389</v>
      </c>
      <c r="DR28" s="300" t="s">
        <v>467</v>
      </c>
      <c r="DS28" s="305" t="s">
        <v>327</v>
      </c>
      <c r="DT28" s="301" t="s">
        <v>323</v>
      </c>
      <c r="DU28" s="302">
        <f>DL34</f>
        <v>453000</v>
      </c>
      <c r="DV28" s="300" t="s">
        <v>322</v>
      </c>
    </row>
    <row r="29" spans="1:126" ht="15" customHeight="1" thickTop="1" thickBot="1" x14ac:dyDescent="0.3">
      <c r="A29" s="188"/>
      <c r="B29" s="189"/>
      <c r="C29" s="190"/>
      <c r="D29" s="188"/>
      <c r="E29" s="189"/>
      <c r="F29" s="189"/>
      <c r="G29" s="189"/>
      <c r="H29" s="190"/>
      <c r="I29" s="189"/>
      <c r="L29" s="218">
        <v>2</v>
      </c>
      <c r="M29" s="219">
        <v>2</v>
      </c>
      <c r="N29" s="219" t="s">
        <v>99</v>
      </c>
      <c r="O29" s="220">
        <f>B8-B7</f>
        <v>44.300000000000011</v>
      </c>
      <c r="P29" s="221"/>
      <c r="Q29" s="30">
        <f t="shared" ref="Q29:Q31" si="24">VLOOKUP(N29,$X$5:$AA$391,4,0)</f>
        <v>1.4911242603550294</v>
      </c>
      <c r="R29" s="30">
        <f t="shared" ref="R29:R31" si="25">Q29*O29</f>
        <v>66.056804733727816</v>
      </c>
      <c r="S29" s="30">
        <f t="shared" ref="S29:S31" si="26">VLOOKUP(N29,$X$5:$AE$391,8,0)*O29</f>
        <v>20260605.000000004</v>
      </c>
      <c r="T29" s="30">
        <f t="shared" ref="T29:T31" si="27">S29/O29</f>
        <v>457349.99999999994</v>
      </c>
      <c r="U29" s="30">
        <f t="shared" ref="U29:U31" si="28">VLOOKUP(N29,$X$5:$AG$391,10,0)*O29</f>
        <v>20260605.000000004</v>
      </c>
      <c r="X29" s="239"/>
      <c r="Y29" s="240" t="s">
        <v>103</v>
      </c>
      <c r="Z29" s="240">
        <v>0.02</v>
      </c>
      <c r="AA29" s="240">
        <v>0.18</v>
      </c>
      <c r="AB29" s="240">
        <v>550</v>
      </c>
      <c r="AC29" s="240">
        <v>1880</v>
      </c>
      <c r="AD29" s="241">
        <f>Z29/AA29</f>
        <v>0.11111111111111112</v>
      </c>
      <c r="AE29" s="242">
        <f>Z29*AB29*AC29</f>
        <v>20680</v>
      </c>
      <c r="AF29" s="14" t="s">
        <v>104</v>
      </c>
      <c r="AG29" s="14"/>
      <c r="AH29" s="14"/>
      <c r="AQ29" s="81" t="s">
        <v>322</v>
      </c>
      <c r="AV29" s="168"/>
      <c r="AW29" s="168"/>
      <c r="AX29" s="168"/>
      <c r="AY29" s="169"/>
      <c r="BA29" s="168"/>
      <c r="BC29" s="81" t="s">
        <v>407</v>
      </c>
      <c r="BD29" s="167">
        <v>0.46500000000000002</v>
      </c>
      <c r="BE29" s="167">
        <v>2.8900000000000002E-3</v>
      </c>
      <c r="BF29" s="81">
        <v>161.16999999999999</v>
      </c>
      <c r="BG29" s="81" t="s">
        <v>388</v>
      </c>
      <c r="BH29" s="81"/>
      <c r="BJ29" s="175"/>
      <c r="BK29" s="175"/>
      <c r="BL29" s="175"/>
      <c r="BM29" s="175"/>
      <c r="BN29" s="174"/>
      <c r="BO29" s="175"/>
      <c r="BQ29" s="81" t="s">
        <v>407</v>
      </c>
      <c r="BR29" s="167">
        <v>0.76900000000000002</v>
      </c>
      <c r="BS29" s="167">
        <v>3.4299999999999997E-2</v>
      </c>
      <c r="BT29" s="81">
        <v>22.44</v>
      </c>
      <c r="BU29" s="81" t="s">
        <v>422</v>
      </c>
      <c r="BV29" s="167">
        <v>2E-16</v>
      </c>
      <c r="BW29" s="81" t="s">
        <v>389</v>
      </c>
      <c r="BY29" s="178" t="s">
        <v>319</v>
      </c>
      <c r="BZ29" s="178" t="s">
        <v>320</v>
      </c>
      <c r="CA29" s="178" t="s">
        <v>342</v>
      </c>
      <c r="CB29" s="178" t="s">
        <v>323</v>
      </c>
      <c r="CC29" s="177">
        <f t="shared" ref="CC29:CC30" si="29">BR54</f>
        <v>0.14099999999999999</v>
      </c>
      <c r="CD29" s="178" t="s">
        <v>322</v>
      </c>
      <c r="CJ29" s="81" t="s">
        <v>344</v>
      </c>
      <c r="CK29" s="256">
        <f t="shared" ref="CK29:CK34" si="30">AZ30</f>
        <v>1538247.9853594769</v>
      </c>
      <c r="CL29" s="256">
        <f t="shared" ref="CL29:CL34" si="31">BN30</f>
        <v>858000</v>
      </c>
      <c r="CM29" s="256">
        <f t="shared" ref="CM29:CM34" si="32">CC32</f>
        <v>752000</v>
      </c>
      <c r="CP29" s="258" t="s">
        <v>442</v>
      </c>
      <c r="CQ29" s="258" t="s">
        <v>360</v>
      </c>
      <c r="CR29" s="259">
        <v>8.5999999999999998E-26</v>
      </c>
      <c r="CS29" s="259">
        <v>6.5399999999999998E-24</v>
      </c>
      <c r="CT29" s="258">
        <v>0.01</v>
      </c>
      <c r="CU29" s="258">
        <v>0.99</v>
      </c>
      <c r="CV29" s="81"/>
      <c r="CW29" s="81"/>
      <c r="CX29" s="260" t="s">
        <v>467</v>
      </c>
      <c r="CY29" s="264" t="s">
        <v>328</v>
      </c>
      <c r="CZ29" s="261" t="s">
        <v>323</v>
      </c>
      <c r="DA29" s="262">
        <f t="shared" si="23"/>
        <v>4740000</v>
      </c>
      <c r="DB29" s="260" t="s">
        <v>322</v>
      </c>
      <c r="DD29" s="170" t="s">
        <v>467</v>
      </c>
      <c r="DE29" s="293" t="s">
        <v>328</v>
      </c>
      <c r="DF29" s="291" t="s">
        <v>323</v>
      </c>
      <c r="DG29" s="295">
        <f>$AP10</f>
        <v>5508256.8270944748</v>
      </c>
      <c r="DH29" s="170" t="s">
        <v>322</v>
      </c>
      <c r="DJ29" s="299" t="s">
        <v>442</v>
      </c>
      <c r="DK29" s="299" t="s">
        <v>360</v>
      </c>
      <c r="DL29" s="303">
        <v>0.31</v>
      </c>
      <c r="DM29" s="303">
        <v>0.05</v>
      </c>
      <c r="DN29" s="299">
        <v>6.21</v>
      </c>
      <c r="DO29" s="303">
        <v>5.4999999999999996E-10</v>
      </c>
      <c r="DP29" s="303" t="s">
        <v>389</v>
      </c>
      <c r="DR29" s="300" t="s">
        <v>467</v>
      </c>
      <c r="DS29" s="305" t="s">
        <v>328</v>
      </c>
      <c r="DT29" s="301" t="s">
        <v>323</v>
      </c>
      <c r="DU29" s="302">
        <f>DL35</f>
        <v>4230000</v>
      </c>
      <c r="DV29" s="300" t="s">
        <v>322</v>
      </c>
    </row>
    <row r="30" spans="1:126" ht="15" customHeight="1" thickTop="1" thickBot="1" x14ac:dyDescent="0.3">
      <c r="A30" s="205"/>
      <c r="B30" s="187"/>
      <c r="C30" s="210"/>
      <c r="D30" s="205"/>
      <c r="E30" s="187"/>
      <c r="F30" s="187"/>
      <c r="G30" s="187"/>
      <c r="H30" s="210"/>
      <c r="I30" s="189"/>
      <c r="L30" s="218" t="s">
        <v>511</v>
      </c>
      <c r="M30" s="219">
        <v>1</v>
      </c>
      <c r="N30" s="219" t="s">
        <v>512</v>
      </c>
      <c r="O30" s="220">
        <f>'Tabula data'!B$19*C$43</f>
        <v>75.273166376049957</v>
      </c>
      <c r="P30" s="221"/>
      <c r="Q30" s="30">
        <f t="shared" si="24"/>
        <v>1.8430034129692836</v>
      </c>
      <c r="R30" s="30">
        <f t="shared" si="25"/>
        <v>138.72870253606479</v>
      </c>
      <c r="S30" s="30">
        <f t="shared" si="26"/>
        <v>13625948.577392565</v>
      </c>
      <c r="T30" s="30">
        <f t="shared" si="27"/>
        <v>181020.00000000003</v>
      </c>
      <c r="U30" s="30">
        <f t="shared" si="28"/>
        <v>13625948.577392565</v>
      </c>
      <c r="X30" s="188"/>
      <c r="Y30" s="189" t="s">
        <v>129</v>
      </c>
      <c r="Z30" s="189">
        <v>0.08</v>
      </c>
      <c r="AA30" s="189">
        <v>0.6</v>
      </c>
      <c r="AB30" s="189">
        <v>1100</v>
      </c>
      <c r="AC30" s="189">
        <v>860</v>
      </c>
      <c r="AD30" s="236">
        <f>Z30/AA30</f>
        <v>0.13333333333333333</v>
      </c>
      <c r="AE30" s="190">
        <f>Z30*AB30*AC30</f>
        <v>75680</v>
      </c>
      <c r="AF30" s="14"/>
      <c r="AG30" s="14"/>
      <c r="AH30" s="14"/>
      <c r="AM30" s="159" t="s">
        <v>319</v>
      </c>
      <c r="AN30" s="81" t="s">
        <v>320</v>
      </c>
      <c r="AO30" s="81" t="s">
        <v>344</v>
      </c>
      <c r="AP30" s="167">
        <f>B35*1.04*1012*5</f>
        <v>1538247.9853594769</v>
      </c>
      <c r="AQ30" s="81" t="s">
        <v>322</v>
      </c>
      <c r="AR30" s="167">
        <v>1612741</v>
      </c>
      <c r="AV30" s="168" t="s">
        <v>319</v>
      </c>
      <c r="AW30" s="168" t="s">
        <v>320</v>
      </c>
      <c r="AX30" s="168" t="s">
        <v>344</v>
      </c>
      <c r="AY30" s="169" t="s">
        <v>323</v>
      </c>
      <c r="AZ30" s="162">
        <f>AP30</f>
        <v>1538247.9853594769</v>
      </c>
      <c r="BA30" s="168" t="s">
        <v>322</v>
      </c>
      <c r="BC30" s="81" t="s">
        <v>408</v>
      </c>
      <c r="BD30" s="167">
        <v>0.11</v>
      </c>
      <c r="BE30" s="167">
        <v>6.3400000000000001E-4</v>
      </c>
      <c r="BF30" s="81">
        <v>173.77</v>
      </c>
      <c r="BG30" s="81" t="s">
        <v>388</v>
      </c>
      <c r="BH30" s="81"/>
      <c r="BJ30" s="175" t="s">
        <v>319</v>
      </c>
      <c r="BK30" s="175" t="s">
        <v>320</v>
      </c>
      <c r="BL30" s="175" t="s">
        <v>344</v>
      </c>
      <c r="BM30" s="175" t="s">
        <v>323</v>
      </c>
      <c r="BN30" s="174">
        <f>BD59</f>
        <v>858000</v>
      </c>
      <c r="BO30" s="175" t="s">
        <v>322</v>
      </c>
      <c r="BQ30" s="81" t="s">
        <v>408</v>
      </c>
      <c r="BR30" s="167">
        <v>7.2499999999999995E-2</v>
      </c>
      <c r="BS30" s="167">
        <v>7.0500000000000001E-4</v>
      </c>
      <c r="BT30" s="81">
        <v>102.71</v>
      </c>
      <c r="BU30" s="81" t="s">
        <v>422</v>
      </c>
      <c r="BV30" s="167">
        <v>2E-16</v>
      </c>
      <c r="BW30" s="81" t="s">
        <v>389</v>
      </c>
      <c r="BY30" s="178" t="s">
        <v>319</v>
      </c>
      <c r="BZ30" s="178" t="s">
        <v>320</v>
      </c>
      <c r="CA30" s="178" t="s">
        <v>343</v>
      </c>
      <c r="CB30" s="178" t="s">
        <v>323</v>
      </c>
      <c r="CC30" s="177">
        <f t="shared" si="29"/>
        <v>0.108</v>
      </c>
      <c r="CD30" s="178" t="s">
        <v>322</v>
      </c>
      <c r="CJ30" s="81" t="s">
        <v>345</v>
      </c>
      <c r="CK30" s="256">
        <f t="shared" si="30"/>
        <v>10731463.172905527</v>
      </c>
      <c r="CL30" s="256">
        <f t="shared" si="31"/>
        <v>2990000</v>
      </c>
      <c r="CM30" s="256">
        <f t="shared" si="32"/>
        <v>8650000</v>
      </c>
      <c r="CP30" s="258" t="s">
        <v>442</v>
      </c>
      <c r="CQ30" s="258" t="s">
        <v>458</v>
      </c>
      <c r="CR30" s="259">
        <v>0.14699999999999999</v>
      </c>
      <c r="CS30" s="259">
        <v>2.9299999999999999E-3</v>
      </c>
      <c r="CT30" s="258">
        <v>50.22</v>
      </c>
      <c r="CU30" s="258" t="s">
        <v>422</v>
      </c>
      <c r="CV30" s="167">
        <v>2E-16</v>
      </c>
      <c r="CW30" s="81" t="s">
        <v>389</v>
      </c>
      <c r="CX30" s="260" t="s">
        <v>467</v>
      </c>
      <c r="CY30" s="264" t="s">
        <v>329</v>
      </c>
      <c r="CZ30" s="261" t="s">
        <v>323</v>
      </c>
      <c r="DA30" s="262">
        <f t="shared" si="23"/>
        <v>19200000</v>
      </c>
      <c r="DB30" s="260" t="s">
        <v>322</v>
      </c>
      <c r="DD30" s="170" t="s">
        <v>467</v>
      </c>
      <c r="DE30" s="293" t="s">
        <v>329</v>
      </c>
      <c r="DF30" s="291" t="s">
        <v>323</v>
      </c>
      <c r="DG30" s="295">
        <f>$AP11</f>
        <v>27062093.877674829</v>
      </c>
      <c r="DH30" s="170" t="s">
        <v>322</v>
      </c>
      <c r="DJ30" s="299" t="s">
        <v>442</v>
      </c>
      <c r="DK30" s="299" t="s">
        <v>458</v>
      </c>
      <c r="DL30" s="303">
        <v>0.23400000000000001</v>
      </c>
      <c r="DM30" s="303">
        <v>1.17E-2</v>
      </c>
      <c r="DN30" s="299">
        <v>20</v>
      </c>
      <c r="DO30" s="299" t="s">
        <v>422</v>
      </c>
      <c r="DP30" s="303">
        <v>2E-16</v>
      </c>
      <c r="DQ30" s="299" t="s">
        <v>389</v>
      </c>
      <c r="DR30" s="300" t="s">
        <v>467</v>
      </c>
      <c r="DS30" s="305" t="s">
        <v>329</v>
      </c>
      <c r="DT30" s="301" t="s">
        <v>323</v>
      </c>
      <c r="DU30" s="302">
        <f>DL36</f>
        <v>20700000</v>
      </c>
      <c r="DV30" s="300" t="s">
        <v>322</v>
      </c>
    </row>
    <row r="31" spans="1:126" ht="15" customHeight="1" thickTop="1" thickBot="1" x14ac:dyDescent="0.3">
      <c r="L31" s="223" t="s">
        <v>511</v>
      </c>
      <c r="M31" s="224">
        <v>2</v>
      </c>
      <c r="N31" s="224" t="s">
        <v>512</v>
      </c>
      <c r="O31" s="220">
        <f>'Tabula data'!B$19*(1-C$43)</f>
        <v>129.05705783506633</v>
      </c>
      <c r="P31" s="225"/>
      <c r="Q31" s="30">
        <f t="shared" si="24"/>
        <v>1.8430034129692836</v>
      </c>
      <c r="R31" s="30">
        <f t="shared" si="25"/>
        <v>237.85259805780146</v>
      </c>
      <c r="S31" s="30">
        <f t="shared" si="26"/>
        <v>23361908.609303713</v>
      </c>
      <c r="T31" s="30">
        <f t="shared" si="27"/>
        <v>181020.00000000003</v>
      </c>
      <c r="U31" s="30">
        <f t="shared" si="28"/>
        <v>23361908.609303713</v>
      </c>
      <c r="X31" s="188"/>
      <c r="Y31" s="189" t="s">
        <v>278</v>
      </c>
      <c r="Z31" s="189">
        <v>0.2</v>
      </c>
      <c r="AA31" s="189">
        <v>1.4</v>
      </c>
      <c r="AB31" s="189">
        <v>2100</v>
      </c>
      <c r="AC31" s="189">
        <v>840</v>
      </c>
      <c r="AD31" s="236">
        <f>Z31/AA31</f>
        <v>0.14285714285714288</v>
      </c>
      <c r="AE31" s="190">
        <f>Z31*AB31*AC31</f>
        <v>352800</v>
      </c>
      <c r="AF31" s="14"/>
      <c r="AG31" s="14"/>
      <c r="AH31" s="14"/>
      <c r="AM31" s="159" t="s">
        <v>319</v>
      </c>
      <c r="AN31" s="81" t="s">
        <v>320</v>
      </c>
      <c r="AO31" s="81" t="s">
        <v>345</v>
      </c>
      <c r="AP31" s="167">
        <f>U25+SUM(U17:U20)</f>
        <v>10731463.172905527</v>
      </c>
      <c r="AQ31" s="81" t="s">
        <v>322</v>
      </c>
      <c r="AR31" s="167">
        <v>6867267</v>
      </c>
      <c r="AV31" s="168" t="s">
        <v>319</v>
      </c>
      <c r="AW31" s="168" t="s">
        <v>320</v>
      </c>
      <c r="AX31" s="168" t="s">
        <v>345</v>
      </c>
      <c r="AY31" s="169" t="s">
        <v>323</v>
      </c>
      <c r="AZ31" s="162">
        <f t="shared" ref="AZ31:AZ35" si="33">AP31</f>
        <v>10731463.172905527</v>
      </c>
      <c r="BA31" s="168" t="s">
        <v>322</v>
      </c>
      <c r="BC31" s="81" t="s">
        <v>409</v>
      </c>
      <c r="BD31" s="167">
        <v>7.3400000000000007E-2</v>
      </c>
      <c r="BE31" s="167">
        <v>4.9700000000000005E-4</v>
      </c>
      <c r="BF31" s="81">
        <v>147.68</v>
      </c>
      <c r="BG31" s="81" t="s">
        <v>388</v>
      </c>
      <c r="BH31" s="81"/>
      <c r="BJ31" s="175" t="s">
        <v>319</v>
      </c>
      <c r="BK31" s="175" t="s">
        <v>320</v>
      </c>
      <c r="BL31" s="175" t="s">
        <v>345</v>
      </c>
      <c r="BM31" s="175" t="s">
        <v>323</v>
      </c>
      <c r="BN31" s="174">
        <f>BD60</f>
        <v>2990000</v>
      </c>
      <c r="BO31" s="175" t="s">
        <v>322</v>
      </c>
      <c r="BQ31" s="81" t="s">
        <v>409</v>
      </c>
      <c r="BR31" s="167">
        <v>4.4299999999999999E-2</v>
      </c>
      <c r="BS31" s="167">
        <v>3.0499999999999999E-4</v>
      </c>
      <c r="BT31" s="81">
        <v>145.31</v>
      </c>
      <c r="BU31" s="81" t="s">
        <v>422</v>
      </c>
      <c r="BV31" s="167">
        <v>2E-16</v>
      </c>
      <c r="BW31" s="81" t="s">
        <v>389</v>
      </c>
      <c r="BY31" s="178"/>
      <c r="BZ31" s="178"/>
      <c r="CA31" s="178"/>
      <c r="CB31" s="178"/>
      <c r="CC31" s="177"/>
      <c r="CD31" s="178"/>
      <c r="CJ31" s="81" t="s">
        <v>346</v>
      </c>
      <c r="CK31" s="256">
        <f t="shared" si="30"/>
        <v>46855746.438658625</v>
      </c>
      <c r="CL31" s="256">
        <f t="shared" si="31"/>
        <v>5280000</v>
      </c>
      <c r="CM31" s="256">
        <f t="shared" si="32"/>
        <v>17100000</v>
      </c>
      <c r="CP31" s="258" t="s">
        <v>442</v>
      </c>
      <c r="CQ31" s="258" t="s">
        <v>459</v>
      </c>
      <c r="CR31" s="259">
        <v>0.14799999999999999</v>
      </c>
      <c r="CS31" s="259">
        <v>3.0500000000000002E-3</v>
      </c>
      <c r="CT31" s="258">
        <v>48.44</v>
      </c>
      <c r="CU31" s="258" t="s">
        <v>422</v>
      </c>
      <c r="CV31" s="167">
        <v>2E-16</v>
      </c>
      <c r="CW31" s="81" t="s">
        <v>389</v>
      </c>
      <c r="CZ31" s="261"/>
      <c r="DF31" s="291"/>
      <c r="DJ31" s="299" t="s">
        <v>442</v>
      </c>
      <c r="DK31" s="299" t="s">
        <v>459</v>
      </c>
      <c r="DL31" s="303">
        <v>0.21199999999999999</v>
      </c>
      <c r="DM31" s="303">
        <v>9.4199999999999996E-3</v>
      </c>
      <c r="DN31" s="299">
        <v>22.47</v>
      </c>
      <c r="DO31" s="299" t="s">
        <v>422</v>
      </c>
      <c r="DP31" s="303">
        <v>2E-16</v>
      </c>
      <c r="DQ31" s="299" t="s">
        <v>389</v>
      </c>
      <c r="DT31" s="301"/>
    </row>
    <row r="32" spans="1:126" ht="15" customHeight="1" thickTop="1" thickBot="1" x14ac:dyDescent="0.3">
      <c r="L32" s="218"/>
      <c r="M32" s="219"/>
      <c r="N32" s="219"/>
      <c r="O32" s="220"/>
      <c r="P32" s="221"/>
      <c r="Q32"/>
      <c r="R32"/>
      <c r="X32" s="205"/>
      <c r="Y32" s="187" t="s">
        <v>80</v>
      </c>
      <c r="Z32" s="187">
        <v>0.01</v>
      </c>
      <c r="AA32" s="187">
        <v>0.6</v>
      </c>
      <c r="AB32" s="187">
        <v>975</v>
      </c>
      <c r="AC32" s="187">
        <v>840</v>
      </c>
      <c r="AD32" s="237">
        <f>Z32/AA32</f>
        <v>1.6666666666666666E-2</v>
      </c>
      <c r="AE32" s="210">
        <f>Z32*AB32*AC32</f>
        <v>8190</v>
      </c>
      <c r="AF32" s="14"/>
      <c r="AG32" s="14"/>
      <c r="AH32" s="14"/>
      <c r="AM32" s="159" t="s">
        <v>319</v>
      </c>
      <c r="AN32" s="81" t="s">
        <v>320</v>
      </c>
      <c r="AO32" s="81" t="s">
        <v>346</v>
      </c>
      <c r="AP32" s="167">
        <f>SUM(U28,U31,AG27)</f>
        <v>46855746.438658625</v>
      </c>
      <c r="AQ32" s="81" t="s">
        <v>322</v>
      </c>
      <c r="AR32" s="167">
        <v>4590824</v>
      </c>
      <c r="AV32" s="168" t="s">
        <v>319</v>
      </c>
      <c r="AW32" s="168" t="s">
        <v>320</v>
      </c>
      <c r="AX32" s="168" t="s">
        <v>346</v>
      </c>
      <c r="AY32" s="169" t="s">
        <v>323</v>
      </c>
      <c r="AZ32" s="162">
        <f t="shared" si="33"/>
        <v>46855746.438658625</v>
      </c>
      <c r="BA32" s="168" t="s">
        <v>322</v>
      </c>
      <c r="BC32" s="81" t="s">
        <v>410</v>
      </c>
      <c r="BD32" s="167">
        <v>637</v>
      </c>
      <c r="BE32" s="167">
        <v>4.58</v>
      </c>
      <c r="BF32" s="81">
        <v>139.22</v>
      </c>
      <c r="BG32" s="81" t="s">
        <v>388</v>
      </c>
      <c r="BH32" s="81"/>
      <c r="BJ32" s="175" t="s">
        <v>319</v>
      </c>
      <c r="BK32" s="175" t="s">
        <v>320</v>
      </c>
      <c r="BL32" s="175" t="s">
        <v>346</v>
      </c>
      <c r="BM32" s="175" t="s">
        <v>323</v>
      </c>
      <c r="BN32" s="174">
        <f>BD61</f>
        <v>5280000</v>
      </c>
      <c r="BO32" s="175" t="s">
        <v>322</v>
      </c>
      <c r="BQ32" s="81" t="s">
        <v>410</v>
      </c>
      <c r="BR32" s="167">
        <v>278</v>
      </c>
      <c r="BS32" s="167">
        <v>2.25</v>
      </c>
      <c r="BT32" s="81">
        <v>123.56</v>
      </c>
      <c r="BU32" s="81" t="s">
        <v>422</v>
      </c>
      <c r="BV32" s="167">
        <v>2E-16</v>
      </c>
      <c r="BW32" s="81" t="s">
        <v>389</v>
      </c>
      <c r="BY32" s="178" t="s">
        <v>319</v>
      </c>
      <c r="BZ32" s="178" t="s">
        <v>320</v>
      </c>
      <c r="CA32" s="178" t="s">
        <v>344</v>
      </c>
      <c r="CB32" s="178" t="s">
        <v>323</v>
      </c>
      <c r="CC32" s="177">
        <f>BR58</f>
        <v>752000</v>
      </c>
      <c r="CD32" s="178" t="s">
        <v>322</v>
      </c>
      <c r="CJ32" s="81" t="s">
        <v>347</v>
      </c>
      <c r="CK32" s="254">
        <f t="shared" si="30"/>
        <v>3.9867559906689456E-2</v>
      </c>
      <c r="CL32" s="254">
        <f t="shared" si="31"/>
        <v>0.38</v>
      </c>
      <c r="CM32" s="254">
        <f t="shared" si="32"/>
        <v>0.23</v>
      </c>
      <c r="CP32" s="258" t="s">
        <v>442</v>
      </c>
      <c r="CQ32" s="258" t="s">
        <v>308</v>
      </c>
      <c r="CR32" s="259">
        <v>1140000000</v>
      </c>
      <c r="CS32" s="259">
        <v>108000000</v>
      </c>
      <c r="CT32" s="258">
        <v>10.53</v>
      </c>
      <c r="CU32" s="258" t="s">
        <v>422</v>
      </c>
      <c r="CV32" s="167">
        <v>2E-16</v>
      </c>
      <c r="CW32" s="81" t="s">
        <v>389</v>
      </c>
      <c r="CX32" s="260" t="s">
        <v>467</v>
      </c>
      <c r="CY32" s="264" t="s">
        <v>335</v>
      </c>
      <c r="CZ32" s="261" t="s">
        <v>323</v>
      </c>
      <c r="DA32" s="262">
        <f>CR47</f>
        <v>60.6</v>
      </c>
      <c r="DB32" s="260" t="s">
        <v>322</v>
      </c>
      <c r="DD32" s="170" t="s">
        <v>467</v>
      </c>
      <c r="DE32" s="293" t="s">
        <v>335</v>
      </c>
      <c r="DF32" s="291" t="s">
        <v>323</v>
      </c>
      <c r="DG32" s="170">
        <f>$AP19</f>
        <v>72.867661880313506</v>
      </c>
      <c r="DH32" s="170" t="s">
        <v>322</v>
      </c>
      <c r="DJ32" s="299" t="s">
        <v>442</v>
      </c>
      <c r="DK32" s="299" t="s">
        <v>308</v>
      </c>
      <c r="DL32" s="303">
        <v>8550000000</v>
      </c>
      <c r="DM32" s="303">
        <v>3990000000</v>
      </c>
      <c r="DN32" s="299">
        <v>2.14</v>
      </c>
      <c r="DO32" s="299">
        <v>3.2230000000000002E-2</v>
      </c>
      <c r="DP32" s="303" t="s">
        <v>434</v>
      </c>
      <c r="DR32" s="300" t="s">
        <v>467</v>
      </c>
      <c r="DS32" s="305" t="s">
        <v>335</v>
      </c>
      <c r="DT32" s="301" t="s">
        <v>323</v>
      </c>
      <c r="DU32" s="302">
        <f>DL47</f>
        <v>58.1</v>
      </c>
      <c r="DV32" s="300" t="s">
        <v>322</v>
      </c>
    </row>
    <row r="33" spans="1:126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7" t="s">
        <v>112</v>
      </c>
      <c r="F33" s="317"/>
      <c r="G33" s="72" t="s">
        <v>113</v>
      </c>
      <c r="L33" s="223"/>
      <c r="M33" s="224"/>
      <c r="N33" s="224"/>
      <c r="O33" s="224"/>
      <c r="P33" s="225"/>
      <c r="Q33"/>
      <c r="R33"/>
      <c r="X33" s="189"/>
      <c r="Y33" s="189"/>
      <c r="Z33" s="189"/>
      <c r="AA33" s="189"/>
      <c r="AB33" s="189"/>
      <c r="AC33" s="189"/>
      <c r="AD33" s="236"/>
      <c r="AE33" s="189"/>
      <c r="AF33" s="14"/>
      <c r="AG33" s="14"/>
      <c r="AH33" s="14"/>
      <c r="AM33" s="159" t="s">
        <v>319</v>
      </c>
      <c r="AN33" s="81" t="s">
        <v>320</v>
      </c>
      <c r="AO33" s="81" t="s">
        <v>347</v>
      </c>
      <c r="AP33" s="81">
        <f>AP26*0.2</f>
        <v>3.9867559906689456E-2</v>
      </c>
      <c r="AQ33" s="81" t="s">
        <v>322</v>
      </c>
      <c r="AR33" s="167">
        <v>0.1616958</v>
      </c>
      <c r="AV33" s="168" t="s">
        <v>319</v>
      </c>
      <c r="AW33" s="168" t="s">
        <v>320</v>
      </c>
      <c r="AX33" s="168" t="s">
        <v>347</v>
      </c>
      <c r="AY33" s="169" t="s">
        <v>323</v>
      </c>
      <c r="AZ33" s="162">
        <f t="shared" si="33"/>
        <v>3.9867559906689456E-2</v>
      </c>
      <c r="BA33" s="168" t="s">
        <v>322</v>
      </c>
      <c r="BC33" s="81" t="s">
        <v>411</v>
      </c>
      <c r="BD33" s="167">
        <v>795</v>
      </c>
      <c r="BE33" s="167">
        <v>5.28</v>
      </c>
      <c r="BF33" s="81">
        <v>150.51</v>
      </c>
      <c r="BG33" s="81" t="s">
        <v>388</v>
      </c>
      <c r="BH33" s="81"/>
      <c r="BJ33" s="175" t="s">
        <v>319</v>
      </c>
      <c r="BK33" s="175" t="s">
        <v>320</v>
      </c>
      <c r="BL33" s="175" t="s">
        <v>347</v>
      </c>
      <c r="BM33" s="175" t="s">
        <v>323</v>
      </c>
      <c r="BN33" s="174">
        <f>BD66</f>
        <v>0.38</v>
      </c>
      <c r="BO33" s="175" t="s">
        <v>322</v>
      </c>
      <c r="BQ33" s="81" t="s">
        <v>411</v>
      </c>
      <c r="BR33" s="167">
        <v>215</v>
      </c>
      <c r="BS33" s="167">
        <v>1.54</v>
      </c>
      <c r="BT33" s="81">
        <v>139.77000000000001</v>
      </c>
      <c r="BU33" s="81" t="s">
        <v>422</v>
      </c>
      <c r="BV33" s="167">
        <v>2E-16</v>
      </c>
      <c r="BW33" s="81" t="s">
        <v>389</v>
      </c>
      <c r="BY33" s="178" t="s">
        <v>319</v>
      </c>
      <c r="BZ33" s="178" t="s">
        <v>320</v>
      </c>
      <c r="CA33" s="178" t="s">
        <v>345</v>
      </c>
      <c r="CB33" s="178" t="s">
        <v>323</v>
      </c>
      <c r="CC33" s="177">
        <f t="shared" ref="CC33:CC34" si="34">BR59</f>
        <v>8650000</v>
      </c>
      <c r="CD33" s="178" t="s">
        <v>322</v>
      </c>
      <c r="CJ33" s="81" t="s">
        <v>348</v>
      </c>
      <c r="CK33" s="254">
        <f t="shared" si="30"/>
        <v>0.13751142434065794</v>
      </c>
      <c r="CL33" s="254">
        <f t="shared" si="31"/>
        <v>7.2800000000000004E-2</v>
      </c>
      <c r="CM33" s="254">
        <f t="shared" si="32"/>
        <v>4.8599999999999997E-2</v>
      </c>
      <c r="CP33" s="258" t="s">
        <v>442</v>
      </c>
      <c r="CQ33" s="258" t="s">
        <v>304</v>
      </c>
      <c r="CR33" s="259">
        <v>5330000</v>
      </c>
      <c r="CS33" s="259">
        <v>56900</v>
      </c>
      <c r="CT33" s="258">
        <v>93.64</v>
      </c>
      <c r="CU33" s="258" t="s">
        <v>422</v>
      </c>
      <c r="CV33" s="167">
        <v>2E-16</v>
      </c>
      <c r="CW33" s="81" t="s">
        <v>389</v>
      </c>
      <c r="CX33" s="260" t="s">
        <v>467</v>
      </c>
      <c r="CY33" s="264" t="s">
        <v>336</v>
      </c>
      <c r="CZ33" s="261" t="s">
        <v>323</v>
      </c>
      <c r="DA33" s="262">
        <f t="shared" ref="DA33:DA35" si="35">CR48</f>
        <v>95.8</v>
      </c>
      <c r="DB33" s="260" t="s">
        <v>322</v>
      </c>
      <c r="DD33" s="170" t="s">
        <v>467</v>
      </c>
      <c r="DE33" s="293" t="s">
        <v>336</v>
      </c>
      <c r="DF33" s="291" t="s">
        <v>323</v>
      </c>
      <c r="DG33" s="170">
        <f>$AP20</f>
        <v>197.27272727272728</v>
      </c>
      <c r="DH33" s="170" t="s">
        <v>322</v>
      </c>
      <c r="DJ33" s="299" t="s">
        <v>442</v>
      </c>
      <c r="DK33" s="299" t="s">
        <v>304</v>
      </c>
      <c r="DL33" s="303">
        <v>6110000</v>
      </c>
      <c r="DM33" s="303">
        <v>148000</v>
      </c>
      <c r="DN33" s="299">
        <v>41.26</v>
      </c>
      <c r="DO33" s="299" t="s">
        <v>422</v>
      </c>
      <c r="DP33" s="303">
        <v>2E-16</v>
      </c>
      <c r="DQ33" s="299" t="s">
        <v>389</v>
      </c>
      <c r="DR33" s="300" t="s">
        <v>467</v>
      </c>
      <c r="DS33" s="305" t="s">
        <v>336</v>
      </c>
      <c r="DT33" s="301" t="s">
        <v>323</v>
      </c>
      <c r="DU33" s="302">
        <f>DL48</f>
        <v>96.9</v>
      </c>
      <c r="DV33" s="300" t="s">
        <v>322</v>
      </c>
    </row>
    <row r="34" spans="1:126" ht="15" customHeight="1" thickTop="1" thickBot="1" x14ac:dyDescent="0.3">
      <c r="A34" s="73">
        <v>1</v>
      </c>
      <c r="B34" s="74">
        <f>B7*'Tabula data'!B16</f>
        <v>170.49079025549614</v>
      </c>
      <c r="C34" s="73"/>
      <c r="D34" s="73" t="s">
        <v>42</v>
      </c>
      <c r="E34" s="318">
        <v>21</v>
      </c>
      <c r="F34" s="318"/>
      <c r="G34" s="76">
        <f>VLOOKUP(D34,A6:B22,2,0)</f>
        <v>62</v>
      </c>
      <c r="L34"/>
      <c r="M34"/>
      <c r="N34"/>
      <c r="Q34" s="69" t="s">
        <v>106</v>
      </c>
      <c r="R34" s="70">
        <f>SUM(R6:R25)</f>
        <v>324.17680988848747</v>
      </c>
      <c r="S34" s="69" t="s">
        <v>107</v>
      </c>
      <c r="X34" s="226"/>
      <c r="Y34" s="226"/>
      <c r="Z34" s="227" t="s">
        <v>437</v>
      </c>
      <c r="AA34" s="227">
        <v>2.8</v>
      </c>
      <c r="AB34" s="227" t="s">
        <v>5</v>
      </c>
      <c r="AC34" s="226"/>
      <c r="AD34" s="226"/>
      <c r="AE34" s="226"/>
      <c r="AF34" s="14"/>
      <c r="AG34" s="14"/>
      <c r="AH34" s="14"/>
      <c r="AM34" s="159" t="s">
        <v>319</v>
      </c>
      <c r="AN34" s="81" t="s">
        <v>320</v>
      </c>
      <c r="AO34" s="81" t="s">
        <v>348</v>
      </c>
      <c r="AP34" s="81">
        <f>AP27*0.2</f>
        <v>0.13751142434065794</v>
      </c>
      <c r="AQ34" s="81" t="s">
        <v>322</v>
      </c>
      <c r="AR34" s="81" t="s">
        <v>349</v>
      </c>
      <c r="AV34" s="168" t="s">
        <v>319</v>
      </c>
      <c r="AW34" s="168" t="s">
        <v>320</v>
      </c>
      <c r="AX34" s="168" t="s">
        <v>348</v>
      </c>
      <c r="AY34" s="169" t="s">
        <v>323</v>
      </c>
      <c r="AZ34" s="162">
        <f t="shared" si="33"/>
        <v>0.13751142434065794</v>
      </c>
      <c r="BA34" s="168" t="s">
        <v>322</v>
      </c>
      <c r="BC34" s="81" t="s">
        <v>295</v>
      </c>
      <c r="BD34" s="167">
        <v>1310</v>
      </c>
      <c r="BE34" s="167">
        <v>8.17</v>
      </c>
      <c r="BF34" s="81">
        <v>160.79</v>
      </c>
      <c r="BG34" s="81" t="s">
        <v>388</v>
      </c>
      <c r="BH34" s="81"/>
      <c r="BJ34" s="175" t="s">
        <v>319</v>
      </c>
      <c r="BK34" s="175" t="s">
        <v>320</v>
      </c>
      <c r="BL34" s="175" t="s">
        <v>348</v>
      </c>
      <c r="BM34" s="175" t="s">
        <v>323</v>
      </c>
      <c r="BN34" s="174">
        <f>BD67</f>
        <v>7.2800000000000004E-2</v>
      </c>
      <c r="BO34" s="175" t="s">
        <v>322</v>
      </c>
      <c r="BQ34" s="81" t="s">
        <v>295</v>
      </c>
      <c r="BR34" s="167">
        <v>457</v>
      </c>
      <c r="BS34" s="167">
        <v>3.7</v>
      </c>
      <c r="BT34" s="81">
        <v>123.52</v>
      </c>
      <c r="BU34" s="81" t="s">
        <v>422</v>
      </c>
      <c r="BV34" s="167">
        <v>2E-16</v>
      </c>
      <c r="BW34" s="81" t="s">
        <v>389</v>
      </c>
      <c r="BY34" s="178" t="s">
        <v>319</v>
      </c>
      <c r="BZ34" s="178" t="s">
        <v>320</v>
      </c>
      <c r="CA34" s="178" t="s">
        <v>346</v>
      </c>
      <c r="CB34" s="178" t="s">
        <v>323</v>
      </c>
      <c r="CC34" s="177">
        <f t="shared" si="34"/>
        <v>17100000</v>
      </c>
      <c r="CD34" s="178" t="s">
        <v>322</v>
      </c>
      <c r="CJ34" s="81" t="s">
        <v>350</v>
      </c>
      <c r="CK34" s="254">
        <f t="shared" si="30"/>
        <v>0.80371935838520703</v>
      </c>
      <c r="CL34" s="254">
        <f t="shared" si="31"/>
        <v>0.41799999999999998</v>
      </c>
      <c r="CM34" s="254">
        <f t="shared" si="32"/>
        <v>0.63200000000000001</v>
      </c>
      <c r="CP34" s="258" t="s">
        <v>442</v>
      </c>
      <c r="CQ34" s="258" t="s">
        <v>399</v>
      </c>
      <c r="CR34" s="259">
        <v>1090000</v>
      </c>
      <c r="CS34" s="259">
        <v>8100</v>
      </c>
      <c r="CT34" s="258">
        <v>134.66</v>
      </c>
      <c r="CU34" s="258" t="s">
        <v>422</v>
      </c>
      <c r="CV34" s="167">
        <v>2E-16</v>
      </c>
      <c r="CW34" s="81" t="s">
        <v>389</v>
      </c>
      <c r="CX34" s="260" t="s">
        <v>467</v>
      </c>
      <c r="CY34" s="265" t="s">
        <v>337</v>
      </c>
      <c r="CZ34" s="261" t="s">
        <v>323</v>
      </c>
      <c r="DA34" s="262">
        <f t="shared" si="35"/>
        <v>323</v>
      </c>
      <c r="DB34" s="260" t="s">
        <v>322</v>
      </c>
      <c r="DD34" s="170" t="s">
        <v>467</v>
      </c>
      <c r="DE34" s="294" t="s">
        <v>337</v>
      </c>
      <c r="DF34" s="291" t="s">
        <v>323</v>
      </c>
      <c r="DG34" s="170">
        <f>$AP21</f>
        <v>375.09791588361577</v>
      </c>
      <c r="DH34" s="170" t="s">
        <v>322</v>
      </c>
      <c r="DJ34" s="299" t="s">
        <v>442</v>
      </c>
      <c r="DK34" s="299" t="s">
        <v>399</v>
      </c>
      <c r="DL34" s="303">
        <v>453000</v>
      </c>
      <c r="DM34" s="303">
        <v>21900</v>
      </c>
      <c r="DN34" s="299">
        <v>20.67</v>
      </c>
      <c r="DO34" s="299" t="s">
        <v>422</v>
      </c>
      <c r="DP34" s="303">
        <v>2E-16</v>
      </c>
      <c r="DQ34" s="299" t="s">
        <v>389</v>
      </c>
      <c r="DR34" s="300" t="s">
        <v>467</v>
      </c>
      <c r="DS34" s="306" t="s">
        <v>337</v>
      </c>
      <c r="DT34" s="301" t="s">
        <v>323</v>
      </c>
      <c r="DU34" s="302">
        <f>DL49</f>
        <v>299</v>
      </c>
      <c r="DV34" s="300" t="s">
        <v>322</v>
      </c>
    </row>
    <row r="35" spans="1:126" ht="15" customHeight="1" thickTop="1" thickBot="1" x14ac:dyDescent="0.3">
      <c r="A35" s="73">
        <v>2</v>
      </c>
      <c r="B35" s="74">
        <f>B4-B34</f>
        <v>292.30920974450385</v>
      </c>
      <c r="C35" s="73"/>
      <c r="D35" s="73" t="s">
        <v>116</v>
      </c>
      <c r="E35" s="77">
        <v>16</v>
      </c>
      <c r="F35" s="77"/>
      <c r="G35" s="76">
        <f>VLOOKUP(D35,A7:B23,2,0)</f>
        <v>106.30000000000001</v>
      </c>
      <c r="L35"/>
      <c r="M35"/>
      <c r="N35"/>
      <c r="Q35" t="s">
        <v>514</v>
      </c>
      <c r="R35">
        <f>G4*Z37</f>
        <v>18.788</v>
      </c>
      <c r="X35" s="228" t="s">
        <v>115</v>
      </c>
      <c r="Y35" s="229"/>
      <c r="Z35" s="230" t="s">
        <v>21</v>
      </c>
      <c r="AA35" s="243">
        <v>3.5</v>
      </c>
      <c r="AB35" s="229" t="s">
        <v>5</v>
      </c>
      <c r="AC35" s="229"/>
      <c r="AD35" s="229" t="s">
        <v>22</v>
      </c>
      <c r="AE35" s="232">
        <f>SUM(AE36:AE37)</f>
        <v>0</v>
      </c>
      <c r="AF35" s="14" t="s">
        <v>23</v>
      </c>
      <c r="AG35" s="14">
        <f>SUM(AE37:AE38)</f>
        <v>0</v>
      </c>
      <c r="AH35" s="14"/>
      <c r="AM35" s="159" t="s">
        <v>319</v>
      </c>
      <c r="AN35" s="81" t="s">
        <v>320</v>
      </c>
      <c r="AO35" s="81" t="s">
        <v>350</v>
      </c>
      <c r="AP35" s="81">
        <f>AP28*0.2+0.8</f>
        <v>0.80371935838520703</v>
      </c>
      <c r="AQ35" s="81" t="s">
        <v>322</v>
      </c>
      <c r="AR35" s="81" t="s">
        <v>351</v>
      </c>
      <c r="AV35" s="168" t="s">
        <v>319</v>
      </c>
      <c r="AW35" s="168" t="s">
        <v>320</v>
      </c>
      <c r="AX35" s="168" t="s">
        <v>350</v>
      </c>
      <c r="AY35" s="169" t="s">
        <v>323</v>
      </c>
      <c r="AZ35" s="162">
        <f t="shared" si="33"/>
        <v>0.80371935838520703</v>
      </c>
      <c r="BA35" s="168" t="s">
        <v>322</v>
      </c>
      <c r="BC35" s="81" t="s">
        <v>120</v>
      </c>
      <c r="BD35" s="167">
        <v>253</v>
      </c>
      <c r="BE35" s="167">
        <v>0.97099999999999997</v>
      </c>
      <c r="BF35" s="81">
        <v>260.89</v>
      </c>
      <c r="BG35" s="81" t="s">
        <v>388</v>
      </c>
      <c r="BH35" s="81"/>
      <c r="BJ35" s="175" t="s">
        <v>319</v>
      </c>
      <c r="BK35" s="175" t="s">
        <v>320</v>
      </c>
      <c r="BL35" s="175" t="s">
        <v>350</v>
      </c>
      <c r="BM35" s="175" t="s">
        <v>323</v>
      </c>
      <c r="BN35" s="174">
        <f>BD68</f>
        <v>0.41799999999999998</v>
      </c>
      <c r="BO35" s="175" t="s">
        <v>322</v>
      </c>
      <c r="BQ35" s="81" t="s">
        <v>120</v>
      </c>
      <c r="BR35" s="167">
        <v>272</v>
      </c>
      <c r="BS35" s="167">
        <v>18.2</v>
      </c>
      <c r="BT35" s="81">
        <v>14.96</v>
      </c>
      <c r="BU35" s="81" t="s">
        <v>422</v>
      </c>
      <c r="BV35" s="167">
        <v>2E-16</v>
      </c>
      <c r="BW35" s="81" t="s">
        <v>389</v>
      </c>
      <c r="BY35" s="178" t="s">
        <v>319</v>
      </c>
      <c r="BZ35" s="178" t="s">
        <v>320</v>
      </c>
      <c r="CA35" s="178" t="s">
        <v>347</v>
      </c>
      <c r="CB35" s="178" t="s">
        <v>323</v>
      </c>
      <c r="CC35" s="177">
        <f>BR65</f>
        <v>0.23</v>
      </c>
      <c r="CD35" s="178" t="s">
        <v>322</v>
      </c>
      <c r="CK35" s="255"/>
      <c r="CL35" s="255"/>
      <c r="CM35" s="255"/>
      <c r="CP35" s="258" t="s">
        <v>442</v>
      </c>
      <c r="CQ35" s="258" t="s">
        <v>301</v>
      </c>
      <c r="CR35" s="259">
        <v>4740000</v>
      </c>
      <c r="CS35" s="259">
        <v>71000</v>
      </c>
      <c r="CT35" s="258">
        <v>66.8</v>
      </c>
      <c r="CU35" s="258" t="s">
        <v>422</v>
      </c>
      <c r="CV35" s="167">
        <v>2E-16</v>
      </c>
      <c r="CW35" s="81" t="s">
        <v>389</v>
      </c>
      <c r="CX35" s="260" t="s">
        <v>467</v>
      </c>
      <c r="CY35" s="265" t="s">
        <v>338</v>
      </c>
      <c r="CZ35" s="261" t="s">
        <v>323</v>
      </c>
      <c r="DA35" s="262">
        <f t="shared" si="35"/>
        <v>99.3</v>
      </c>
      <c r="DB35" s="260" t="s">
        <v>322</v>
      </c>
      <c r="DD35" s="170" t="s">
        <v>467</v>
      </c>
      <c r="DE35" s="294" t="s">
        <v>338</v>
      </c>
      <c r="DF35" s="291" t="s">
        <v>323</v>
      </c>
      <c r="DG35" s="297">
        <f>$AP22</f>
        <v>103.38504848484848</v>
      </c>
      <c r="DH35" s="170" t="s">
        <v>322</v>
      </c>
      <c r="DJ35" s="299" t="s">
        <v>442</v>
      </c>
      <c r="DK35" s="299" t="s">
        <v>301</v>
      </c>
      <c r="DL35" s="303">
        <v>4230000</v>
      </c>
      <c r="DM35" s="303">
        <v>122000</v>
      </c>
      <c r="DN35" s="299">
        <v>34.57</v>
      </c>
      <c r="DO35" s="299" t="s">
        <v>422</v>
      </c>
      <c r="DP35" s="303">
        <v>2E-16</v>
      </c>
      <c r="DQ35" s="299" t="s">
        <v>389</v>
      </c>
      <c r="DR35" s="300" t="s">
        <v>467</v>
      </c>
      <c r="DS35" s="306" t="s">
        <v>338</v>
      </c>
      <c r="DT35" s="301" t="s">
        <v>323</v>
      </c>
      <c r="DU35" s="302">
        <f>DL50</f>
        <v>88.3</v>
      </c>
      <c r="DV35" s="300" t="s">
        <v>322</v>
      </c>
    </row>
    <row r="36" spans="1:126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9" t="s">
        <v>119</v>
      </c>
      <c r="F36" s="319"/>
      <c r="G36" s="76">
        <f>B17</f>
        <v>0</v>
      </c>
      <c r="L36"/>
      <c r="M36"/>
      <c r="N36"/>
      <c r="Q36"/>
      <c r="R36"/>
      <c r="X36" s="239"/>
      <c r="Y36" s="240" t="s">
        <v>16</v>
      </c>
      <c r="Z36" s="240">
        <v>3.15</v>
      </c>
      <c r="AA36" s="240" t="s">
        <v>5</v>
      </c>
      <c r="AB36" s="240"/>
      <c r="AC36" s="240"/>
      <c r="AD36" s="240">
        <f>(AA35-(1-AD37)*Z36)/AD37</f>
        <v>4.5500000000000007</v>
      </c>
      <c r="AE36" s="244"/>
      <c r="AF36" s="14"/>
      <c r="AG36" s="14"/>
      <c r="AH36" s="14"/>
      <c r="AQ36" s="81" t="s">
        <v>322</v>
      </c>
      <c r="AV36" s="168"/>
      <c r="AW36" s="168"/>
      <c r="AX36" s="168"/>
      <c r="AY36" s="169"/>
      <c r="BA36" s="168"/>
      <c r="BC36" s="81" t="s">
        <v>412</v>
      </c>
      <c r="BD36" s="167">
        <v>-5.43</v>
      </c>
      <c r="BE36" s="167">
        <v>2.2100000000000002E-2</v>
      </c>
      <c r="BF36" s="81">
        <v>-245.28</v>
      </c>
      <c r="BG36" s="81" t="s">
        <v>388</v>
      </c>
      <c r="BH36" s="81"/>
      <c r="BJ36" s="175"/>
      <c r="BK36" s="175"/>
      <c r="BL36" s="175"/>
      <c r="BM36" s="175"/>
      <c r="BN36" s="174"/>
      <c r="BO36" s="175"/>
      <c r="BQ36" s="81" t="s">
        <v>412</v>
      </c>
      <c r="BR36" s="167">
        <v>-5.48</v>
      </c>
      <c r="BS36" s="167">
        <v>7.46E-2</v>
      </c>
      <c r="BT36" s="81">
        <v>-73.489999999999995</v>
      </c>
      <c r="BU36" s="81" t="s">
        <v>422</v>
      </c>
      <c r="BV36" s="167">
        <v>2E-16</v>
      </c>
      <c r="BW36" s="81" t="s">
        <v>389</v>
      </c>
      <c r="BY36" s="178" t="s">
        <v>319</v>
      </c>
      <c r="BZ36" s="178" t="s">
        <v>320</v>
      </c>
      <c r="CA36" s="178" t="s">
        <v>348</v>
      </c>
      <c r="CB36" s="178" t="s">
        <v>323</v>
      </c>
      <c r="CC36" s="177">
        <f t="shared" ref="CC36:CC37" si="36">BR66</f>
        <v>4.8599999999999997E-2</v>
      </c>
      <c r="CD36" s="178" t="s">
        <v>322</v>
      </c>
      <c r="CJ36" s="81" t="s">
        <v>352</v>
      </c>
      <c r="CK36" s="257">
        <f>AZ37</f>
        <v>192.78889668658022</v>
      </c>
      <c r="CL36" s="257">
        <f>BN37</f>
        <v>568</v>
      </c>
      <c r="CM36" s="257">
        <f>CC39</f>
        <v>219</v>
      </c>
      <c r="CP36" s="258" t="s">
        <v>442</v>
      </c>
      <c r="CQ36" s="258" t="s">
        <v>303</v>
      </c>
      <c r="CR36" s="259">
        <v>19200000</v>
      </c>
      <c r="CS36" s="259">
        <v>188000</v>
      </c>
      <c r="CT36" s="258">
        <v>102.21</v>
      </c>
      <c r="CU36" s="258" t="s">
        <v>422</v>
      </c>
      <c r="CV36" s="167">
        <v>2E-16</v>
      </c>
      <c r="CW36" s="81" t="s">
        <v>389</v>
      </c>
      <c r="CX36" s="260" t="s">
        <v>467</v>
      </c>
      <c r="CY36" s="266" t="s">
        <v>340</v>
      </c>
      <c r="CZ36" s="261" t="s">
        <v>323</v>
      </c>
      <c r="DA36" s="262">
        <f>CR59</f>
        <v>61.5</v>
      </c>
      <c r="DB36" s="260" t="s">
        <v>322</v>
      </c>
      <c r="DD36" s="170" t="s">
        <v>467</v>
      </c>
      <c r="DE36" s="296" t="s">
        <v>340</v>
      </c>
      <c r="DF36" s="291" t="s">
        <v>323</v>
      </c>
      <c r="DG36" s="170">
        <f>$AP24</f>
        <v>31.950920245398773</v>
      </c>
      <c r="DH36" s="170" t="s">
        <v>322</v>
      </c>
      <c r="DJ36" s="299" t="s">
        <v>442</v>
      </c>
      <c r="DK36" s="299" t="s">
        <v>303</v>
      </c>
      <c r="DL36" s="303">
        <v>20700000</v>
      </c>
      <c r="DM36" s="303">
        <v>401000</v>
      </c>
      <c r="DN36" s="299">
        <v>51.5</v>
      </c>
      <c r="DO36" s="299" t="s">
        <v>422</v>
      </c>
      <c r="DP36" s="303">
        <v>2E-16</v>
      </c>
      <c r="DQ36" s="299" t="s">
        <v>389</v>
      </c>
      <c r="DR36" s="300" t="s">
        <v>467</v>
      </c>
      <c r="DS36" s="307" t="s">
        <v>340</v>
      </c>
      <c r="DT36" s="301" t="s">
        <v>323</v>
      </c>
      <c r="DU36" s="302">
        <f>DL59</f>
        <v>106</v>
      </c>
      <c r="DV36" s="300" t="s">
        <v>322</v>
      </c>
    </row>
    <row r="37" spans="1:126" ht="15" customHeight="1" thickTop="1" thickBot="1" x14ac:dyDescent="0.3">
      <c r="L37"/>
      <c r="M37"/>
      <c r="N37"/>
      <c r="Q37"/>
      <c r="R37"/>
      <c r="X37" s="205"/>
      <c r="Y37" s="187" t="s">
        <v>121</v>
      </c>
      <c r="Z37" s="187">
        <v>0.77</v>
      </c>
      <c r="AA37" s="187"/>
      <c r="AB37" s="187"/>
      <c r="AC37" s="187"/>
      <c r="AD37" s="187">
        <v>0.25</v>
      </c>
      <c r="AE37" s="210"/>
      <c r="AF37" s="149" t="s">
        <v>279</v>
      </c>
      <c r="AG37" s="14"/>
      <c r="AH37" s="14"/>
      <c r="AM37" s="159" t="s">
        <v>319</v>
      </c>
      <c r="AN37" s="81" t="s">
        <v>320</v>
      </c>
      <c r="AO37" s="81" t="s">
        <v>352</v>
      </c>
      <c r="AP37" s="81">
        <f>SUM(O17:O20)*(1/(SUM(AD18:AD19)+1/8))+O25*(1/(SUM(AD9:AD10)+1/8))</f>
        <v>192.78889668658022</v>
      </c>
      <c r="AQ37" s="81" t="s">
        <v>322</v>
      </c>
      <c r="AR37" s="81" t="s">
        <v>353</v>
      </c>
      <c r="AV37" s="168" t="s">
        <v>319</v>
      </c>
      <c r="AW37" s="168" t="s">
        <v>320</v>
      </c>
      <c r="AX37" s="168" t="s">
        <v>352</v>
      </c>
      <c r="AY37" s="169" t="s">
        <v>323</v>
      </c>
      <c r="AZ37" s="162">
        <f>AP37</f>
        <v>192.78889668658022</v>
      </c>
      <c r="BA37" s="168" t="s">
        <v>322</v>
      </c>
      <c r="BC37" s="81" t="s">
        <v>413</v>
      </c>
      <c r="BD37" s="167">
        <v>-6.85</v>
      </c>
      <c r="BE37" s="167">
        <v>1.8800000000000001E-2</v>
      </c>
      <c r="BF37" s="81">
        <v>-364.7</v>
      </c>
      <c r="BG37" s="81" t="s">
        <v>388</v>
      </c>
      <c r="BH37" s="81"/>
      <c r="BJ37" s="175" t="s">
        <v>319</v>
      </c>
      <c r="BK37" s="175" t="s">
        <v>320</v>
      </c>
      <c r="BL37" s="175" t="s">
        <v>352</v>
      </c>
      <c r="BM37" s="175" t="s">
        <v>323</v>
      </c>
      <c r="BN37" s="174">
        <f>BD70</f>
        <v>568</v>
      </c>
      <c r="BO37" s="175" t="s">
        <v>322</v>
      </c>
      <c r="BQ37" s="81" t="s">
        <v>413</v>
      </c>
      <c r="BR37" s="167">
        <v>-6.06</v>
      </c>
      <c r="BS37" s="167">
        <v>4.41E-2</v>
      </c>
      <c r="BT37" s="81">
        <v>-137.35</v>
      </c>
      <c r="BU37" s="81" t="s">
        <v>422</v>
      </c>
      <c r="BV37" s="167">
        <v>2E-16</v>
      </c>
      <c r="BW37" s="81" t="s">
        <v>389</v>
      </c>
      <c r="BY37" s="178" t="s">
        <v>319</v>
      </c>
      <c r="BZ37" s="178" t="s">
        <v>320</v>
      </c>
      <c r="CA37" s="178" t="s">
        <v>350</v>
      </c>
      <c r="CB37" s="178" t="s">
        <v>323</v>
      </c>
      <c r="CC37" s="177">
        <f t="shared" si="36"/>
        <v>0.63200000000000001</v>
      </c>
      <c r="CD37" s="178" t="s">
        <v>322</v>
      </c>
      <c r="CJ37" s="81" t="s">
        <v>354</v>
      </c>
      <c r="CK37" s="257">
        <f>AZ38</f>
        <v>775.22503621630028</v>
      </c>
      <c r="CL37" s="257">
        <f>BN38</f>
        <v>238</v>
      </c>
      <c r="CM37" s="257">
        <f>CC40</f>
        <v>85.9</v>
      </c>
      <c r="CP37" s="258" t="s">
        <v>442</v>
      </c>
      <c r="CQ37" s="258" t="s">
        <v>400</v>
      </c>
      <c r="CR37" s="259">
        <v>-7.19</v>
      </c>
      <c r="CS37" s="259">
        <v>8.09E-2</v>
      </c>
      <c r="CT37" s="258">
        <v>-88.88</v>
      </c>
      <c r="CU37" s="258" t="s">
        <v>422</v>
      </c>
      <c r="CV37" s="167">
        <v>2E-16</v>
      </c>
      <c r="CW37" s="81" t="s">
        <v>389</v>
      </c>
      <c r="CX37" s="260" t="s">
        <v>467</v>
      </c>
      <c r="CY37" s="266" t="s">
        <v>339</v>
      </c>
      <c r="CZ37" s="261" t="s">
        <v>323</v>
      </c>
      <c r="DA37" s="262">
        <f>1/CR56</f>
        <v>51.282051282051285</v>
      </c>
      <c r="DB37" s="260" t="s">
        <v>322</v>
      </c>
      <c r="DD37" s="170" t="s">
        <v>467</v>
      </c>
      <c r="DE37" s="296" t="s">
        <v>339</v>
      </c>
      <c r="DF37" s="291" t="s">
        <v>323</v>
      </c>
      <c r="DG37" s="170">
        <f>$AP23</f>
        <v>51.385997455732721</v>
      </c>
      <c r="DH37" s="170" t="s">
        <v>322</v>
      </c>
      <c r="DJ37" s="299" t="s">
        <v>442</v>
      </c>
      <c r="DK37" s="299" t="s">
        <v>400</v>
      </c>
      <c r="DL37" s="303">
        <v>-4.58</v>
      </c>
      <c r="DM37" s="303">
        <v>6.1100000000000002E-2</v>
      </c>
      <c r="DN37" s="299">
        <v>-74.959999999999994</v>
      </c>
      <c r="DO37" s="299" t="s">
        <v>422</v>
      </c>
      <c r="DP37" s="303">
        <v>2E-16</v>
      </c>
      <c r="DQ37" s="299" t="s">
        <v>389</v>
      </c>
      <c r="DR37" s="300" t="s">
        <v>467</v>
      </c>
      <c r="DS37" s="307" t="s">
        <v>339</v>
      </c>
      <c r="DT37" s="301" t="s">
        <v>323</v>
      </c>
      <c r="DU37" s="302">
        <f>1/DL56</f>
        <v>52.631578947368425</v>
      </c>
      <c r="DV37" s="300" t="s">
        <v>322</v>
      </c>
    </row>
    <row r="38" spans="1:126" ht="15" customHeight="1" thickTop="1" thickBot="1" x14ac:dyDescent="0.3">
      <c r="B38" s="3"/>
      <c r="L38"/>
      <c r="M38"/>
      <c r="N38"/>
      <c r="Q38"/>
      <c r="R38"/>
      <c r="X38" s="226"/>
      <c r="Y38" s="226"/>
      <c r="Z38" s="226"/>
      <c r="AA38" s="226"/>
      <c r="AB38" s="226"/>
      <c r="AC38" s="226"/>
      <c r="AD38" s="226"/>
      <c r="AE38" s="226"/>
      <c r="AF38" s="14"/>
      <c r="AG38" s="14"/>
      <c r="AH38" s="14"/>
      <c r="AM38" s="159" t="s">
        <v>319</v>
      </c>
      <c r="AN38" s="81" t="s">
        <v>320</v>
      </c>
      <c r="AO38" s="81" t="s">
        <v>354</v>
      </c>
      <c r="AP38" s="81">
        <f>2*AA21*O28+1*O31*AA53+2*O29*AA27</f>
        <v>775.22503621630028</v>
      </c>
      <c r="AQ38" s="81" t="s">
        <v>322</v>
      </c>
      <c r="AR38" s="167">
        <v>85.692350000000005</v>
      </c>
      <c r="AV38" s="168" t="s">
        <v>319</v>
      </c>
      <c r="AW38" s="168" t="s">
        <v>320</v>
      </c>
      <c r="AX38" s="168" t="s">
        <v>354</v>
      </c>
      <c r="AY38" s="169" t="s">
        <v>323</v>
      </c>
      <c r="AZ38" s="162">
        <f t="shared" ref="AZ38:AZ40" si="37">AP38</f>
        <v>775.22503621630028</v>
      </c>
      <c r="BA38" s="168" t="s">
        <v>322</v>
      </c>
      <c r="BC38" s="81" t="s">
        <v>414</v>
      </c>
      <c r="BD38" s="167">
        <v>-8.6300000000000008</v>
      </c>
      <c r="BE38" s="167">
        <v>5.8999999999999997E-2</v>
      </c>
      <c r="BF38" s="81">
        <v>-146.31</v>
      </c>
      <c r="BG38" s="81" t="s">
        <v>388</v>
      </c>
      <c r="BH38" s="81"/>
      <c r="BJ38" s="175" t="s">
        <v>319</v>
      </c>
      <c r="BK38" s="175" t="s">
        <v>320</v>
      </c>
      <c r="BL38" s="175" t="s">
        <v>354</v>
      </c>
      <c r="BM38" s="175" t="s">
        <v>323</v>
      </c>
      <c r="BN38" s="174">
        <f>BD71</f>
        <v>238</v>
      </c>
      <c r="BO38" s="175" t="s">
        <v>322</v>
      </c>
      <c r="BQ38" s="81" t="s">
        <v>414</v>
      </c>
      <c r="BR38" s="167">
        <v>-6.9</v>
      </c>
      <c r="BS38" s="167">
        <v>0.127</v>
      </c>
      <c r="BT38" s="81">
        <v>-54.4</v>
      </c>
      <c r="BU38" s="81" t="s">
        <v>422</v>
      </c>
      <c r="BV38" s="167">
        <v>2E-16</v>
      </c>
      <c r="BW38" s="81" t="s">
        <v>389</v>
      </c>
      <c r="BY38" s="178"/>
      <c r="BZ38" s="178"/>
      <c r="CA38" s="178"/>
      <c r="CB38" s="178"/>
      <c r="CC38" s="177"/>
      <c r="CD38" s="178"/>
      <c r="CJ38" s="81" t="s">
        <v>355</v>
      </c>
      <c r="CK38" s="257">
        <f>AZ39</f>
        <v>89.372657818181807</v>
      </c>
      <c r="CL38" s="257">
        <f>BN39</f>
        <v>58</v>
      </c>
      <c r="CM38" s="257">
        <f>CC41</f>
        <v>49.4</v>
      </c>
      <c r="CP38" s="258" t="s">
        <v>442</v>
      </c>
      <c r="CQ38" s="258" t="s">
        <v>401</v>
      </c>
      <c r="CR38" s="259">
        <v>-18.3</v>
      </c>
      <c r="CS38" s="259">
        <v>2.37</v>
      </c>
      <c r="CT38" s="258">
        <v>-7.74</v>
      </c>
      <c r="CU38" s="259">
        <v>1.1E-14</v>
      </c>
      <c r="CV38" s="81" t="s">
        <v>389</v>
      </c>
      <c r="CW38" s="81"/>
      <c r="CX38" s="260" t="s">
        <v>467</v>
      </c>
      <c r="CY38" s="263" t="s">
        <v>331</v>
      </c>
      <c r="CZ38" s="261" t="s">
        <v>323</v>
      </c>
      <c r="DA38" s="262">
        <f>CR42</f>
        <v>2.4400000000000002E-2</v>
      </c>
      <c r="DB38" s="260" t="s">
        <v>322</v>
      </c>
      <c r="DD38" s="170" t="s">
        <v>467</v>
      </c>
      <c r="DE38" s="292" t="s">
        <v>331</v>
      </c>
      <c r="DF38" s="291" t="s">
        <v>323</v>
      </c>
      <c r="DG38" s="170">
        <f>$AP14</f>
        <v>1.6098578727755948E-2</v>
      </c>
      <c r="DH38" s="170" t="s">
        <v>322</v>
      </c>
      <c r="DJ38" s="299" t="s">
        <v>442</v>
      </c>
      <c r="DK38" s="299" t="s">
        <v>401</v>
      </c>
      <c r="DL38" s="303">
        <v>-16.5</v>
      </c>
      <c r="DM38" s="303">
        <v>30.9</v>
      </c>
      <c r="DN38" s="299">
        <v>-0.53</v>
      </c>
      <c r="DO38" s="299">
        <v>0.59360999999999997</v>
      </c>
      <c r="DR38" s="300" t="s">
        <v>467</v>
      </c>
      <c r="DS38" s="304" t="s">
        <v>331</v>
      </c>
      <c r="DT38" s="301" t="s">
        <v>323</v>
      </c>
      <c r="DU38" s="302">
        <f>DL42</f>
        <v>2.75E-2</v>
      </c>
      <c r="DV38" s="300" t="s">
        <v>322</v>
      </c>
    </row>
    <row r="39" spans="1:126" ht="15" customHeight="1" thickTop="1" thickBot="1" x14ac:dyDescent="0.3">
      <c r="L39"/>
      <c r="M39"/>
      <c r="N39" t="s">
        <v>114</v>
      </c>
      <c r="O39" s="3">
        <f>SUM(R6:R9,R15,R17:R20,R25)</f>
        <v>148.59244115101257</v>
      </c>
      <c r="P39" s="3"/>
      <c r="R39"/>
      <c r="X39" s="226"/>
      <c r="Y39" s="226"/>
      <c r="Z39" s="227" t="s">
        <v>4</v>
      </c>
      <c r="AA39" s="227">
        <v>0.85</v>
      </c>
      <c r="AB39" s="227" t="s">
        <v>5</v>
      </c>
      <c r="AC39" s="226"/>
      <c r="AD39" s="226"/>
      <c r="AE39" s="226"/>
      <c r="AF39" s="14"/>
      <c r="AG39" s="14"/>
      <c r="AH39" s="14"/>
      <c r="AM39" s="159" t="s">
        <v>319</v>
      </c>
      <c r="AN39" s="81" t="s">
        <v>320</v>
      </c>
      <c r="AO39" s="81" t="s">
        <v>355</v>
      </c>
      <c r="AP39" s="153">
        <f>'Verwarming Tabula 2zone'!B139+SUM(R21:R24)</f>
        <v>89.372657818181807</v>
      </c>
      <c r="AQ39" s="81" t="s">
        <v>322</v>
      </c>
      <c r="AR39" s="81" t="s">
        <v>356</v>
      </c>
      <c r="AV39" s="168" t="s">
        <v>319</v>
      </c>
      <c r="AW39" s="168" t="s">
        <v>320</v>
      </c>
      <c r="AX39" s="168" t="s">
        <v>355</v>
      </c>
      <c r="AY39" s="169" t="s">
        <v>323</v>
      </c>
      <c r="AZ39" s="162">
        <f t="shared" si="37"/>
        <v>89.372657818181807</v>
      </c>
      <c r="BA39" s="168" t="s">
        <v>322</v>
      </c>
      <c r="BC39" s="81" t="s">
        <v>415</v>
      </c>
      <c r="BD39" s="167">
        <v>-6.14</v>
      </c>
      <c r="BE39" s="167">
        <v>2.1399999999999999E-2</v>
      </c>
      <c r="BF39" s="81">
        <v>-287.01</v>
      </c>
      <c r="BG39" s="81" t="s">
        <v>388</v>
      </c>
      <c r="BH39" s="81"/>
      <c r="BJ39" s="175" t="s">
        <v>319</v>
      </c>
      <c r="BK39" s="175" t="s">
        <v>320</v>
      </c>
      <c r="BL39" s="175" t="s">
        <v>355</v>
      </c>
      <c r="BM39" s="175" t="s">
        <v>323</v>
      </c>
      <c r="BN39" s="174">
        <f>BD72</f>
        <v>58</v>
      </c>
      <c r="BO39" s="175" t="s">
        <v>322</v>
      </c>
      <c r="BQ39" s="81" t="s">
        <v>415</v>
      </c>
      <c r="BR39" s="167">
        <v>-6.05</v>
      </c>
      <c r="BS39" s="167">
        <v>2.2700000000000001E-2</v>
      </c>
      <c r="BT39" s="81">
        <v>-266.10000000000002</v>
      </c>
      <c r="BU39" s="81" t="s">
        <v>422</v>
      </c>
      <c r="BV39" s="167">
        <v>2E-16</v>
      </c>
      <c r="BW39" s="81" t="s">
        <v>389</v>
      </c>
      <c r="BY39" s="178" t="s">
        <v>319</v>
      </c>
      <c r="BZ39" s="178" t="s">
        <v>320</v>
      </c>
      <c r="CA39" s="178" t="s">
        <v>352</v>
      </c>
      <c r="CB39" s="178" t="s">
        <v>323</v>
      </c>
      <c r="CC39" s="177">
        <f>BR69</f>
        <v>219</v>
      </c>
      <c r="CD39" s="178" t="s">
        <v>322</v>
      </c>
      <c r="CJ39" s="81" t="s">
        <v>357</v>
      </c>
      <c r="CK39" s="257">
        <f>AZ40</f>
        <v>411.94668531363186</v>
      </c>
      <c r="CL39" s="257">
        <f>BN40</f>
        <v>215.51724137931035</v>
      </c>
      <c r="CM39" s="257">
        <f>CC42</f>
        <v>350.87719298245611</v>
      </c>
      <c r="CP39" s="258" t="s">
        <v>442</v>
      </c>
      <c r="CQ39" s="258" t="s">
        <v>402</v>
      </c>
      <c r="CR39" s="259">
        <v>-15.1</v>
      </c>
      <c r="CS39" s="259">
        <v>16.5</v>
      </c>
      <c r="CT39" s="258">
        <v>-0.91</v>
      </c>
      <c r="CU39" s="258">
        <v>0.36099999999999999</v>
      </c>
      <c r="CV39" s="81"/>
      <c r="CW39" s="81"/>
      <c r="CX39" s="260" t="s">
        <v>467</v>
      </c>
      <c r="CY39" s="264" t="s">
        <v>332</v>
      </c>
      <c r="CZ39" s="261" t="s">
        <v>323</v>
      </c>
      <c r="DA39" s="262">
        <f t="shared" ref="DA39:DA42" si="38">CR43</f>
        <v>0.17699999999999999</v>
      </c>
      <c r="DB39" s="260" t="s">
        <v>322</v>
      </c>
      <c r="DD39" s="170" t="s">
        <v>467</v>
      </c>
      <c r="DE39" s="293" t="s">
        <v>332</v>
      </c>
      <c r="DF39" s="291" t="s">
        <v>323</v>
      </c>
      <c r="DG39" s="170">
        <f>$AP15</f>
        <v>0.11184428096453561</v>
      </c>
      <c r="DH39" s="170" t="s">
        <v>322</v>
      </c>
      <c r="DJ39" s="299" t="s">
        <v>442</v>
      </c>
      <c r="DK39" s="299" t="s">
        <v>402</v>
      </c>
      <c r="DL39" s="303">
        <v>-19.2</v>
      </c>
      <c r="DM39" s="303">
        <v>258</v>
      </c>
      <c r="DN39" s="299">
        <v>-7.0000000000000007E-2</v>
      </c>
      <c r="DO39" s="299">
        <v>0.94076000000000004</v>
      </c>
      <c r="DR39" s="300" t="s">
        <v>467</v>
      </c>
      <c r="DS39" s="305" t="s">
        <v>332</v>
      </c>
      <c r="DT39" s="301" t="s">
        <v>323</v>
      </c>
      <c r="DU39" s="302">
        <f>DL43</f>
        <v>0.185</v>
      </c>
      <c r="DV39" s="300" t="s">
        <v>322</v>
      </c>
    </row>
    <row r="40" spans="1:126" ht="15" customHeight="1" thickTop="1" thickBot="1" x14ac:dyDescent="0.3">
      <c r="A40" t="s">
        <v>280</v>
      </c>
      <c r="L40"/>
      <c r="M40"/>
      <c r="N40" t="s">
        <v>117</v>
      </c>
      <c r="O40" s="3">
        <f>SUM(R10:R13,R21:R24)</f>
        <v>85.4</v>
      </c>
      <c r="R40"/>
      <c r="X40" s="228" t="s">
        <v>63</v>
      </c>
      <c r="Y40" s="229"/>
      <c r="Z40" s="230" t="s">
        <v>21</v>
      </c>
      <c r="AA40" s="231">
        <f>1/(1/10+SUM(AD42:AD46))</f>
        <v>0.84168336673346678</v>
      </c>
      <c r="AB40" s="229" t="s">
        <v>5</v>
      </c>
      <c r="AC40" s="229"/>
      <c r="AD40" s="229" t="s">
        <v>22</v>
      </c>
      <c r="AE40" s="232">
        <f>SUM(AE42:AE46)</f>
        <v>376883</v>
      </c>
      <c r="AF40" s="14" t="s">
        <v>23</v>
      </c>
      <c r="AG40" s="14">
        <f>SUM(AE42:AE43)</f>
        <v>110960</v>
      </c>
      <c r="AH40" s="14"/>
      <c r="AM40" s="159" t="s">
        <v>319</v>
      </c>
      <c r="AN40" s="81" t="s">
        <v>320</v>
      </c>
      <c r="AO40" s="81" t="s">
        <v>357</v>
      </c>
      <c r="AP40" s="81">
        <f>SUM(O17:O20)*1/(SUM(AD15:AD17)+1/23)+O25*1/(SUM(AD7:AD8)+1/23)</f>
        <v>411.94668531363186</v>
      </c>
      <c r="AQ40" s="81" t="s">
        <v>322</v>
      </c>
      <c r="AR40" s="81">
        <f>1/0.01634389</f>
        <v>61.184944343115376</v>
      </c>
      <c r="AV40" s="168" t="s">
        <v>319</v>
      </c>
      <c r="AW40" s="168" t="s">
        <v>320</v>
      </c>
      <c r="AX40" s="168" t="s">
        <v>357</v>
      </c>
      <c r="AY40" s="169" t="s">
        <v>323</v>
      </c>
      <c r="AZ40" s="162">
        <f t="shared" si="37"/>
        <v>411.94668531363186</v>
      </c>
      <c r="BA40" s="168" t="s">
        <v>322</v>
      </c>
      <c r="BC40" s="81" t="s">
        <v>416</v>
      </c>
      <c r="BD40" s="167">
        <v>-7.59</v>
      </c>
      <c r="BE40" s="167">
        <v>2.3199999999999998E-2</v>
      </c>
      <c r="BF40" s="81">
        <v>-327.07</v>
      </c>
      <c r="BG40" s="81" t="s">
        <v>388</v>
      </c>
      <c r="BH40" s="81"/>
      <c r="BJ40" s="175" t="s">
        <v>319</v>
      </c>
      <c r="BK40" s="175" t="s">
        <v>320</v>
      </c>
      <c r="BL40" s="175" t="s">
        <v>357</v>
      </c>
      <c r="BM40" s="175" t="s">
        <v>323</v>
      </c>
      <c r="BN40" s="174">
        <f>1/BD77</f>
        <v>215.51724137931035</v>
      </c>
      <c r="BO40" s="175" t="s">
        <v>322</v>
      </c>
      <c r="BQ40" s="81" t="s">
        <v>416</v>
      </c>
      <c r="BR40" s="167">
        <v>-6.56</v>
      </c>
      <c r="BS40" s="167">
        <v>3.3300000000000003E-2</v>
      </c>
      <c r="BT40" s="81">
        <v>-196.87</v>
      </c>
      <c r="BU40" s="81" t="s">
        <v>422</v>
      </c>
      <c r="BV40" s="167">
        <v>2E-16</v>
      </c>
      <c r="BW40" s="81" t="s">
        <v>389</v>
      </c>
      <c r="BY40" s="178" t="s">
        <v>319</v>
      </c>
      <c r="BZ40" s="178" t="s">
        <v>320</v>
      </c>
      <c r="CA40" s="178" t="s">
        <v>354</v>
      </c>
      <c r="CB40" s="178" t="s">
        <v>323</v>
      </c>
      <c r="CC40" s="177">
        <f t="shared" ref="CC40:CC41" si="39">BR70</f>
        <v>85.9</v>
      </c>
      <c r="CD40" s="178" t="s">
        <v>322</v>
      </c>
      <c r="CK40" s="255"/>
      <c r="CL40" s="255"/>
      <c r="CM40" s="255"/>
      <c r="CP40" s="258" t="s">
        <v>442</v>
      </c>
      <c r="CQ40" s="258" t="s">
        <v>403</v>
      </c>
      <c r="CR40" s="259">
        <v>-19.7</v>
      </c>
      <c r="CS40" s="259">
        <v>10.7</v>
      </c>
      <c r="CT40" s="258">
        <v>-1.84</v>
      </c>
      <c r="CU40" s="258">
        <v>6.6000000000000003E-2</v>
      </c>
      <c r="CV40" s="81" t="s">
        <v>427</v>
      </c>
      <c r="CW40" s="81"/>
      <c r="CX40" s="260" t="s">
        <v>467</v>
      </c>
      <c r="CY40" s="264" t="s">
        <v>333</v>
      </c>
      <c r="CZ40" s="261" t="s">
        <v>323</v>
      </c>
      <c r="DA40" s="262">
        <f t="shared" si="38"/>
        <v>0.72199999999999998</v>
      </c>
      <c r="DB40" s="260" t="s">
        <v>322</v>
      </c>
      <c r="DD40" s="170" t="s">
        <v>467</v>
      </c>
      <c r="DE40" s="293" t="s">
        <v>333</v>
      </c>
      <c r="DF40" s="291" t="s">
        <v>323</v>
      </c>
      <c r="DG40" s="170">
        <f>$AP16</f>
        <v>0.80645445750186528</v>
      </c>
      <c r="DH40" s="170" t="s">
        <v>322</v>
      </c>
      <c r="DJ40" s="299" t="s">
        <v>442</v>
      </c>
      <c r="DK40" s="299" t="s">
        <v>403</v>
      </c>
      <c r="DL40" s="303">
        <v>-16.3</v>
      </c>
      <c r="DM40" s="303">
        <v>15.9</v>
      </c>
      <c r="DN40" s="299">
        <v>-1.03</v>
      </c>
      <c r="DO40" s="303">
        <v>0.30421999999999999</v>
      </c>
      <c r="DR40" s="300" t="s">
        <v>467</v>
      </c>
      <c r="DS40" s="305" t="s">
        <v>333</v>
      </c>
      <c r="DT40" s="301" t="s">
        <v>323</v>
      </c>
      <c r="DU40" s="302">
        <f>DL44</f>
        <v>0.64</v>
      </c>
      <c r="DV40" s="300" t="s">
        <v>322</v>
      </c>
    </row>
    <row r="41" spans="1:126" ht="15" customHeight="1" thickTop="1" thickBot="1" x14ac:dyDescent="0.3">
      <c r="A41" s="150" t="s">
        <v>281</v>
      </c>
      <c r="L41"/>
      <c r="M41"/>
      <c r="N41" t="s">
        <v>120</v>
      </c>
      <c r="O41" s="3">
        <f>'Verwarming Tabula'!B60</f>
        <v>138.03320000000002</v>
      </c>
      <c r="R41"/>
      <c r="X41" s="233"/>
      <c r="Y41" s="234" t="s">
        <v>27</v>
      </c>
      <c r="Z41" s="234" t="s">
        <v>28</v>
      </c>
      <c r="AA41" s="234" t="s">
        <v>29</v>
      </c>
      <c r="AB41" s="234" t="s">
        <v>30</v>
      </c>
      <c r="AC41" s="234" t="s">
        <v>31</v>
      </c>
      <c r="AD41" s="234" t="s">
        <v>32</v>
      </c>
      <c r="AE41" s="235" t="s">
        <v>33</v>
      </c>
      <c r="AF41" s="14"/>
      <c r="AG41" s="14"/>
      <c r="AH41" s="14"/>
      <c r="AQ41" s="81" t="s">
        <v>322</v>
      </c>
      <c r="AV41" s="168"/>
      <c r="AW41" s="168"/>
      <c r="AX41" s="168"/>
      <c r="AY41" s="169"/>
      <c r="BA41" s="168"/>
      <c r="BC41" s="81" t="s">
        <v>417</v>
      </c>
      <c r="BD41" s="167">
        <v>4.5999999999999999E-3</v>
      </c>
      <c r="BE41" s="167">
        <v>2.5000000000000001E-5</v>
      </c>
      <c r="BF41" s="81">
        <v>184.29</v>
      </c>
      <c r="BG41" s="81" t="s">
        <v>388</v>
      </c>
      <c r="BH41" s="81"/>
      <c r="BJ41" s="175"/>
      <c r="BK41" s="175"/>
      <c r="BL41" s="175"/>
      <c r="BM41" s="175"/>
      <c r="BN41" s="174"/>
      <c r="BO41" s="175"/>
      <c r="BQ41" s="81" t="s">
        <v>417</v>
      </c>
      <c r="BR41" s="167">
        <v>3.0599999999999998E-3</v>
      </c>
      <c r="BS41" s="167">
        <v>6.4700000000000001E-5</v>
      </c>
      <c r="BT41" s="81">
        <v>47.35</v>
      </c>
      <c r="BU41" s="81" t="s">
        <v>422</v>
      </c>
      <c r="BV41" s="167">
        <v>2E-16</v>
      </c>
      <c r="BW41" s="81" t="s">
        <v>389</v>
      </c>
      <c r="BY41" s="178" t="s">
        <v>319</v>
      </c>
      <c r="BZ41" s="178" t="s">
        <v>320</v>
      </c>
      <c r="CA41" s="178" t="s">
        <v>355</v>
      </c>
      <c r="CB41" s="178" t="s">
        <v>323</v>
      </c>
      <c r="CC41" s="177">
        <f t="shared" si="39"/>
        <v>49.4</v>
      </c>
      <c r="CD41" s="178" t="s">
        <v>322</v>
      </c>
      <c r="CJ41" s="81" t="s">
        <v>358</v>
      </c>
      <c r="CK41" s="254">
        <f t="shared" ref="CK41:CK49" si="40">AZ42</f>
        <v>0.16400670701460809</v>
      </c>
      <c r="CL41" s="254">
        <f t="shared" ref="CL41:CL49" si="41">BN42</f>
        <v>9.35E-2</v>
      </c>
      <c r="CM41" s="254">
        <f t="shared" ref="CM41:CM49" si="42">CC44</f>
        <v>0.11799999999999999</v>
      </c>
      <c r="CP41" s="258" t="s">
        <v>442</v>
      </c>
      <c r="CQ41" s="258" t="s">
        <v>404</v>
      </c>
      <c r="CR41" s="259">
        <v>-17.600000000000001</v>
      </c>
      <c r="CS41" s="259">
        <v>1.28</v>
      </c>
      <c r="CT41" s="258">
        <v>-13.71</v>
      </c>
      <c r="CU41" s="258" t="s">
        <v>422</v>
      </c>
      <c r="CV41" s="167">
        <v>2E-16</v>
      </c>
      <c r="CW41" s="81" t="s">
        <v>389</v>
      </c>
      <c r="CX41" s="260" t="s">
        <v>467</v>
      </c>
      <c r="CY41" s="261" t="s">
        <v>334</v>
      </c>
      <c r="CZ41" s="261" t="s">
        <v>323</v>
      </c>
      <c r="DA41" s="262">
        <f t="shared" si="38"/>
        <v>5.4600000000000003E-2</v>
      </c>
      <c r="DB41" s="260" t="s">
        <v>322</v>
      </c>
      <c r="DD41" s="170" t="s">
        <v>467</v>
      </c>
      <c r="DE41" s="291" t="s">
        <v>334</v>
      </c>
      <c r="DF41" s="291" t="s">
        <v>323</v>
      </c>
      <c r="DG41" s="170">
        <f>$AP17</f>
        <v>4.920201210438243E-2</v>
      </c>
      <c r="DH41" s="170" t="s">
        <v>322</v>
      </c>
      <c r="DJ41" s="299" t="s">
        <v>442</v>
      </c>
      <c r="DK41" s="299" t="s">
        <v>404</v>
      </c>
      <c r="DL41" s="303">
        <v>-18.5</v>
      </c>
      <c r="DM41" s="303">
        <v>108</v>
      </c>
      <c r="DN41" s="299">
        <v>-0.17</v>
      </c>
      <c r="DO41" s="299">
        <v>0.86321000000000003</v>
      </c>
      <c r="DR41" s="300" t="s">
        <v>467</v>
      </c>
      <c r="DS41" s="301" t="s">
        <v>334</v>
      </c>
      <c r="DT41" s="301" t="s">
        <v>323</v>
      </c>
      <c r="DU41" s="302">
        <f>DL45</f>
        <v>5.3499999999999999E-2</v>
      </c>
      <c r="DV41" s="300" t="s">
        <v>322</v>
      </c>
    </row>
    <row r="42" spans="1:126" ht="15" customHeight="1" thickTop="1" thickBot="1" x14ac:dyDescent="0.3">
      <c r="A42" t="s">
        <v>282</v>
      </c>
      <c r="C42">
        <v>1</v>
      </c>
      <c r="L42"/>
      <c r="M42"/>
      <c r="N42"/>
      <c r="O42" s="3"/>
      <c r="R42"/>
      <c r="X42" s="239"/>
      <c r="Y42" s="240" t="s">
        <v>128</v>
      </c>
      <c r="Z42" s="240">
        <v>0.02</v>
      </c>
      <c r="AA42" s="240">
        <v>1.4</v>
      </c>
      <c r="AB42" s="240">
        <v>2100</v>
      </c>
      <c r="AC42" s="240">
        <v>840</v>
      </c>
      <c r="AD42" s="241">
        <f>Z42/AA42</f>
        <v>1.4285714285714287E-2</v>
      </c>
      <c r="AE42" s="242">
        <f>Z42*AB42*AC42</f>
        <v>35280</v>
      </c>
      <c r="AF42" s="14" t="s">
        <v>104</v>
      </c>
      <c r="AG42" s="14"/>
      <c r="AH42" s="14"/>
      <c r="AM42" s="159" t="s">
        <v>319</v>
      </c>
      <c r="AN42" s="81" t="s">
        <v>320</v>
      </c>
      <c r="AO42" s="81" t="s">
        <v>358</v>
      </c>
      <c r="AP42" s="81">
        <f>SUM(O26)/(SUM($O$6:$O$14,$O$26,O30)+2*SUM($O$27))</f>
        <v>0.16400670701460809</v>
      </c>
      <c r="AQ42" s="81" t="s">
        <v>322</v>
      </c>
      <c r="AR42" s="81" t="s">
        <v>359</v>
      </c>
      <c r="AV42" s="168" t="s">
        <v>319</v>
      </c>
      <c r="AW42" s="168" t="s">
        <v>320</v>
      </c>
      <c r="AX42" s="168" t="s">
        <v>358</v>
      </c>
      <c r="AY42" s="169" t="s">
        <v>323</v>
      </c>
      <c r="AZ42" s="162">
        <f>AP42</f>
        <v>0.16400670701460809</v>
      </c>
      <c r="BA42" s="168" t="s">
        <v>322</v>
      </c>
      <c r="BC42" s="81" t="s">
        <v>418</v>
      </c>
      <c r="BD42" s="167">
        <v>393</v>
      </c>
      <c r="BE42" s="167">
        <v>4.21</v>
      </c>
      <c r="BF42" s="81">
        <v>93.48</v>
      </c>
      <c r="BG42" s="81" t="s">
        <v>388</v>
      </c>
      <c r="BH42" s="81"/>
      <c r="BJ42" s="175" t="s">
        <v>319</v>
      </c>
      <c r="BK42" s="175" t="s">
        <v>320</v>
      </c>
      <c r="BL42" s="175" t="s">
        <v>358</v>
      </c>
      <c r="BM42" s="175" t="s">
        <v>323</v>
      </c>
      <c r="BN42" s="174">
        <f>BD15</f>
        <v>9.35E-2</v>
      </c>
      <c r="BO42" s="175" t="s">
        <v>322</v>
      </c>
      <c r="BQ42" s="81" t="s">
        <v>418</v>
      </c>
      <c r="BR42" s="167">
        <v>113</v>
      </c>
      <c r="BS42" s="167">
        <v>2.08</v>
      </c>
      <c r="BT42" s="81">
        <v>54.6</v>
      </c>
      <c r="BU42" s="81" t="s">
        <v>422</v>
      </c>
      <c r="BV42" s="167">
        <v>2E-16</v>
      </c>
      <c r="BW42" s="81" t="s">
        <v>389</v>
      </c>
      <c r="BY42" s="178" t="s">
        <v>319</v>
      </c>
      <c r="BZ42" s="178" t="s">
        <v>320</v>
      </c>
      <c r="CA42" s="178" t="s">
        <v>357</v>
      </c>
      <c r="CB42" s="178" t="s">
        <v>323</v>
      </c>
      <c r="CC42" s="177">
        <f>1/BR76</f>
        <v>350.87719298245611</v>
      </c>
      <c r="CD42" s="178" t="s">
        <v>322</v>
      </c>
      <c r="CJ42" s="81" t="s">
        <v>360</v>
      </c>
      <c r="CK42" s="254">
        <f t="shared" si="40"/>
        <v>9.4508286837227937E-2</v>
      </c>
      <c r="CL42" s="254">
        <f t="shared" si="41"/>
        <v>0.19800000000000001</v>
      </c>
      <c r="CM42" s="254">
        <f t="shared" si="42"/>
        <v>0.28299999999999997</v>
      </c>
      <c r="CP42" s="258" t="s">
        <v>442</v>
      </c>
      <c r="CQ42" s="258" t="s">
        <v>405</v>
      </c>
      <c r="CR42" s="259">
        <v>2.4400000000000002E-2</v>
      </c>
      <c r="CS42" s="259">
        <v>1.6000000000000001E-4</v>
      </c>
      <c r="CT42" s="258">
        <v>152.68</v>
      </c>
      <c r="CU42" s="258" t="s">
        <v>422</v>
      </c>
      <c r="CV42" s="167">
        <v>2E-16</v>
      </c>
      <c r="CW42" s="81" t="s">
        <v>389</v>
      </c>
      <c r="CX42" s="260" t="s">
        <v>467</v>
      </c>
      <c r="CY42" s="261" t="s">
        <v>428</v>
      </c>
      <c r="CZ42" s="261" t="s">
        <v>323</v>
      </c>
      <c r="DA42" s="262">
        <f t="shared" si="38"/>
        <v>4.65E-2</v>
      </c>
      <c r="DB42" s="260" t="s">
        <v>322</v>
      </c>
      <c r="DD42" s="170" t="s">
        <v>467</v>
      </c>
      <c r="DE42" s="291" t="s">
        <v>428</v>
      </c>
      <c r="DF42" s="291" t="s">
        <v>323</v>
      </c>
      <c r="DG42" s="170">
        <f>$AP46</f>
        <v>3.2801341402921617E-2</v>
      </c>
      <c r="DH42" s="170" t="s">
        <v>322</v>
      </c>
      <c r="DJ42" s="299" t="s">
        <v>442</v>
      </c>
      <c r="DK42" s="299" t="s">
        <v>405</v>
      </c>
      <c r="DL42" s="303">
        <v>2.75E-2</v>
      </c>
      <c r="DM42" s="303">
        <v>3.9800000000000002E-4</v>
      </c>
      <c r="DN42" s="299">
        <v>69.06</v>
      </c>
      <c r="DO42" s="299" t="s">
        <v>422</v>
      </c>
      <c r="DP42" s="303">
        <v>2E-16</v>
      </c>
      <c r="DQ42" s="299" t="s">
        <v>389</v>
      </c>
      <c r="DR42" s="300" t="s">
        <v>467</v>
      </c>
      <c r="DS42" s="301" t="s">
        <v>428</v>
      </c>
      <c r="DT42" s="301" t="s">
        <v>323</v>
      </c>
      <c r="DU42" s="302">
        <f>DL46</f>
        <v>4.8000000000000001E-2</v>
      </c>
      <c r="DV42" s="300" t="s">
        <v>322</v>
      </c>
    </row>
    <row r="43" spans="1:126" ht="15" customHeight="1" thickTop="1" thickBot="1" x14ac:dyDescent="0.3">
      <c r="A43" t="s">
        <v>283</v>
      </c>
      <c r="C43">
        <f>B7/B6</f>
        <v>0.36838978015448604</v>
      </c>
      <c r="D43" t="s">
        <v>284</v>
      </c>
      <c r="L43"/>
      <c r="M43"/>
      <c r="N43" t="s">
        <v>122</v>
      </c>
      <c r="O43" s="3">
        <f>B4*1.204*1012*5/1000000</f>
        <v>2.8194886719999999</v>
      </c>
      <c r="P43" t="s">
        <v>123</v>
      </c>
      <c r="Q43"/>
      <c r="R43"/>
      <c r="X43" s="188"/>
      <c r="Y43" s="189" t="s">
        <v>129</v>
      </c>
      <c r="Z43" s="189">
        <v>0.08</v>
      </c>
      <c r="AA43" s="189">
        <v>0.6</v>
      </c>
      <c r="AB43" s="189">
        <v>1100</v>
      </c>
      <c r="AC43" s="189">
        <v>860</v>
      </c>
      <c r="AD43" s="236">
        <f>Z43/AA43</f>
        <v>0.13333333333333333</v>
      </c>
      <c r="AE43" s="190">
        <f>Z43*AB43*AC43</f>
        <v>75680</v>
      </c>
      <c r="AF43" s="14"/>
      <c r="AG43" s="14"/>
      <c r="AH43" s="14"/>
      <c r="AM43" s="159" t="s">
        <v>319</v>
      </c>
      <c r="AN43" s="81" t="s">
        <v>320</v>
      </c>
      <c r="AO43" s="81" t="s">
        <v>360</v>
      </c>
      <c r="AP43" s="81">
        <f>SUM(O26)/SUM(O$17:O$25,2*O$28,O$26,O31,2*O29)</f>
        <v>9.4508286837227937E-2</v>
      </c>
      <c r="AQ43" s="81" t="s">
        <v>322</v>
      </c>
      <c r="AR43" s="81" t="s">
        <v>361</v>
      </c>
      <c r="AV43" s="168" t="s">
        <v>319</v>
      </c>
      <c r="AW43" s="168" t="s">
        <v>320</v>
      </c>
      <c r="AX43" s="168" t="s">
        <v>360</v>
      </c>
      <c r="AY43" s="169" t="s">
        <v>323</v>
      </c>
      <c r="AZ43" s="162">
        <f t="shared" ref="AZ43:AZ50" si="43">AP43</f>
        <v>9.4508286837227937E-2</v>
      </c>
      <c r="BA43" s="168" t="s">
        <v>322</v>
      </c>
      <c r="BC43" s="81" t="s">
        <v>419</v>
      </c>
      <c r="BD43" s="167">
        <v>141</v>
      </c>
      <c r="BE43" s="167">
        <v>4.72</v>
      </c>
      <c r="BF43" s="81">
        <v>29.84</v>
      </c>
      <c r="BG43" s="81" t="s">
        <v>388</v>
      </c>
      <c r="BH43" s="81"/>
      <c r="BJ43" s="175" t="s">
        <v>319</v>
      </c>
      <c r="BK43" s="175" t="s">
        <v>320</v>
      </c>
      <c r="BL43" s="175" t="s">
        <v>360</v>
      </c>
      <c r="BM43" s="175" t="s">
        <v>323</v>
      </c>
      <c r="BN43" s="174">
        <f>BD57</f>
        <v>0.19800000000000001</v>
      </c>
      <c r="BO43" s="175" t="s">
        <v>322</v>
      </c>
      <c r="BQ43" s="81" t="s">
        <v>419</v>
      </c>
      <c r="BR43" s="167">
        <v>4990</v>
      </c>
      <c r="BS43" s="167">
        <v>2330</v>
      </c>
      <c r="BT43" s="81">
        <v>2.14</v>
      </c>
      <c r="BU43" s="81">
        <v>3.27E-2</v>
      </c>
      <c r="BV43" s="81" t="s">
        <v>434</v>
      </c>
      <c r="BW43" s="81"/>
      <c r="BY43" s="178"/>
      <c r="BZ43" s="178"/>
      <c r="CA43" s="178"/>
      <c r="CB43" s="178"/>
      <c r="CC43" s="177"/>
      <c r="CD43" s="178"/>
      <c r="CJ43" s="81" t="s">
        <v>362</v>
      </c>
      <c r="CK43" s="256">
        <f t="shared" si="40"/>
        <v>14177850</v>
      </c>
      <c r="CL43" s="256">
        <f t="shared" si="41"/>
        <v>8270000</v>
      </c>
      <c r="CM43" s="256">
        <f t="shared" si="42"/>
        <v>19200000</v>
      </c>
      <c r="CP43" s="258" t="s">
        <v>442</v>
      </c>
      <c r="CQ43" s="258" t="s">
        <v>406</v>
      </c>
      <c r="CR43" s="259">
        <v>0.17699999999999999</v>
      </c>
      <c r="CS43" s="259">
        <v>6.9200000000000002E-4</v>
      </c>
      <c r="CT43" s="258">
        <v>255.76</v>
      </c>
      <c r="CU43" s="258" t="s">
        <v>422</v>
      </c>
      <c r="CV43" s="167">
        <v>2E-16</v>
      </c>
      <c r="CW43" s="81" t="s">
        <v>389</v>
      </c>
      <c r="CZ43" s="261"/>
      <c r="DF43" s="291"/>
      <c r="DJ43" s="299" t="s">
        <v>442</v>
      </c>
      <c r="DK43" s="299" t="s">
        <v>406</v>
      </c>
      <c r="DL43" s="303">
        <v>0.185</v>
      </c>
      <c r="DM43" s="303">
        <v>1.89E-3</v>
      </c>
      <c r="DN43" s="299">
        <v>97.92</v>
      </c>
      <c r="DO43" s="299" t="s">
        <v>422</v>
      </c>
      <c r="DP43" s="303">
        <v>2E-16</v>
      </c>
      <c r="DQ43" s="299" t="s">
        <v>389</v>
      </c>
      <c r="DT43" s="301"/>
    </row>
    <row r="44" spans="1:126" ht="15" customHeight="1" thickTop="1" thickBot="1" x14ac:dyDescent="0.3">
      <c r="A44" t="s">
        <v>287</v>
      </c>
      <c r="C44">
        <v>0.7</v>
      </c>
      <c r="E44" s="79"/>
      <c r="L44"/>
      <c r="M44"/>
      <c r="N44" t="s">
        <v>124</v>
      </c>
      <c r="O44" s="3">
        <f>SUM(S6:S9,S15)/1000000</f>
        <v>17.839649093761142</v>
      </c>
      <c r="P44" t="s">
        <v>125</v>
      </c>
      <c r="Q44" s="3">
        <f>SUM(U6:U9,U15)/1000000</f>
        <v>6.7957248270944746</v>
      </c>
      <c r="R44"/>
      <c r="X44" s="188"/>
      <c r="Y44" s="189" t="s">
        <v>285</v>
      </c>
      <c r="Z44" s="189">
        <v>0.03</v>
      </c>
      <c r="AA44" s="189">
        <v>3.5999999999999997E-2</v>
      </c>
      <c r="AB44" s="189">
        <v>30</v>
      </c>
      <c r="AC44" s="189">
        <v>1470</v>
      </c>
      <c r="AD44" s="236">
        <f>Z44/AA44</f>
        <v>0.83333333333333337</v>
      </c>
      <c r="AE44" s="190">
        <f>Z44*AB44*AC44</f>
        <v>1322.9999999999998</v>
      </c>
      <c r="AF44" s="149" t="s">
        <v>286</v>
      </c>
      <c r="AG44" s="14"/>
      <c r="AH44" s="14"/>
      <c r="AM44" s="159" t="s">
        <v>319</v>
      </c>
      <c r="AN44" s="81" t="s">
        <v>320</v>
      </c>
      <c r="AO44" s="81" t="s">
        <v>362</v>
      </c>
      <c r="AP44" s="81">
        <f>U26/2</f>
        <v>14177850</v>
      </c>
      <c r="AQ44" s="81" t="s">
        <v>322</v>
      </c>
      <c r="AR44" s="81" t="s">
        <v>363</v>
      </c>
      <c r="AV44" s="168" t="s">
        <v>319</v>
      </c>
      <c r="AW44" s="168" t="s">
        <v>320</v>
      </c>
      <c r="AX44" s="168" t="s">
        <v>362</v>
      </c>
      <c r="AY44" s="169" t="s">
        <v>323</v>
      </c>
      <c r="AZ44" s="162">
        <f t="shared" si="43"/>
        <v>14177850</v>
      </c>
      <c r="BA44" s="168" t="s">
        <v>322</v>
      </c>
      <c r="BC44" s="81" t="s">
        <v>420</v>
      </c>
      <c r="BD44" s="167">
        <v>81.900000000000006</v>
      </c>
      <c r="BE44" s="167">
        <v>0.45900000000000002</v>
      </c>
      <c r="BF44" s="81">
        <v>178.48</v>
      </c>
      <c r="BG44" s="81" t="s">
        <v>388</v>
      </c>
      <c r="BH44" s="81"/>
      <c r="BJ44" s="175" t="s">
        <v>319</v>
      </c>
      <c r="BK44" s="175" t="s">
        <v>320</v>
      </c>
      <c r="BL44" s="175" t="s">
        <v>362</v>
      </c>
      <c r="BM44" s="175" t="s">
        <v>323</v>
      </c>
      <c r="BN44" s="174">
        <f>BD87</f>
        <v>8270000</v>
      </c>
      <c r="BO44" s="175" t="s">
        <v>322</v>
      </c>
      <c r="BQ44" s="81" t="s">
        <v>420</v>
      </c>
      <c r="BR44" s="167">
        <v>75.900000000000006</v>
      </c>
      <c r="BS44" s="167">
        <v>3.39</v>
      </c>
      <c r="BT44" s="81">
        <v>22.42</v>
      </c>
      <c r="BU44" s="81" t="s">
        <v>422</v>
      </c>
      <c r="BV44" s="167">
        <v>2E-16</v>
      </c>
      <c r="BW44" s="81" t="s">
        <v>389</v>
      </c>
      <c r="BY44" s="178" t="s">
        <v>319</v>
      </c>
      <c r="BZ44" s="178" t="s">
        <v>320</v>
      </c>
      <c r="CA44" s="178" t="s">
        <v>358</v>
      </c>
      <c r="CB44" s="178" t="s">
        <v>323</v>
      </c>
      <c r="CC44" s="177">
        <f>BR15</f>
        <v>0.11799999999999999</v>
      </c>
      <c r="CD44" s="178" t="s">
        <v>322</v>
      </c>
      <c r="CJ44" s="81" t="s">
        <v>364</v>
      </c>
      <c r="CK44" s="256">
        <f t="shared" si="40"/>
        <v>14177850</v>
      </c>
      <c r="CL44" s="256">
        <f t="shared" si="41"/>
        <v>25000000</v>
      </c>
      <c r="CM44" s="256">
        <f t="shared" si="42"/>
        <v>65100000</v>
      </c>
      <c r="CP44" s="258" t="s">
        <v>442</v>
      </c>
      <c r="CQ44" s="258" t="s">
        <v>407</v>
      </c>
      <c r="CR44" s="259">
        <v>0.72199999999999998</v>
      </c>
      <c r="CS44" s="259">
        <v>1.6999999999999999E-3</v>
      </c>
      <c r="CT44" s="258">
        <v>424.73</v>
      </c>
      <c r="CU44" s="258" t="s">
        <v>422</v>
      </c>
      <c r="CV44" s="167">
        <v>2E-16</v>
      </c>
      <c r="CW44" s="81" t="s">
        <v>389</v>
      </c>
      <c r="CX44" s="260" t="s">
        <v>467</v>
      </c>
      <c r="CY44" s="266" t="s">
        <v>489</v>
      </c>
      <c r="CZ44" s="261" t="s">
        <v>323</v>
      </c>
      <c r="DA44" s="262">
        <f>CR68</f>
        <v>4.7500000000000003E-9</v>
      </c>
      <c r="DB44" s="260" t="s">
        <v>322</v>
      </c>
      <c r="DD44" s="170" t="s">
        <v>467</v>
      </c>
      <c r="DE44" s="296" t="s">
        <v>489</v>
      </c>
      <c r="DF44" s="291" t="s">
        <v>323</v>
      </c>
      <c r="DG44" s="170">
        <f>$O11*$Z37*$AP26</f>
        <v>0.48349383276837637</v>
      </c>
      <c r="DH44" s="170" t="s">
        <v>322</v>
      </c>
      <c r="DJ44" s="299" t="s">
        <v>442</v>
      </c>
      <c r="DK44" s="299" t="s">
        <v>407</v>
      </c>
      <c r="DL44" s="303">
        <v>0.64</v>
      </c>
      <c r="DM44" s="303">
        <v>4.79E-3</v>
      </c>
      <c r="DN44" s="299">
        <v>133.57</v>
      </c>
      <c r="DO44" s="299" t="s">
        <v>422</v>
      </c>
      <c r="DP44" s="303">
        <v>2E-16</v>
      </c>
      <c r="DQ44" s="299" t="s">
        <v>389</v>
      </c>
      <c r="DR44" s="300" t="s">
        <v>467</v>
      </c>
      <c r="DS44" s="307" t="s">
        <v>489</v>
      </c>
      <c r="DT44" s="301" t="s">
        <v>323</v>
      </c>
      <c r="DU44" s="302">
        <f t="shared" ref="DU44:DU59" si="44">DL68</f>
        <v>1.5300000000000001E-7</v>
      </c>
      <c r="DV44" s="300" t="s">
        <v>322</v>
      </c>
    </row>
    <row r="45" spans="1:126" ht="15" customHeight="1" thickTop="1" thickBot="1" x14ac:dyDescent="0.3">
      <c r="A45" t="s">
        <v>288</v>
      </c>
      <c r="C45">
        <v>0.5</v>
      </c>
      <c r="E45" s="79"/>
      <c r="L45"/>
      <c r="M45"/>
      <c r="N45" t="s">
        <v>126</v>
      </c>
      <c r="O45" s="3">
        <f>SUM(S26:S27)/1000000</f>
        <v>41.791845300282262</v>
      </c>
      <c r="P45" t="s">
        <v>125</v>
      </c>
      <c r="Q45" s="3">
        <f>SUM(U26:U27)/1000000</f>
        <v>41.791845300282262</v>
      </c>
      <c r="R45"/>
      <c r="X45" s="188"/>
      <c r="Y45" s="189" t="s">
        <v>131</v>
      </c>
      <c r="Z45" s="189">
        <v>0.15</v>
      </c>
      <c r="AA45" s="189">
        <v>1.4</v>
      </c>
      <c r="AB45" s="189">
        <v>2100</v>
      </c>
      <c r="AC45" s="189">
        <v>840</v>
      </c>
      <c r="AD45" s="236">
        <f>Z45/AA45</f>
        <v>0.10714285714285715</v>
      </c>
      <c r="AE45" s="190">
        <f>Z45*AB45*AC45</f>
        <v>264600</v>
      </c>
      <c r="AF45" s="14"/>
      <c r="AG45" s="14"/>
      <c r="AH45" s="14"/>
      <c r="AM45" s="159" t="s">
        <v>319</v>
      </c>
      <c r="AN45" s="81" t="s">
        <v>320</v>
      </c>
      <c r="AO45" s="81" t="s">
        <v>364</v>
      </c>
      <c r="AP45" s="81">
        <f>U26/2</f>
        <v>14177850</v>
      </c>
      <c r="AQ45" s="81" t="s">
        <v>322</v>
      </c>
      <c r="AR45" s="81" t="s">
        <v>365</v>
      </c>
      <c r="AV45" s="168" t="s">
        <v>319</v>
      </c>
      <c r="AW45" s="168" t="s">
        <v>320</v>
      </c>
      <c r="AX45" s="168" t="s">
        <v>364</v>
      </c>
      <c r="AY45" s="169" t="s">
        <v>323</v>
      </c>
      <c r="AZ45" s="162">
        <f t="shared" si="43"/>
        <v>14177850</v>
      </c>
      <c r="BA45" s="168" t="s">
        <v>322</v>
      </c>
      <c r="BJ45" s="175" t="s">
        <v>319</v>
      </c>
      <c r="BK45" s="175" t="s">
        <v>320</v>
      </c>
      <c r="BL45" s="175" t="s">
        <v>364</v>
      </c>
      <c r="BM45" s="175" t="s">
        <v>323</v>
      </c>
      <c r="BN45" s="174">
        <f>BD88</f>
        <v>25000000</v>
      </c>
      <c r="BO45" s="175" t="s">
        <v>322</v>
      </c>
      <c r="BY45" s="178" t="s">
        <v>319</v>
      </c>
      <c r="BZ45" s="178" t="s">
        <v>320</v>
      </c>
      <c r="CA45" s="178" t="s">
        <v>360</v>
      </c>
      <c r="CB45" s="178" t="s">
        <v>323</v>
      </c>
      <c r="CC45" s="177">
        <f>BR56</f>
        <v>0.28299999999999997</v>
      </c>
      <c r="CD45" s="178" t="s">
        <v>322</v>
      </c>
      <c r="CJ45" s="81" t="s">
        <v>366</v>
      </c>
      <c r="CK45" s="254">
        <f t="shared" si="40"/>
        <v>3.2801341402921617E-2</v>
      </c>
      <c r="CL45" s="254">
        <f t="shared" si="41"/>
        <v>7.3400000000000007E-2</v>
      </c>
      <c r="CM45" s="254">
        <f t="shared" si="42"/>
        <v>4.4299999999999999E-2</v>
      </c>
      <c r="CP45" s="258" t="s">
        <v>442</v>
      </c>
      <c r="CQ45" s="258" t="s">
        <v>408</v>
      </c>
      <c r="CR45" s="259">
        <v>5.4600000000000003E-2</v>
      </c>
      <c r="CS45" s="259">
        <v>2.1900000000000001E-4</v>
      </c>
      <c r="CT45" s="258">
        <v>249.16</v>
      </c>
      <c r="CU45" s="258" t="s">
        <v>422</v>
      </c>
      <c r="CV45" s="167">
        <v>2E-16</v>
      </c>
      <c r="CW45" s="81" t="s">
        <v>389</v>
      </c>
      <c r="CX45" s="260" t="s">
        <v>467</v>
      </c>
      <c r="CY45" s="266" t="s">
        <v>490</v>
      </c>
      <c r="CZ45" s="261" t="s">
        <v>323</v>
      </c>
      <c r="DA45" s="262">
        <f t="shared" ref="DA45:DA59" si="45">CR69</f>
        <v>1.6000000000000001E-8</v>
      </c>
      <c r="DB45" s="260" t="s">
        <v>322</v>
      </c>
      <c r="DD45" s="170" t="s">
        <v>467</v>
      </c>
      <c r="DE45" s="296" t="s">
        <v>490</v>
      </c>
      <c r="DF45" s="291" t="s">
        <v>323</v>
      </c>
      <c r="DG45" s="170">
        <f>$O10*$Z37*$AP26</f>
        <v>0.43744680107615003</v>
      </c>
      <c r="DH45" s="170" t="s">
        <v>322</v>
      </c>
      <c r="DJ45" s="299" t="s">
        <v>442</v>
      </c>
      <c r="DK45" s="299" t="s">
        <v>408</v>
      </c>
      <c r="DL45" s="303">
        <v>5.3499999999999999E-2</v>
      </c>
      <c r="DM45" s="303">
        <v>6.4099999999999997E-4</v>
      </c>
      <c r="DN45" s="299">
        <v>83.5</v>
      </c>
      <c r="DO45" s="299" t="s">
        <v>422</v>
      </c>
      <c r="DP45" s="303">
        <v>2E-16</v>
      </c>
      <c r="DQ45" s="299" t="s">
        <v>389</v>
      </c>
      <c r="DR45" s="300" t="s">
        <v>467</v>
      </c>
      <c r="DS45" s="307" t="s">
        <v>490</v>
      </c>
      <c r="DT45" s="301" t="s">
        <v>323</v>
      </c>
      <c r="DU45" s="302">
        <f t="shared" si="44"/>
        <v>4.9399999999999999E-9</v>
      </c>
      <c r="DV45" s="300" t="s">
        <v>322</v>
      </c>
    </row>
    <row r="46" spans="1:126" ht="15" customHeight="1" thickTop="1" thickBot="1" x14ac:dyDescent="0.3">
      <c r="L46"/>
      <c r="M46"/>
      <c r="N46" t="s">
        <v>127</v>
      </c>
      <c r="O46" s="3">
        <f>S14/1000000</f>
        <v>23.366745999999999</v>
      </c>
      <c r="Q46" s="3">
        <f>U14/1000000</f>
        <v>6.8795200000000003</v>
      </c>
      <c r="R46"/>
      <c r="X46" s="205"/>
      <c r="Y46" s="187" t="s">
        <v>132</v>
      </c>
      <c r="Z46" s="187">
        <v>0</v>
      </c>
      <c r="AA46" s="187">
        <v>0.02</v>
      </c>
      <c r="AB46" s="187">
        <v>30</v>
      </c>
      <c r="AC46" s="187">
        <v>1470</v>
      </c>
      <c r="AD46" s="237">
        <f>Z46/AA46</f>
        <v>0</v>
      </c>
      <c r="AE46" s="210">
        <f>Z46*AB46*AC46</f>
        <v>0</v>
      </c>
      <c r="AF46" s="14"/>
      <c r="AG46" s="14"/>
      <c r="AH46" s="14"/>
      <c r="AM46" s="159" t="s">
        <v>319</v>
      </c>
      <c r="AN46" s="81" t="s">
        <v>320</v>
      </c>
      <c r="AO46" s="81" t="s">
        <v>366</v>
      </c>
      <c r="AP46" s="81">
        <f>AP42*0.2</f>
        <v>3.2801341402921617E-2</v>
      </c>
      <c r="AQ46" s="81" t="s">
        <v>322</v>
      </c>
      <c r="AR46" s="81" t="s">
        <v>367</v>
      </c>
      <c r="AV46" s="168" t="s">
        <v>319</v>
      </c>
      <c r="AW46" s="168" t="s">
        <v>320</v>
      </c>
      <c r="AX46" s="168" t="s">
        <v>366</v>
      </c>
      <c r="AY46" s="169" t="s">
        <v>323</v>
      </c>
      <c r="AZ46" s="162">
        <f t="shared" si="43"/>
        <v>3.2801341402921617E-2</v>
      </c>
      <c r="BA46" s="168" t="s">
        <v>322</v>
      </c>
      <c r="BJ46" s="175" t="s">
        <v>319</v>
      </c>
      <c r="BK46" s="175" t="s">
        <v>320</v>
      </c>
      <c r="BL46" s="175" t="s">
        <v>366</v>
      </c>
      <c r="BM46" s="175" t="s">
        <v>323</v>
      </c>
      <c r="BN46" s="174">
        <f>BD31</f>
        <v>7.3400000000000007E-2</v>
      </c>
      <c r="BO46" s="175" t="s">
        <v>322</v>
      </c>
      <c r="BQ46" s="81" t="s">
        <v>433</v>
      </c>
      <c r="BR46" s="81" t="s">
        <v>421</v>
      </c>
      <c r="BS46" s="81"/>
      <c r="BT46" s="81"/>
      <c r="BU46" s="81"/>
      <c r="BV46" s="81"/>
      <c r="BW46" s="81"/>
      <c r="BY46" s="178" t="s">
        <v>319</v>
      </c>
      <c r="BZ46" s="178" t="s">
        <v>320</v>
      </c>
      <c r="CA46" s="178" t="s">
        <v>362</v>
      </c>
      <c r="CB46" s="178" t="s">
        <v>323</v>
      </c>
      <c r="CC46" s="177">
        <f>BR87</f>
        <v>19200000</v>
      </c>
      <c r="CD46" s="178" t="s">
        <v>322</v>
      </c>
      <c r="CJ46" s="81" t="s">
        <v>368</v>
      </c>
      <c r="CK46" s="254">
        <f t="shared" si="40"/>
        <v>1.890165736744559E-2</v>
      </c>
      <c r="CL46" s="254">
        <f t="shared" si="41"/>
        <v>0.126</v>
      </c>
      <c r="CM46" s="254">
        <f t="shared" si="42"/>
        <v>7.3200000000000001E-2</v>
      </c>
      <c r="CP46" s="258" t="s">
        <v>442</v>
      </c>
      <c r="CQ46" s="258" t="s">
        <v>409</v>
      </c>
      <c r="CR46" s="259">
        <v>4.65E-2</v>
      </c>
      <c r="CS46" s="259">
        <v>1.3100000000000001E-4</v>
      </c>
      <c r="CT46" s="258">
        <v>354.67</v>
      </c>
      <c r="CU46" s="258" t="s">
        <v>422</v>
      </c>
      <c r="CV46" s="167">
        <v>2E-16</v>
      </c>
      <c r="CW46" s="81" t="s">
        <v>389</v>
      </c>
      <c r="CX46" s="260" t="s">
        <v>467</v>
      </c>
      <c r="CY46" s="266" t="s">
        <v>491</v>
      </c>
      <c r="CZ46" s="261" t="s">
        <v>323</v>
      </c>
      <c r="DA46" s="262">
        <f t="shared" si="45"/>
        <v>0.14399999999999999</v>
      </c>
      <c r="DB46" s="260" t="s">
        <v>322</v>
      </c>
      <c r="DD46" s="170" t="s">
        <v>467</v>
      </c>
      <c r="DE46" s="296" t="s">
        <v>491</v>
      </c>
      <c r="DF46" s="291" t="s">
        <v>323</v>
      </c>
      <c r="DG46" s="170">
        <f>$O12*$Z37*$AP26</f>
        <v>0.45279581164022548</v>
      </c>
      <c r="DH46" s="170" t="s">
        <v>322</v>
      </c>
      <c r="DJ46" s="299" t="s">
        <v>442</v>
      </c>
      <c r="DK46" s="299" t="s">
        <v>409</v>
      </c>
      <c r="DL46" s="303">
        <v>4.8000000000000001E-2</v>
      </c>
      <c r="DM46" s="303">
        <v>5.9299999999999999E-4</v>
      </c>
      <c r="DN46" s="299">
        <v>81.06</v>
      </c>
      <c r="DO46" s="299" t="s">
        <v>422</v>
      </c>
      <c r="DP46" s="303">
        <v>2E-16</v>
      </c>
      <c r="DQ46" s="299" t="s">
        <v>389</v>
      </c>
      <c r="DR46" s="300" t="s">
        <v>467</v>
      </c>
      <c r="DS46" s="307" t="s">
        <v>491</v>
      </c>
      <c r="DT46" s="301" t="s">
        <v>323</v>
      </c>
      <c r="DU46" s="302">
        <f t="shared" si="44"/>
        <v>2.7199999999999998E-2</v>
      </c>
      <c r="DV46" s="300" t="s">
        <v>322</v>
      </c>
    </row>
    <row r="47" spans="1:126" ht="15" customHeight="1" thickTop="1" thickBot="1" x14ac:dyDescent="0.3">
      <c r="B47" s="3"/>
      <c r="L47"/>
      <c r="M47"/>
      <c r="N47"/>
      <c r="Q47"/>
      <c r="R47"/>
      <c r="X47" s="189"/>
      <c r="Y47" s="189"/>
      <c r="Z47" s="189"/>
      <c r="AA47" s="189"/>
      <c r="AB47" s="189"/>
      <c r="AC47" s="189"/>
      <c r="AD47" s="236"/>
      <c r="AE47" s="189"/>
      <c r="AF47" s="14"/>
      <c r="AG47" s="14"/>
      <c r="AH47" s="14"/>
      <c r="AM47" s="159" t="s">
        <v>319</v>
      </c>
      <c r="AN47" s="81" t="s">
        <v>320</v>
      </c>
      <c r="AO47" s="81" t="s">
        <v>368</v>
      </c>
      <c r="AP47" s="81">
        <f>AP43*0.2</f>
        <v>1.890165736744559E-2</v>
      </c>
      <c r="AQ47" s="81" t="s">
        <v>322</v>
      </c>
      <c r="AR47" s="81" t="s">
        <v>369</v>
      </c>
      <c r="AV47" s="168" t="s">
        <v>319</v>
      </c>
      <c r="AW47" s="168" t="s">
        <v>320</v>
      </c>
      <c r="AX47" s="168" t="s">
        <v>368</v>
      </c>
      <c r="AY47" s="169" t="s">
        <v>323</v>
      </c>
      <c r="AZ47" s="162">
        <f t="shared" si="43"/>
        <v>1.890165736744559E-2</v>
      </c>
      <c r="BA47" s="168" t="s">
        <v>322</v>
      </c>
      <c r="BC47" s="81"/>
      <c r="BD47" s="172" t="s">
        <v>421</v>
      </c>
      <c r="BE47" s="81"/>
      <c r="BF47" s="81"/>
      <c r="BG47" s="81"/>
      <c r="BH47" s="81"/>
      <c r="BI47" s="81"/>
      <c r="BJ47" s="175" t="s">
        <v>319</v>
      </c>
      <c r="BK47" s="175" t="s">
        <v>320</v>
      </c>
      <c r="BL47" s="175" t="s">
        <v>368</v>
      </c>
      <c r="BM47" s="175" t="s">
        <v>323</v>
      </c>
      <c r="BN47" s="174">
        <f>BD69</f>
        <v>0.126</v>
      </c>
      <c r="BO47" s="175" t="s">
        <v>322</v>
      </c>
      <c r="BQ47" s="81" t="s">
        <v>380</v>
      </c>
      <c r="BR47" s="81"/>
      <c r="BS47" s="81"/>
      <c r="BT47" s="81"/>
      <c r="BU47" s="81"/>
      <c r="BV47" s="81"/>
      <c r="BW47" s="81"/>
      <c r="BY47" s="178" t="s">
        <v>319</v>
      </c>
      <c r="BZ47" s="178" t="s">
        <v>320</v>
      </c>
      <c r="CA47" s="178" t="s">
        <v>364</v>
      </c>
      <c r="CB47" s="178" t="s">
        <v>323</v>
      </c>
      <c r="CC47" s="177">
        <f>BR89</f>
        <v>65100000</v>
      </c>
      <c r="CD47" s="178" t="s">
        <v>322</v>
      </c>
      <c r="CJ47" s="81" t="s">
        <v>370</v>
      </c>
      <c r="CK47" s="257">
        <f t="shared" si="40"/>
        <v>369.7988165680473</v>
      </c>
      <c r="CL47" s="257">
        <f t="shared" si="41"/>
        <v>502</v>
      </c>
      <c r="CM47" s="257">
        <f t="shared" si="42"/>
        <v>198</v>
      </c>
      <c r="CP47" s="258" t="s">
        <v>442</v>
      </c>
      <c r="CQ47" s="258" t="s">
        <v>410</v>
      </c>
      <c r="CR47" s="259">
        <v>60.6</v>
      </c>
      <c r="CS47" s="259">
        <v>0.247</v>
      </c>
      <c r="CT47" s="258">
        <v>245.48</v>
      </c>
      <c r="CU47" s="258" t="s">
        <v>422</v>
      </c>
      <c r="CV47" s="167">
        <v>2E-16</v>
      </c>
      <c r="CW47" s="81" t="s">
        <v>389</v>
      </c>
      <c r="CX47" s="260" t="s">
        <v>467</v>
      </c>
      <c r="CY47" s="266" t="s">
        <v>492</v>
      </c>
      <c r="CZ47" s="261" t="s">
        <v>323</v>
      </c>
      <c r="DA47" s="262">
        <f t="shared" si="45"/>
        <v>0.38500000000000001</v>
      </c>
      <c r="DB47" s="260" t="s">
        <v>322</v>
      </c>
      <c r="DD47" s="170" t="s">
        <v>467</v>
      </c>
      <c r="DE47" s="296" t="s">
        <v>492</v>
      </c>
      <c r="DF47" s="291" t="s">
        <v>323</v>
      </c>
      <c r="DG47" s="170">
        <f>$O13*$Z37*$AP26</f>
        <v>0.49884284333245177</v>
      </c>
      <c r="DH47" s="170" t="s">
        <v>322</v>
      </c>
      <c r="DJ47" s="299" t="s">
        <v>442</v>
      </c>
      <c r="DK47" s="299" t="s">
        <v>410</v>
      </c>
      <c r="DL47" s="303">
        <v>58.1</v>
      </c>
      <c r="DM47" s="303">
        <v>0.42399999999999999</v>
      </c>
      <c r="DN47" s="299">
        <v>136.77000000000001</v>
      </c>
      <c r="DO47" s="299" t="s">
        <v>422</v>
      </c>
      <c r="DP47" s="303">
        <v>2E-16</v>
      </c>
      <c r="DQ47" s="299" t="s">
        <v>389</v>
      </c>
      <c r="DR47" s="300" t="s">
        <v>467</v>
      </c>
      <c r="DS47" s="307" t="s">
        <v>492</v>
      </c>
      <c r="DT47" s="301" t="s">
        <v>323</v>
      </c>
      <c r="DU47" s="302">
        <f t="shared" si="44"/>
        <v>0.47299999999999998</v>
      </c>
      <c r="DV47" s="300" t="s">
        <v>322</v>
      </c>
    </row>
    <row r="48" spans="1:126" ht="15" customHeight="1" thickTop="1" thickBot="1" x14ac:dyDescent="0.3">
      <c r="B48" s="3"/>
      <c r="L48"/>
      <c r="M48"/>
      <c r="N48"/>
      <c r="Q48"/>
      <c r="R48"/>
      <c r="X48" s="226"/>
      <c r="Y48" s="226"/>
      <c r="Z48" s="245" t="s">
        <v>4</v>
      </c>
      <c r="AA48" s="245">
        <v>4</v>
      </c>
      <c r="AB48" s="245" t="s">
        <v>5</v>
      </c>
      <c r="AC48" s="226"/>
      <c r="AD48" s="226"/>
      <c r="AE48" s="226"/>
      <c r="AF48" s="14"/>
      <c r="AG48" s="14"/>
      <c r="AH48" s="14"/>
      <c r="AM48" s="159" t="s">
        <v>319</v>
      </c>
      <c r="AN48" s="81" t="s">
        <v>320</v>
      </c>
      <c r="AO48" s="81" t="s">
        <v>370</v>
      </c>
      <c r="AP48" s="81">
        <f>AA27*4*O26</f>
        <v>369.7988165680473</v>
      </c>
      <c r="AQ48" s="81" t="s">
        <v>322</v>
      </c>
      <c r="AR48" s="81" t="s">
        <v>371</v>
      </c>
      <c r="AV48" s="168" t="s">
        <v>319</v>
      </c>
      <c r="AW48" s="168" t="s">
        <v>320</v>
      </c>
      <c r="AX48" s="168" t="s">
        <v>370</v>
      </c>
      <c r="AY48" s="169" t="s">
        <v>323</v>
      </c>
      <c r="AZ48" s="162">
        <f t="shared" si="43"/>
        <v>369.7988165680473</v>
      </c>
      <c r="BA48" s="168" t="s">
        <v>322</v>
      </c>
      <c r="BC48" s="81" t="s">
        <v>380</v>
      </c>
      <c r="BD48" s="81"/>
      <c r="BE48" s="81"/>
      <c r="BF48" s="81"/>
      <c r="BG48" s="81"/>
      <c r="BH48" s="81"/>
      <c r="BI48" s="81"/>
      <c r="BJ48" s="175" t="s">
        <v>319</v>
      </c>
      <c r="BK48" s="175" t="s">
        <v>320</v>
      </c>
      <c r="BL48" s="175" t="s">
        <v>370</v>
      </c>
      <c r="BM48" s="175" t="s">
        <v>323</v>
      </c>
      <c r="BN48" s="174">
        <f>BD95</f>
        <v>502</v>
      </c>
      <c r="BO48" s="175" t="s">
        <v>322</v>
      </c>
      <c r="BQ48" s="81" t="s">
        <v>381</v>
      </c>
      <c r="BR48" s="81" t="s">
        <v>382</v>
      </c>
      <c r="BS48" s="81" t="s">
        <v>383</v>
      </c>
      <c r="BT48" s="81" t="s">
        <v>384</v>
      </c>
      <c r="BU48" s="81" t="s">
        <v>385</v>
      </c>
      <c r="BV48" s="81" t="s">
        <v>386</v>
      </c>
      <c r="BW48" s="81"/>
      <c r="BY48" s="178" t="s">
        <v>319</v>
      </c>
      <c r="BZ48" s="178" t="s">
        <v>320</v>
      </c>
      <c r="CA48" s="178" t="s">
        <v>366</v>
      </c>
      <c r="CB48" s="178" t="s">
        <v>323</v>
      </c>
      <c r="CC48" s="177">
        <f>BR31</f>
        <v>4.4299999999999999E-2</v>
      </c>
      <c r="CD48" s="178" t="s">
        <v>322</v>
      </c>
      <c r="CJ48" s="81" t="s">
        <v>372</v>
      </c>
      <c r="CK48" s="257">
        <f t="shared" si="40"/>
        <v>184.89940828402365</v>
      </c>
      <c r="CL48" s="257">
        <f t="shared" si="41"/>
        <v>393</v>
      </c>
      <c r="CM48" s="257">
        <f t="shared" si="42"/>
        <v>3.48E-4</v>
      </c>
      <c r="CP48" s="258" t="s">
        <v>442</v>
      </c>
      <c r="CQ48" s="258" t="s">
        <v>411</v>
      </c>
      <c r="CR48" s="259">
        <v>95.8</v>
      </c>
      <c r="CS48" s="259">
        <v>0.33</v>
      </c>
      <c r="CT48" s="258">
        <v>290.61</v>
      </c>
      <c r="CU48" s="258" t="s">
        <v>422</v>
      </c>
      <c r="CV48" s="167">
        <v>2E-16</v>
      </c>
      <c r="CW48" s="81" t="s">
        <v>389</v>
      </c>
      <c r="CX48" s="260" t="s">
        <v>467</v>
      </c>
      <c r="CY48" s="266" t="s">
        <v>493</v>
      </c>
      <c r="CZ48" s="261" t="s">
        <v>323</v>
      </c>
      <c r="DA48" s="262">
        <f t="shared" si="45"/>
        <v>1.24</v>
      </c>
      <c r="DB48" s="260" t="s">
        <v>322</v>
      </c>
      <c r="DD48" s="170" t="s">
        <v>467</v>
      </c>
      <c r="DE48" s="296" t="s">
        <v>493</v>
      </c>
      <c r="DF48" s="291" t="s">
        <v>323</v>
      </c>
      <c r="DG48" s="170">
        <f>$O11*$Z37*$AP27</f>
        <v>1.6676697986913289</v>
      </c>
      <c r="DH48" s="170" t="s">
        <v>322</v>
      </c>
      <c r="DJ48" s="299" t="s">
        <v>442</v>
      </c>
      <c r="DK48" s="299" t="s">
        <v>411</v>
      </c>
      <c r="DL48" s="303">
        <v>96.9</v>
      </c>
      <c r="DM48" s="303">
        <v>0.65500000000000003</v>
      </c>
      <c r="DN48" s="299">
        <v>147.9</v>
      </c>
      <c r="DO48" s="299" t="s">
        <v>422</v>
      </c>
      <c r="DP48" s="303">
        <v>2E-16</v>
      </c>
      <c r="DQ48" s="299" t="s">
        <v>389</v>
      </c>
      <c r="DR48" s="300" t="s">
        <v>467</v>
      </c>
      <c r="DS48" s="307" t="s">
        <v>493</v>
      </c>
      <c r="DT48" s="301" t="s">
        <v>323</v>
      </c>
      <c r="DU48" s="302">
        <f t="shared" si="44"/>
        <v>1.39</v>
      </c>
      <c r="DV48" s="300" t="s">
        <v>322</v>
      </c>
    </row>
    <row r="49" spans="2:126" ht="15" customHeight="1" thickTop="1" thickBot="1" x14ac:dyDescent="0.3">
      <c r="B49" s="3"/>
      <c r="L49"/>
      <c r="M49"/>
      <c r="N49"/>
      <c r="Q49"/>
      <c r="R49"/>
      <c r="X49" s="246" t="s">
        <v>68</v>
      </c>
      <c r="Y49" s="247"/>
      <c r="Z49" s="248" t="s">
        <v>21</v>
      </c>
      <c r="AA49" s="249">
        <v>4</v>
      </c>
      <c r="AB49" s="247" t="s">
        <v>5</v>
      </c>
      <c r="AC49" s="247"/>
      <c r="AD49" s="247" t="s">
        <v>22</v>
      </c>
      <c r="AE49" s="250">
        <f>0.04*550*1660</f>
        <v>36520</v>
      </c>
      <c r="AF49" s="14" t="s">
        <v>23</v>
      </c>
      <c r="AG49" s="14">
        <f>SUM(AE51:AE52)</f>
        <v>0</v>
      </c>
      <c r="AH49" s="14"/>
      <c r="AM49" s="159" t="s">
        <v>319</v>
      </c>
      <c r="AN49" s="81" t="s">
        <v>320</v>
      </c>
      <c r="AO49" s="81" t="s">
        <v>372</v>
      </c>
      <c r="AP49" s="81">
        <f>AP50/2</f>
        <v>184.89940828402365</v>
      </c>
      <c r="AQ49" s="81" t="s">
        <v>322</v>
      </c>
      <c r="AR49" s="81" t="s">
        <v>373</v>
      </c>
      <c r="AV49" s="168" t="s">
        <v>319</v>
      </c>
      <c r="AW49" s="168" t="s">
        <v>320</v>
      </c>
      <c r="AX49" s="168" t="s">
        <v>372</v>
      </c>
      <c r="AY49" s="169" t="s">
        <v>323</v>
      </c>
      <c r="AZ49" s="162">
        <f t="shared" si="43"/>
        <v>184.89940828402365</v>
      </c>
      <c r="BA49" s="168" t="s">
        <v>322</v>
      </c>
      <c r="BC49" s="81" t="s">
        <v>381</v>
      </c>
      <c r="BD49" s="81" t="s">
        <v>382</v>
      </c>
      <c r="BE49" s="81" t="s">
        <v>383</v>
      </c>
      <c r="BF49" s="81" t="s">
        <v>384</v>
      </c>
      <c r="BG49" s="81" t="s">
        <v>385</v>
      </c>
      <c r="BH49" s="81" t="s">
        <v>386</v>
      </c>
      <c r="BI49" s="81"/>
      <c r="BJ49" s="175" t="s">
        <v>319</v>
      </c>
      <c r="BK49" s="175" t="s">
        <v>320</v>
      </c>
      <c r="BL49" s="175" t="s">
        <v>372</v>
      </c>
      <c r="BM49" s="175" t="s">
        <v>323</v>
      </c>
      <c r="BN49" s="174">
        <f>BD96</f>
        <v>393</v>
      </c>
      <c r="BO49" s="175" t="s">
        <v>322</v>
      </c>
      <c r="BQ49" s="81" t="s">
        <v>387</v>
      </c>
      <c r="BR49" s="167">
        <v>289</v>
      </c>
      <c r="BS49" s="167">
        <v>0.27</v>
      </c>
      <c r="BT49" s="81">
        <v>1069.93</v>
      </c>
      <c r="BU49" s="81" t="s">
        <v>422</v>
      </c>
      <c r="BV49" s="167">
        <v>2E-16</v>
      </c>
      <c r="BW49" s="81" t="s">
        <v>389</v>
      </c>
      <c r="BY49" s="178" t="s">
        <v>319</v>
      </c>
      <c r="BZ49" s="178" t="s">
        <v>320</v>
      </c>
      <c r="CA49" s="178" t="s">
        <v>368</v>
      </c>
      <c r="CB49" s="178" t="s">
        <v>323</v>
      </c>
      <c r="CC49" s="177">
        <f>BR68</f>
        <v>7.3200000000000001E-2</v>
      </c>
      <c r="CD49" s="178" t="s">
        <v>322</v>
      </c>
      <c r="CJ49" s="81" t="s">
        <v>374</v>
      </c>
      <c r="CK49" s="257">
        <f t="shared" si="40"/>
        <v>369.7988165680473</v>
      </c>
      <c r="CL49" s="257">
        <f t="shared" si="41"/>
        <v>506</v>
      </c>
      <c r="CM49" s="257">
        <f t="shared" si="42"/>
        <v>221</v>
      </c>
      <c r="CP49" s="258" t="s">
        <v>442</v>
      </c>
      <c r="CQ49" s="258" t="s">
        <v>295</v>
      </c>
      <c r="CR49" s="259">
        <v>323</v>
      </c>
      <c r="CS49" s="259">
        <v>1.1000000000000001</v>
      </c>
      <c r="CT49" s="258">
        <v>292.18</v>
      </c>
      <c r="CU49" s="258" t="s">
        <v>422</v>
      </c>
      <c r="CV49" s="167">
        <v>2E-16</v>
      </c>
      <c r="CW49" s="81" t="s">
        <v>389</v>
      </c>
      <c r="CX49" s="260" t="s">
        <v>467</v>
      </c>
      <c r="CY49" s="266" t="s">
        <v>494</v>
      </c>
      <c r="CZ49" s="261" t="s">
        <v>323</v>
      </c>
      <c r="DA49" s="262">
        <f t="shared" si="45"/>
        <v>0.79400000000000004</v>
      </c>
      <c r="DB49" s="260" t="s">
        <v>322</v>
      </c>
      <c r="DD49" s="170" t="s">
        <v>467</v>
      </c>
      <c r="DE49" s="296" t="s">
        <v>494</v>
      </c>
      <c r="DF49" s="291" t="s">
        <v>323</v>
      </c>
      <c r="DG49" s="170">
        <f>$O10*$Z37*$AP27</f>
        <v>1.5088441035778692</v>
      </c>
      <c r="DH49" s="170" t="s">
        <v>322</v>
      </c>
      <c r="DJ49" s="299" t="s">
        <v>442</v>
      </c>
      <c r="DK49" s="299" t="s">
        <v>295</v>
      </c>
      <c r="DL49" s="303">
        <v>299</v>
      </c>
      <c r="DM49" s="303">
        <v>1.87</v>
      </c>
      <c r="DN49" s="299">
        <v>159.91999999999999</v>
      </c>
      <c r="DO49" s="299" t="s">
        <v>422</v>
      </c>
      <c r="DP49" s="303">
        <v>2E-16</v>
      </c>
      <c r="DQ49" s="299" t="s">
        <v>389</v>
      </c>
      <c r="DR49" s="300" t="s">
        <v>467</v>
      </c>
      <c r="DS49" s="307" t="s">
        <v>494</v>
      </c>
      <c r="DT49" s="301" t="s">
        <v>323</v>
      </c>
      <c r="DU49" s="302">
        <f t="shared" si="44"/>
        <v>1.41</v>
      </c>
      <c r="DV49" s="300" t="s">
        <v>322</v>
      </c>
    </row>
    <row r="50" spans="2:126" ht="15" customHeight="1" thickTop="1" thickBot="1" x14ac:dyDescent="0.3">
      <c r="L50"/>
      <c r="M50"/>
      <c r="N50"/>
      <c r="Q50"/>
      <c r="R50"/>
      <c r="X50" s="251"/>
      <c r="Y50" s="252" t="s">
        <v>16</v>
      </c>
      <c r="Z50" s="252">
        <v>4</v>
      </c>
      <c r="AA50" s="252" t="s">
        <v>5</v>
      </c>
      <c r="AB50" s="252"/>
      <c r="AC50" s="252" t="s">
        <v>313</v>
      </c>
      <c r="AD50" s="252">
        <f>0.11*(1/AA49-1/23-1/8)</f>
        <v>8.9673913043478264E-3</v>
      </c>
      <c r="AE50" s="253"/>
      <c r="AF50" s="14"/>
      <c r="AG50" s="14"/>
      <c r="AH50" s="14"/>
      <c r="AM50" s="159" t="s">
        <v>319</v>
      </c>
      <c r="AN50" s="81" t="s">
        <v>320</v>
      </c>
      <c r="AO50" s="81" t="s">
        <v>374</v>
      </c>
      <c r="AP50" s="81">
        <f>AP48</f>
        <v>369.7988165680473</v>
      </c>
      <c r="AQ50" s="81" t="s">
        <v>322</v>
      </c>
      <c r="AR50" s="81" t="s">
        <v>375</v>
      </c>
      <c r="AV50" s="168" t="s">
        <v>319</v>
      </c>
      <c r="AW50" s="168" t="s">
        <v>320</v>
      </c>
      <c r="AX50" s="168" t="s">
        <v>374</v>
      </c>
      <c r="AY50" s="169" t="s">
        <v>323</v>
      </c>
      <c r="AZ50" s="162">
        <f t="shared" si="43"/>
        <v>369.7988165680473</v>
      </c>
      <c r="BA50" s="168" t="s">
        <v>322</v>
      </c>
      <c r="BC50" s="81" t="s">
        <v>387</v>
      </c>
      <c r="BD50" s="167">
        <v>291</v>
      </c>
      <c r="BE50" s="167">
        <v>5.11E-2</v>
      </c>
      <c r="BF50" s="81">
        <v>5694.69</v>
      </c>
      <c r="BG50" s="81" t="s">
        <v>422</v>
      </c>
      <c r="BH50" s="167">
        <v>2E-16</v>
      </c>
      <c r="BI50" s="81" t="s">
        <v>389</v>
      </c>
      <c r="BJ50" s="175" t="s">
        <v>319</v>
      </c>
      <c r="BK50" s="175" t="s">
        <v>320</v>
      </c>
      <c r="BL50" s="175" t="s">
        <v>374</v>
      </c>
      <c r="BM50" s="175" t="s">
        <v>323</v>
      </c>
      <c r="BN50" s="174">
        <f>BD97</f>
        <v>506</v>
      </c>
      <c r="BO50" s="175" t="s">
        <v>322</v>
      </c>
      <c r="BQ50" s="81" t="s">
        <v>390</v>
      </c>
      <c r="BR50" s="167">
        <v>285</v>
      </c>
      <c r="BS50" s="167">
        <v>0.32700000000000001</v>
      </c>
      <c r="BT50" s="81">
        <v>872.45</v>
      </c>
      <c r="BU50" s="81" t="s">
        <v>422</v>
      </c>
      <c r="BV50" s="167">
        <v>2E-16</v>
      </c>
      <c r="BW50" s="81" t="s">
        <v>389</v>
      </c>
      <c r="BY50" s="178" t="s">
        <v>319</v>
      </c>
      <c r="BZ50" s="178" t="s">
        <v>320</v>
      </c>
      <c r="CA50" s="178" t="s">
        <v>370</v>
      </c>
      <c r="CB50" s="178" t="s">
        <v>323</v>
      </c>
      <c r="CC50" s="177">
        <f>BR94</f>
        <v>198</v>
      </c>
      <c r="CD50" s="178" t="s">
        <v>322</v>
      </c>
      <c r="CP50" s="258" t="s">
        <v>442</v>
      </c>
      <c r="CQ50" s="258" t="s">
        <v>120</v>
      </c>
      <c r="CR50" s="259">
        <v>99.3</v>
      </c>
      <c r="CS50" s="259">
        <v>0.21099999999999999</v>
      </c>
      <c r="CT50" s="258">
        <v>470.07</v>
      </c>
      <c r="CU50" s="258" t="s">
        <v>422</v>
      </c>
      <c r="CV50" s="167">
        <v>2E-16</v>
      </c>
      <c r="CW50" s="81" t="s">
        <v>389</v>
      </c>
      <c r="CX50" s="260" t="s">
        <v>467</v>
      </c>
      <c r="CY50" s="266" t="s">
        <v>495</v>
      </c>
      <c r="CZ50" s="261" t="s">
        <v>323</v>
      </c>
      <c r="DA50" s="262">
        <f t="shared" si="45"/>
        <v>1.08</v>
      </c>
      <c r="DB50" s="260" t="s">
        <v>322</v>
      </c>
      <c r="DD50" s="170" t="s">
        <v>467</v>
      </c>
      <c r="DE50" s="296" t="s">
        <v>495</v>
      </c>
      <c r="DF50" s="291" t="s">
        <v>323</v>
      </c>
      <c r="DG50" s="170">
        <f>$O12*$Z37*$AP27</f>
        <v>1.5617860019490224</v>
      </c>
      <c r="DH50" s="170" t="s">
        <v>322</v>
      </c>
      <c r="DJ50" s="299" t="s">
        <v>442</v>
      </c>
      <c r="DK50" s="299" t="s">
        <v>120</v>
      </c>
      <c r="DL50" s="303">
        <v>88.3</v>
      </c>
      <c r="DM50" s="303">
        <v>0.71599999999999997</v>
      </c>
      <c r="DN50" s="299">
        <v>123.29</v>
      </c>
      <c r="DO50" s="299" t="s">
        <v>422</v>
      </c>
      <c r="DP50" s="303">
        <v>2E-16</v>
      </c>
      <c r="DQ50" s="299" t="s">
        <v>389</v>
      </c>
      <c r="DR50" s="300" t="s">
        <v>467</v>
      </c>
      <c r="DS50" s="307" t="s">
        <v>495</v>
      </c>
      <c r="DT50" s="301" t="s">
        <v>323</v>
      </c>
      <c r="DU50" s="302">
        <f t="shared" si="44"/>
        <v>1.21</v>
      </c>
      <c r="DV50" s="300" t="s">
        <v>322</v>
      </c>
    </row>
    <row r="51" spans="2:126" ht="15" customHeight="1" thickTop="1" thickBot="1" x14ac:dyDescent="0.3">
      <c r="L51"/>
      <c r="M51"/>
      <c r="N51"/>
      <c r="Q51"/>
      <c r="R51"/>
      <c r="X51" s="226"/>
      <c r="Y51" s="226"/>
      <c r="Z51" s="227"/>
      <c r="AA51" s="227"/>
      <c r="AB51" s="227"/>
      <c r="AC51" s="226"/>
      <c r="AD51" s="226"/>
      <c r="AE51" s="226"/>
      <c r="AF51" s="14"/>
      <c r="AG51" s="14"/>
      <c r="AH51" s="14"/>
      <c r="BC51" s="81" t="s">
        <v>390</v>
      </c>
      <c r="BD51" s="167">
        <v>289</v>
      </c>
      <c r="BE51" s="167">
        <v>0.17199999999999999</v>
      </c>
      <c r="BF51" s="81">
        <v>1674.64</v>
      </c>
      <c r="BG51" s="81" t="s">
        <v>422</v>
      </c>
      <c r="BH51" s="167">
        <v>2E-16</v>
      </c>
      <c r="BI51" s="81" t="s">
        <v>389</v>
      </c>
      <c r="BQ51" s="81" t="s">
        <v>391</v>
      </c>
      <c r="BR51" s="167">
        <v>291</v>
      </c>
      <c r="BS51" s="167">
        <v>0.14000000000000001</v>
      </c>
      <c r="BT51" s="81">
        <v>2086.0700000000002</v>
      </c>
      <c r="BU51" s="81" t="s">
        <v>422</v>
      </c>
      <c r="BV51" s="167">
        <v>2E-16</v>
      </c>
      <c r="BW51" s="81" t="s">
        <v>389</v>
      </c>
      <c r="BY51" s="178" t="s">
        <v>319</v>
      </c>
      <c r="BZ51" s="178" t="s">
        <v>320</v>
      </c>
      <c r="CA51" s="178" t="s">
        <v>372</v>
      </c>
      <c r="CB51" s="178" t="s">
        <v>323</v>
      </c>
      <c r="CC51" s="177">
        <f>BR95</f>
        <v>3.48E-4</v>
      </c>
      <c r="CD51" s="178" t="s">
        <v>322</v>
      </c>
      <c r="CP51" s="258" t="s">
        <v>442</v>
      </c>
      <c r="CQ51" s="258" t="s">
        <v>412</v>
      </c>
      <c r="CR51" s="259">
        <v>-6.12</v>
      </c>
      <c r="CS51" s="259">
        <v>1.5599999999999999E-2</v>
      </c>
      <c r="CT51" s="258">
        <v>-392.41</v>
      </c>
      <c r="CU51" s="258" t="s">
        <v>422</v>
      </c>
      <c r="CV51" s="167">
        <v>2E-16</v>
      </c>
      <c r="CW51" s="81" t="s">
        <v>389</v>
      </c>
      <c r="CX51" s="260" t="s">
        <v>467</v>
      </c>
      <c r="CY51" s="266" t="s">
        <v>496</v>
      </c>
      <c r="CZ51" s="261" t="s">
        <v>323</v>
      </c>
      <c r="DA51" s="262">
        <f t="shared" si="45"/>
        <v>0.84</v>
      </c>
      <c r="DB51" s="260" t="s">
        <v>322</v>
      </c>
      <c r="DD51" s="170" t="s">
        <v>467</v>
      </c>
      <c r="DE51" s="296" t="s">
        <v>496</v>
      </c>
      <c r="DF51" s="291" t="s">
        <v>323</v>
      </c>
      <c r="DG51" s="170">
        <f>$O13*$Z37*$AP27</f>
        <v>1.7206116970624823</v>
      </c>
      <c r="DH51" s="170" t="s">
        <v>322</v>
      </c>
      <c r="DJ51" s="299" t="s">
        <v>442</v>
      </c>
      <c r="DK51" s="299" t="s">
        <v>412</v>
      </c>
      <c r="DL51" s="303">
        <v>-4.1399999999999997</v>
      </c>
      <c r="DM51" s="303">
        <v>3.44E-2</v>
      </c>
      <c r="DN51" s="299">
        <v>-120.17</v>
      </c>
      <c r="DO51" s="299" t="s">
        <v>422</v>
      </c>
      <c r="DP51" s="303">
        <v>2E-16</v>
      </c>
      <c r="DQ51" s="299" t="s">
        <v>389</v>
      </c>
      <c r="DR51" s="300" t="s">
        <v>467</v>
      </c>
      <c r="DS51" s="307" t="s">
        <v>496</v>
      </c>
      <c r="DT51" s="301" t="s">
        <v>323</v>
      </c>
      <c r="DU51" s="302">
        <f t="shared" si="44"/>
        <v>0.78300000000000003</v>
      </c>
      <c r="DV51" s="300" t="s">
        <v>322</v>
      </c>
    </row>
    <row r="52" spans="2:126" thickTop="1" thickBot="1" x14ac:dyDescent="0.3">
      <c r="L52"/>
      <c r="M52"/>
      <c r="N52"/>
      <c r="BC52" s="81" t="s">
        <v>391</v>
      </c>
      <c r="BD52" s="167">
        <v>293</v>
      </c>
      <c r="BE52" s="167">
        <v>2.9399999999999999E-2</v>
      </c>
      <c r="BF52" s="81">
        <v>9948.2000000000007</v>
      </c>
      <c r="BG52" s="81" t="s">
        <v>422</v>
      </c>
      <c r="BH52" s="167">
        <v>2E-16</v>
      </c>
      <c r="BI52" s="81" t="s">
        <v>389</v>
      </c>
      <c r="BQ52" s="81" t="s">
        <v>392</v>
      </c>
      <c r="BR52" s="167">
        <v>293</v>
      </c>
      <c r="BS52" s="167">
        <v>0.214</v>
      </c>
      <c r="BT52" s="81">
        <v>1373.31</v>
      </c>
      <c r="BU52" s="81" t="s">
        <v>422</v>
      </c>
      <c r="BV52" s="167">
        <v>2E-16</v>
      </c>
      <c r="BW52" s="81" t="s">
        <v>389</v>
      </c>
      <c r="BY52" s="178" t="s">
        <v>319</v>
      </c>
      <c r="BZ52" s="178" t="s">
        <v>320</v>
      </c>
      <c r="CA52" s="178" t="s">
        <v>374</v>
      </c>
      <c r="CB52" s="178" t="s">
        <v>323</v>
      </c>
      <c r="CC52" s="177">
        <f>BR96</f>
        <v>221</v>
      </c>
      <c r="CD52" s="178" t="s">
        <v>322</v>
      </c>
      <c r="CP52" s="258" t="s">
        <v>442</v>
      </c>
      <c r="CQ52" s="258" t="s">
        <v>413</v>
      </c>
      <c r="CR52" s="259">
        <v>-6.72</v>
      </c>
      <c r="CS52" s="259">
        <v>1.43E-2</v>
      </c>
      <c r="CT52" s="258">
        <v>-470.28</v>
      </c>
      <c r="CU52" s="258" t="s">
        <v>422</v>
      </c>
      <c r="CV52" s="167">
        <v>2E-16</v>
      </c>
      <c r="CW52" s="81" t="s">
        <v>389</v>
      </c>
      <c r="CX52" s="260" t="s">
        <v>467</v>
      </c>
      <c r="CY52" s="266" t="s">
        <v>497</v>
      </c>
      <c r="CZ52" s="261" t="s">
        <v>323</v>
      </c>
      <c r="DA52" s="262">
        <f t="shared" si="45"/>
        <v>5.8099999999999999E-2</v>
      </c>
      <c r="DB52" s="260" t="s">
        <v>322</v>
      </c>
      <c r="DD52" s="170" t="s">
        <v>467</v>
      </c>
      <c r="DE52" s="296" t="s">
        <v>497</v>
      </c>
      <c r="DF52" s="291" t="s">
        <v>323</v>
      </c>
      <c r="DG52" s="170">
        <f>$O11*$Z37*$AP28</f>
        <v>4.5106518816598315E-2</v>
      </c>
      <c r="DH52" s="170" t="s">
        <v>322</v>
      </c>
      <c r="DJ52" s="299" t="s">
        <v>442</v>
      </c>
      <c r="DK52" s="299" t="s">
        <v>413</v>
      </c>
      <c r="DL52" s="303">
        <v>-6.09</v>
      </c>
      <c r="DM52" s="303">
        <v>2.2100000000000002E-2</v>
      </c>
      <c r="DN52" s="299">
        <v>-276.10000000000002</v>
      </c>
      <c r="DO52" s="299" t="s">
        <v>422</v>
      </c>
      <c r="DP52" s="303">
        <v>2E-16</v>
      </c>
      <c r="DQ52" s="299" t="s">
        <v>389</v>
      </c>
      <c r="DR52" s="300" t="s">
        <v>467</v>
      </c>
      <c r="DS52" s="307" t="s">
        <v>497</v>
      </c>
      <c r="DT52" s="301" t="s">
        <v>323</v>
      </c>
      <c r="DU52" s="302">
        <f t="shared" si="44"/>
        <v>1.6899999999999999E-8</v>
      </c>
      <c r="DV52" s="300" t="s">
        <v>322</v>
      </c>
    </row>
    <row r="53" spans="2:126" thickTop="1" thickBot="1" x14ac:dyDescent="0.3">
      <c r="L53"/>
      <c r="M53"/>
      <c r="N53"/>
      <c r="X53" s="269" t="s">
        <v>512</v>
      </c>
      <c r="Y53" s="270"/>
      <c r="Z53" s="271" t="s">
        <v>21</v>
      </c>
      <c r="AA53" s="272">
        <f>(1/(1/8+SUM(AD55:AD57)+1/8))</f>
        <v>1.8430034129692836</v>
      </c>
      <c r="AB53" s="270" t="s">
        <v>5</v>
      </c>
      <c r="AC53" s="270"/>
      <c r="AD53" s="270" t="s">
        <v>22</v>
      </c>
      <c r="AE53" s="273">
        <f>SUM(AE55:AE59)</f>
        <v>181020.00000000003</v>
      </c>
      <c r="AF53" s="274" t="s">
        <v>23</v>
      </c>
      <c r="AG53" s="274">
        <f>SUM(AE55:AE57)</f>
        <v>181020.00000000003</v>
      </c>
      <c r="BC53" s="81" t="s">
        <v>392</v>
      </c>
      <c r="BD53" s="167">
        <v>294</v>
      </c>
      <c r="BE53" s="167">
        <v>4.8099999999999997E-2</v>
      </c>
      <c r="BF53" s="81">
        <v>6117.24</v>
      </c>
      <c r="BG53" s="81" t="s">
        <v>422</v>
      </c>
      <c r="BH53" s="167">
        <v>2E-16</v>
      </c>
      <c r="BI53" s="81" t="s">
        <v>389</v>
      </c>
      <c r="BQ53" s="81" t="s">
        <v>394</v>
      </c>
      <c r="BR53" s="167">
        <v>0.46800000000000003</v>
      </c>
      <c r="BS53" s="167">
        <v>1.24E-2</v>
      </c>
      <c r="BT53" s="81">
        <v>37.76</v>
      </c>
      <c r="BU53" s="81" t="s">
        <v>422</v>
      </c>
      <c r="BV53" s="167">
        <v>2E-16</v>
      </c>
      <c r="BW53" s="81" t="s">
        <v>389</v>
      </c>
      <c r="CP53" s="258" t="s">
        <v>442</v>
      </c>
      <c r="CQ53" s="258" t="s">
        <v>414</v>
      </c>
      <c r="CR53" s="259">
        <v>-6.98</v>
      </c>
      <c r="CS53" s="259">
        <v>2.2700000000000001E-2</v>
      </c>
      <c r="CT53" s="258">
        <v>-307.85000000000002</v>
      </c>
      <c r="CU53" s="258" t="s">
        <v>422</v>
      </c>
      <c r="CV53" s="167">
        <v>2E-16</v>
      </c>
      <c r="CW53" s="81" t="s">
        <v>389</v>
      </c>
      <c r="CX53" s="260" t="s">
        <v>467</v>
      </c>
      <c r="CY53" s="266" t="s">
        <v>498</v>
      </c>
      <c r="CZ53" s="261" t="s">
        <v>323</v>
      </c>
      <c r="DA53" s="262">
        <f t="shared" si="45"/>
        <v>6.6599999999999997E-10</v>
      </c>
      <c r="DB53" s="260" t="s">
        <v>322</v>
      </c>
      <c r="DD53" s="170" t="s">
        <v>467</v>
      </c>
      <c r="DE53" s="296" t="s">
        <v>498</v>
      </c>
      <c r="DF53" s="291" t="s">
        <v>323</v>
      </c>
      <c r="DG53" s="170">
        <f>$O10*$Z37*$AP28</f>
        <v>4.081065988168419E-2</v>
      </c>
      <c r="DH53" s="170" t="s">
        <v>322</v>
      </c>
      <c r="DJ53" s="299" t="s">
        <v>442</v>
      </c>
      <c r="DK53" s="299" t="s">
        <v>414</v>
      </c>
      <c r="DL53" s="303">
        <v>-7.05</v>
      </c>
      <c r="DM53" s="303">
        <v>3.5900000000000001E-2</v>
      </c>
      <c r="DN53" s="299">
        <v>-196.39</v>
      </c>
      <c r="DO53" s="299" t="s">
        <v>422</v>
      </c>
      <c r="DP53" s="303">
        <v>2E-16</v>
      </c>
      <c r="DQ53" s="299" t="s">
        <v>389</v>
      </c>
      <c r="DR53" s="300" t="s">
        <v>467</v>
      </c>
      <c r="DS53" s="307" t="s">
        <v>498</v>
      </c>
      <c r="DT53" s="301" t="s">
        <v>323</v>
      </c>
      <c r="DU53" s="302">
        <f t="shared" si="44"/>
        <v>7.6299999999999998E-6</v>
      </c>
      <c r="DV53" s="300" t="s">
        <v>322</v>
      </c>
    </row>
    <row r="54" spans="2:126" thickTop="1" thickBot="1" x14ac:dyDescent="0.3">
      <c r="L54"/>
      <c r="M54"/>
      <c r="N54"/>
      <c r="X54" s="275"/>
      <c r="Y54" s="234" t="s">
        <v>27</v>
      </c>
      <c r="Z54" s="234" t="s">
        <v>28</v>
      </c>
      <c r="AA54" s="234" t="s">
        <v>29</v>
      </c>
      <c r="AB54" s="234" t="s">
        <v>30</v>
      </c>
      <c r="AC54" s="234" t="s">
        <v>31</v>
      </c>
      <c r="AD54" s="234" t="s">
        <v>32</v>
      </c>
      <c r="AE54" s="276" t="s">
        <v>33</v>
      </c>
      <c r="AF54" s="274"/>
      <c r="AG54" s="274"/>
      <c r="AO54" s="170" t="s">
        <v>376</v>
      </c>
      <c r="AP54" s="170">
        <f>SUM(AP42,AP4:AP7)</f>
        <v>1</v>
      </c>
      <c r="AQ54" s="170"/>
      <c r="BC54" s="81" t="s">
        <v>394</v>
      </c>
      <c r="BD54" s="167">
        <v>0.44900000000000001</v>
      </c>
      <c r="BE54" s="167">
        <v>1.77E-2</v>
      </c>
      <c r="BF54" s="81">
        <v>25.4</v>
      </c>
      <c r="BG54" s="81" t="s">
        <v>422</v>
      </c>
      <c r="BH54" s="167">
        <v>2E-16</v>
      </c>
      <c r="BI54" s="81" t="s">
        <v>389</v>
      </c>
      <c r="BQ54" s="81" t="s">
        <v>395</v>
      </c>
      <c r="BR54" s="167">
        <v>0.14099999999999999</v>
      </c>
      <c r="BS54" s="167">
        <v>2.1800000000000001E-3</v>
      </c>
      <c r="BT54" s="81">
        <v>64.91</v>
      </c>
      <c r="BU54" s="81" t="s">
        <v>422</v>
      </c>
      <c r="BV54" s="167">
        <v>2E-16</v>
      </c>
      <c r="BW54" s="81" t="s">
        <v>389</v>
      </c>
      <c r="CP54" s="258" t="s">
        <v>442</v>
      </c>
      <c r="CQ54" s="258" t="s">
        <v>415</v>
      </c>
      <c r="CR54" s="259">
        <v>-6.25</v>
      </c>
      <c r="CS54" s="259">
        <v>1.44E-2</v>
      </c>
      <c r="CT54" s="258">
        <v>-434.68</v>
      </c>
      <c r="CU54" s="258" t="s">
        <v>422</v>
      </c>
      <c r="CV54" s="167">
        <v>2E-16</v>
      </c>
      <c r="CW54" s="81" t="s">
        <v>389</v>
      </c>
      <c r="CX54" s="260" t="s">
        <v>467</v>
      </c>
      <c r="CY54" s="266" t="s">
        <v>499</v>
      </c>
      <c r="CZ54" s="261" t="s">
        <v>323</v>
      </c>
      <c r="DA54" s="262">
        <f t="shared" si="45"/>
        <v>7.2800000000000004E-2</v>
      </c>
      <c r="DB54" s="260" t="s">
        <v>322</v>
      </c>
      <c r="DD54" s="170" t="s">
        <v>467</v>
      </c>
      <c r="DE54" s="296" t="s">
        <v>499</v>
      </c>
      <c r="DF54" s="291" t="s">
        <v>323</v>
      </c>
      <c r="DG54" s="170">
        <f>$O12*$Z37*$AP28</f>
        <v>4.2242612859988898E-2</v>
      </c>
      <c r="DH54" s="170" t="s">
        <v>322</v>
      </c>
      <c r="DJ54" s="299" t="s">
        <v>442</v>
      </c>
      <c r="DK54" s="299" t="s">
        <v>415</v>
      </c>
      <c r="DL54" s="303">
        <v>-5.83</v>
      </c>
      <c r="DM54" s="303">
        <v>2.4400000000000002E-2</v>
      </c>
      <c r="DN54" s="299">
        <v>-238.55</v>
      </c>
      <c r="DO54" s="299" t="s">
        <v>422</v>
      </c>
      <c r="DP54" s="303">
        <v>2E-16</v>
      </c>
      <c r="DQ54" s="299" t="s">
        <v>389</v>
      </c>
      <c r="DR54" s="300" t="s">
        <v>467</v>
      </c>
      <c r="DS54" s="307" t="s">
        <v>499</v>
      </c>
      <c r="DT54" s="301" t="s">
        <v>323</v>
      </c>
      <c r="DU54" s="302">
        <f t="shared" si="44"/>
        <v>6.7799999999999999E-2</v>
      </c>
      <c r="DV54" s="300" t="s">
        <v>322</v>
      </c>
    </row>
    <row r="55" spans="2:126" thickTop="1" thickBot="1" x14ac:dyDescent="0.3">
      <c r="L55"/>
      <c r="M55"/>
      <c r="N55"/>
      <c r="X55" s="277"/>
      <c r="Y55" s="189" t="s">
        <v>90</v>
      </c>
      <c r="Z55" s="189">
        <v>0.02</v>
      </c>
      <c r="AA55" s="189">
        <v>0.6</v>
      </c>
      <c r="AB55" s="189">
        <v>975</v>
      </c>
      <c r="AC55" s="189">
        <v>840</v>
      </c>
      <c r="AD55" s="236">
        <f>Z55/AA55</f>
        <v>3.3333333333333333E-2</v>
      </c>
      <c r="AE55" s="278">
        <f>Z55*AB55*AC55</f>
        <v>16380</v>
      </c>
      <c r="AF55" s="274"/>
      <c r="AG55" s="274"/>
      <c r="AO55" s="170" t="s">
        <v>376</v>
      </c>
      <c r="AP55" s="170">
        <f>SUM(AP43,AP26:AP28)</f>
        <v>1</v>
      </c>
      <c r="AQ55" s="170"/>
      <c r="BC55" s="81" t="s">
        <v>395</v>
      </c>
      <c r="BD55" s="167">
        <v>0.111</v>
      </c>
      <c r="BE55" s="167">
        <v>1.1199999999999999E-3</v>
      </c>
      <c r="BF55" s="81">
        <v>99.15</v>
      </c>
      <c r="BG55" s="81" t="s">
        <v>422</v>
      </c>
      <c r="BH55" s="167">
        <v>2E-16</v>
      </c>
      <c r="BI55" s="81" t="s">
        <v>389</v>
      </c>
      <c r="BQ55" s="81" t="s">
        <v>396</v>
      </c>
      <c r="BR55" s="167">
        <v>0.108</v>
      </c>
      <c r="BS55" s="167">
        <v>2.07E-2</v>
      </c>
      <c r="BT55" s="81">
        <v>5.23</v>
      </c>
      <c r="BU55" s="167">
        <v>1.8E-7</v>
      </c>
      <c r="BV55" s="81" t="s">
        <v>389</v>
      </c>
      <c r="BW55" s="81"/>
      <c r="CP55" s="258" t="s">
        <v>442</v>
      </c>
      <c r="CQ55" s="258" t="s">
        <v>416</v>
      </c>
      <c r="CR55" s="259">
        <v>-6.88</v>
      </c>
      <c r="CS55" s="259">
        <v>1.8599999999999998E-2</v>
      </c>
      <c r="CT55" s="258">
        <v>-370.25</v>
      </c>
      <c r="CU55" s="258" t="s">
        <v>422</v>
      </c>
      <c r="CV55" s="167">
        <v>2E-16</v>
      </c>
      <c r="CW55" s="81" t="s">
        <v>389</v>
      </c>
      <c r="CX55" s="260" t="s">
        <v>467</v>
      </c>
      <c r="CY55" s="266" t="s">
        <v>500</v>
      </c>
      <c r="CZ55" s="261" t="s">
        <v>323</v>
      </c>
      <c r="DA55" s="262">
        <f t="shared" si="45"/>
        <v>0.23899999999999999</v>
      </c>
      <c r="DB55" s="260" t="s">
        <v>322</v>
      </c>
      <c r="DD55" s="170" t="s">
        <v>467</v>
      </c>
      <c r="DE55" s="296" t="s">
        <v>500</v>
      </c>
      <c r="DF55" s="291" t="s">
        <v>323</v>
      </c>
      <c r="DG55" s="170">
        <f>$O13*$Z37*$AP28</f>
        <v>4.6538471794903023E-2</v>
      </c>
      <c r="DH55" s="170" t="s">
        <v>322</v>
      </c>
      <c r="DJ55" s="299" t="s">
        <v>442</v>
      </c>
      <c r="DK55" s="299" t="s">
        <v>416</v>
      </c>
      <c r="DL55" s="303">
        <v>-6.61</v>
      </c>
      <c r="DM55" s="303">
        <v>2.4400000000000002E-2</v>
      </c>
      <c r="DN55" s="299">
        <v>-271.58</v>
      </c>
      <c r="DO55" s="299" t="s">
        <v>422</v>
      </c>
      <c r="DP55" s="303">
        <v>2E-16</v>
      </c>
      <c r="DQ55" s="299" t="s">
        <v>389</v>
      </c>
      <c r="DR55" s="300" t="s">
        <v>467</v>
      </c>
      <c r="DS55" s="307" t="s">
        <v>500</v>
      </c>
      <c r="DT55" s="301" t="s">
        <v>323</v>
      </c>
      <c r="DU55" s="302">
        <f t="shared" si="44"/>
        <v>0.315</v>
      </c>
      <c r="DV55" s="300" t="s">
        <v>322</v>
      </c>
    </row>
    <row r="56" spans="2:126" thickTop="1" thickBot="1" x14ac:dyDescent="0.3">
      <c r="X56" s="277"/>
      <c r="Y56" s="189" t="s">
        <v>93</v>
      </c>
      <c r="Z56" s="189">
        <v>0.14000000000000001</v>
      </c>
      <c r="AA56" s="189">
        <v>0.54</v>
      </c>
      <c r="AB56" s="189">
        <v>1400</v>
      </c>
      <c r="AC56" s="189">
        <v>840</v>
      </c>
      <c r="AD56" s="236">
        <f>Z56/AA56</f>
        <v>0.25925925925925924</v>
      </c>
      <c r="AE56" s="278">
        <f>Z56*AB56*AC56</f>
        <v>164640.00000000003</v>
      </c>
      <c r="AF56" s="274"/>
      <c r="AG56" s="274"/>
      <c r="AO56" s="170" t="s">
        <v>377</v>
      </c>
      <c r="AP56" s="170">
        <f>SUM(AP46,AP14:AP17)</f>
        <v>1.0164006707014608</v>
      </c>
      <c r="AQ56" s="170"/>
      <c r="BC56" s="81" t="s">
        <v>396</v>
      </c>
      <c r="BD56" s="167">
        <v>0.255</v>
      </c>
      <c r="BE56" s="167">
        <v>1.8100000000000002E-2</v>
      </c>
      <c r="BF56" s="81">
        <v>14.05</v>
      </c>
      <c r="BG56" s="81" t="s">
        <v>422</v>
      </c>
      <c r="BH56" s="167">
        <v>2E-16</v>
      </c>
      <c r="BI56" s="81" t="s">
        <v>389</v>
      </c>
      <c r="BQ56" s="81" t="s">
        <v>397</v>
      </c>
      <c r="BR56" s="167">
        <v>0.28299999999999997</v>
      </c>
      <c r="BS56" s="167">
        <v>6.1999999999999998E-3</v>
      </c>
      <c r="BT56" s="81">
        <v>45.61</v>
      </c>
      <c r="BU56" s="81" t="s">
        <v>422</v>
      </c>
      <c r="BV56" s="167">
        <v>2E-16</v>
      </c>
      <c r="BW56" s="81" t="s">
        <v>389</v>
      </c>
      <c r="CP56" s="258" t="s">
        <v>442</v>
      </c>
      <c r="CQ56" s="258" t="s">
        <v>417</v>
      </c>
      <c r="CR56" s="259">
        <v>1.95E-2</v>
      </c>
      <c r="CS56" s="259">
        <v>1.63E-4</v>
      </c>
      <c r="CT56" s="258">
        <v>119.32</v>
      </c>
      <c r="CU56" s="258" t="s">
        <v>422</v>
      </c>
      <c r="CV56" s="167">
        <v>2E-16</v>
      </c>
      <c r="CW56" s="81" t="s">
        <v>389</v>
      </c>
      <c r="CX56" s="260" t="s">
        <v>467</v>
      </c>
      <c r="CY56" s="266" t="s">
        <v>501</v>
      </c>
      <c r="CZ56" s="261" t="s">
        <v>323</v>
      </c>
      <c r="DA56" s="262">
        <f t="shared" si="45"/>
        <v>0.17699999999999999</v>
      </c>
      <c r="DB56" s="260" t="s">
        <v>322</v>
      </c>
      <c r="DD56" s="170" t="s">
        <v>467</v>
      </c>
      <c r="DE56" s="296" t="s">
        <v>501</v>
      </c>
      <c r="DF56" s="291" t="s">
        <v>323</v>
      </c>
      <c r="DG56" s="170">
        <f>$O11*$Z37*$AP43</f>
        <v>0.22922984972369637</v>
      </c>
      <c r="DH56" s="170" t="s">
        <v>322</v>
      </c>
      <c r="DJ56" s="299" t="s">
        <v>442</v>
      </c>
      <c r="DK56" s="299" t="s">
        <v>417</v>
      </c>
      <c r="DL56" s="303">
        <v>1.9E-2</v>
      </c>
      <c r="DM56" s="303">
        <v>2.9300000000000002E-4</v>
      </c>
      <c r="DN56" s="299">
        <v>64.930000000000007</v>
      </c>
      <c r="DO56" s="299" t="s">
        <v>422</v>
      </c>
      <c r="DP56" s="303">
        <v>2E-16</v>
      </c>
      <c r="DQ56" s="299" t="s">
        <v>389</v>
      </c>
      <c r="DR56" s="300" t="s">
        <v>467</v>
      </c>
      <c r="DS56" s="307" t="s">
        <v>501</v>
      </c>
      <c r="DT56" s="301" t="s">
        <v>323</v>
      </c>
      <c r="DU56" s="302">
        <f t="shared" si="44"/>
        <v>0.13300000000000001</v>
      </c>
      <c r="DV56" s="300" t="s">
        <v>322</v>
      </c>
    </row>
    <row r="57" spans="2:126" thickTop="1" thickBot="1" x14ac:dyDescent="0.3">
      <c r="X57" s="279"/>
      <c r="Y57" s="280" t="s">
        <v>273</v>
      </c>
      <c r="Z57" s="281">
        <v>0</v>
      </c>
      <c r="AA57" s="281">
        <v>3.5999999999999997E-2</v>
      </c>
      <c r="AB57" s="281">
        <v>26</v>
      </c>
      <c r="AC57" s="281">
        <v>1470</v>
      </c>
      <c r="AD57" s="282">
        <f>Z57/AA57</f>
        <v>0</v>
      </c>
      <c r="AE57" s="283">
        <f>Z57*AB57*AC57</f>
        <v>0</v>
      </c>
      <c r="AF57" s="274"/>
      <c r="AG57" s="274"/>
      <c r="AO57" s="170" t="s">
        <v>377</v>
      </c>
      <c r="AP57" s="170">
        <f>SUM(AP47,AP33:AP35)</f>
        <v>1</v>
      </c>
      <c r="AQ57" s="170"/>
      <c r="BC57" s="81" t="s">
        <v>397</v>
      </c>
      <c r="BD57" s="167">
        <v>0.19800000000000001</v>
      </c>
      <c r="BE57" s="167">
        <v>3.8500000000000001E-3</v>
      </c>
      <c r="BF57" s="81">
        <v>51.44</v>
      </c>
      <c r="BG57" s="81" t="s">
        <v>422</v>
      </c>
      <c r="BH57" s="167">
        <v>2E-16</v>
      </c>
      <c r="BI57" s="81" t="s">
        <v>389</v>
      </c>
      <c r="BQ57" s="81" t="s">
        <v>308</v>
      </c>
      <c r="BR57" s="167">
        <v>990000000</v>
      </c>
      <c r="BS57" s="167">
        <v>65000000</v>
      </c>
      <c r="BT57" s="81">
        <v>15.24</v>
      </c>
      <c r="BU57" s="81" t="s">
        <v>422</v>
      </c>
      <c r="BV57" s="167">
        <v>2E-16</v>
      </c>
      <c r="BW57" s="81" t="s">
        <v>389</v>
      </c>
      <c r="CP57" s="258" t="s">
        <v>442</v>
      </c>
      <c r="CQ57" s="258" t="s">
        <v>418</v>
      </c>
      <c r="CR57" s="259">
        <v>41.5</v>
      </c>
      <c r="CS57" s="259">
        <v>0.219</v>
      </c>
      <c r="CT57" s="258">
        <v>189.22</v>
      </c>
      <c r="CU57" s="258" t="s">
        <v>422</v>
      </c>
      <c r="CV57" s="167">
        <v>2E-16</v>
      </c>
      <c r="CW57" s="81" t="s">
        <v>389</v>
      </c>
      <c r="CX57" s="260" t="s">
        <v>467</v>
      </c>
      <c r="CY57" s="266" t="s">
        <v>502</v>
      </c>
      <c r="CZ57" s="261" t="s">
        <v>323</v>
      </c>
      <c r="DA57" s="262">
        <f t="shared" si="45"/>
        <v>0.28399999999999997</v>
      </c>
      <c r="DB57" s="260" t="s">
        <v>322</v>
      </c>
      <c r="DD57" s="170" t="s">
        <v>467</v>
      </c>
      <c r="DE57" s="296" t="s">
        <v>502</v>
      </c>
      <c r="DF57" s="291" t="s">
        <v>323</v>
      </c>
      <c r="DG57" s="170">
        <f>$O10*$Z37*$AP43</f>
        <v>0.2073984354642967</v>
      </c>
      <c r="DH57" s="170" t="s">
        <v>322</v>
      </c>
      <c r="DJ57" s="299" t="s">
        <v>442</v>
      </c>
      <c r="DK57" s="299" t="s">
        <v>418</v>
      </c>
      <c r="DL57" s="303">
        <v>81.400000000000006</v>
      </c>
      <c r="DM57" s="303">
        <v>0.60899999999999999</v>
      </c>
      <c r="DN57" s="299">
        <v>133.69999999999999</v>
      </c>
      <c r="DO57" s="299" t="s">
        <v>422</v>
      </c>
      <c r="DP57" s="303">
        <v>2E-16</v>
      </c>
      <c r="DQ57" s="299" t="s">
        <v>389</v>
      </c>
      <c r="DR57" s="300" t="s">
        <v>467</v>
      </c>
      <c r="DS57" s="307" t="s">
        <v>502</v>
      </c>
      <c r="DT57" s="301" t="s">
        <v>323</v>
      </c>
      <c r="DU57" s="302">
        <f t="shared" si="44"/>
        <v>4.3299999999999998E-2</v>
      </c>
      <c r="DV57" s="300" t="s">
        <v>322</v>
      </c>
    </row>
    <row r="58" spans="2:126" thickTop="1" thickBot="1" x14ac:dyDescent="0.3">
      <c r="BC58" s="81" t="s">
        <v>308</v>
      </c>
      <c r="BD58" s="167">
        <v>29000000</v>
      </c>
      <c r="BE58" s="167">
        <v>522000</v>
      </c>
      <c r="BF58" s="81">
        <v>55.58</v>
      </c>
      <c r="BG58" s="81" t="s">
        <v>422</v>
      </c>
      <c r="BH58" s="167">
        <v>2E-16</v>
      </c>
      <c r="BI58" s="81" t="s">
        <v>389</v>
      </c>
      <c r="BQ58" s="81" t="s">
        <v>399</v>
      </c>
      <c r="BR58" s="167">
        <v>752000</v>
      </c>
      <c r="BS58" s="167">
        <v>20000</v>
      </c>
      <c r="BT58" s="81">
        <v>37.6</v>
      </c>
      <c r="BU58" s="81" t="s">
        <v>422</v>
      </c>
      <c r="BV58" s="167">
        <v>2E-16</v>
      </c>
      <c r="BW58" s="81" t="s">
        <v>389</v>
      </c>
      <c r="CP58" s="258" t="s">
        <v>442</v>
      </c>
      <c r="CQ58" s="258" t="s">
        <v>419</v>
      </c>
      <c r="CR58" s="259">
        <v>9910</v>
      </c>
      <c r="CS58" s="259">
        <v>579</v>
      </c>
      <c r="CT58" s="258">
        <v>17.100000000000001</v>
      </c>
      <c r="CU58" s="259" t="s">
        <v>422</v>
      </c>
      <c r="CV58" s="167">
        <v>2E-16</v>
      </c>
      <c r="CW58" s="81" t="s">
        <v>389</v>
      </c>
      <c r="CX58" s="260" t="s">
        <v>467</v>
      </c>
      <c r="CY58" s="266" t="s">
        <v>503</v>
      </c>
      <c r="CZ58" s="261" t="s">
        <v>323</v>
      </c>
      <c r="DA58" s="262">
        <f t="shared" si="45"/>
        <v>0.16800000000000001</v>
      </c>
      <c r="DB58" s="260" t="s">
        <v>322</v>
      </c>
      <c r="DD58" s="170" t="s">
        <v>467</v>
      </c>
      <c r="DE58" s="296" t="s">
        <v>503</v>
      </c>
      <c r="DF58" s="291" t="s">
        <v>323</v>
      </c>
      <c r="DG58" s="170">
        <f>$O12*$Z37*$AP43</f>
        <v>0.21467557355076328</v>
      </c>
      <c r="DH58" s="170" t="s">
        <v>322</v>
      </c>
      <c r="DJ58" s="299" t="s">
        <v>442</v>
      </c>
      <c r="DK58" s="299" t="s">
        <v>419</v>
      </c>
      <c r="DL58" s="303">
        <v>9800</v>
      </c>
      <c r="DM58" s="303">
        <v>2140</v>
      </c>
      <c r="DN58" s="299">
        <v>4.58</v>
      </c>
      <c r="DO58" s="303">
        <v>4.6999999999999999E-6</v>
      </c>
      <c r="DP58" s="303" t="s">
        <v>389</v>
      </c>
      <c r="DR58" s="300" t="s">
        <v>467</v>
      </c>
      <c r="DS58" s="307" t="s">
        <v>503</v>
      </c>
      <c r="DT58" s="301" t="s">
        <v>323</v>
      </c>
      <c r="DU58" s="302">
        <f t="shared" si="44"/>
        <v>0.11600000000000001</v>
      </c>
      <c r="DV58" s="300" t="s">
        <v>322</v>
      </c>
    </row>
    <row r="59" spans="2:126" thickTop="1" thickBot="1" x14ac:dyDescent="0.3">
      <c r="BC59" s="81" t="s">
        <v>399</v>
      </c>
      <c r="BD59" s="167">
        <v>858000</v>
      </c>
      <c r="BE59" s="167">
        <v>4620</v>
      </c>
      <c r="BF59" s="81">
        <v>185.74</v>
      </c>
      <c r="BG59" s="81" t="s">
        <v>422</v>
      </c>
      <c r="BH59" s="167">
        <v>2E-16</v>
      </c>
      <c r="BI59" s="81" t="s">
        <v>389</v>
      </c>
      <c r="BQ59" s="81" t="s">
        <v>301</v>
      </c>
      <c r="BR59" s="167">
        <v>8650000</v>
      </c>
      <c r="BS59" s="167">
        <v>780000</v>
      </c>
      <c r="BT59" s="81">
        <v>11.09</v>
      </c>
      <c r="BU59" s="81" t="s">
        <v>422</v>
      </c>
      <c r="BV59" s="167">
        <v>2E-16</v>
      </c>
      <c r="BW59" s="81" t="s">
        <v>389</v>
      </c>
      <c r="CP59" s="258" t="s">
        <v>442</v>
      </c>
      <c r="CQ59" s="258" t="s">
        <v>420</v>
      </c>
      <c r="CR59" s="259">
        <v>61.5</v>
      </c>
      <c r="CS59" s="259">
        <v>0.59</v>
      </c>
      <c r="CT59" s="258">
        <v>104.2</v>
      </c>
      <c r="CU59" s="258" t="s">
        <v>422</v>
      </c>
      <c r="CV59" s="167">
        <v>2E-16</v>
      </c>
      <c r="CW59" s="81" t="s">
        <v>389</v>
      </c>
      <c r="CX59" s="260" t="s">
        <v>467</v>
      </c>
      <c r="CY59" s="266" t="s">
        <v>504</v>
      </c>
      <c r="CZ59" s="261" t="s">
        <v>323</v>
      </c>
      <c r="DA59" s="262">
        <f t="shared" si="45"/>
        <v>0.13100000000000001</v>
      </c>
      <c r="DB59" s="260" t="s">
        <v>322</v>
      </c>
      <c r="DD59" s="170" t="s">
        <v>467</v>
      </c>
      <c r="DE59" s="296" t="s">
        <v>504</v>
      </c>
      <c r="DF59" s="291" t="s">
        <v>323</v>
      </c>
      <c r="DG59" s="170">
        <f>$O13*$Z37*$AP43</f>
        <v>0.23650698781016291</v>
      </c>
      <c r="DH59" s="170" t="s">
        <v>322</v>
      </c>
      <c r="DJ59" s="299" t="s">
        <v>442</v>
      </c>
      <c r="DK59" s="299" t="s">
        <v>420</v>
      </c>
      <c r="DL59" s="303">
        <v>106</v>
      </c>
      <c r="DM59" s="303">
        <v>1.59</v>
      </c>
      <c r="DN59" s="299">
        <v>66.459999999999994</v>
      </c>
      <c r="DO59" s="299" t="s">
        <v>422</v>
      </c>
      <c r="DP59" s="303">
        <v>2E-16</v>
      </c>
      <c r="DQ59" s="299" t="s">
        <v>389</v>
      </c>
      <c r="DR59" s="300" t="s">
        <v>467</v>
      </c>
      <c r="DS59" s="307" t="s">
        <v>504</v>
      </c>
      <c r="DT59" s="301" t="s">
        <v>323</v>
      </c>
      <c r="DU59" s="302">
        <f t="shared" si="44"/>
        <v>6.9900000000000004E-2</v>
      </c>
      <c r="DV59" s="300" t="s">
        <v>322</v>
      </c>
    </row>
    <row r="60" spans="2:126" thickTop="1" thickBot="1" x14ac:dyDescent="0.3">
      <c r="BC60" s="81" t="s">
        <v>301</v>
      </c>
      <c r="BD60" s="167">
        <v>2990000</v>
      </c>
      <c r="BE60" s="167">
        <v>49000</v>
      </c>
      <c r="BF60" s="81">
        <v>61.12</v>
      </c>
      <c r="BG60" s="81" t="s">
        <v>422</v>
      </c>
      <c r="BH60" s="167">
        <v>2E-16</v>
      </c>
      <c r="BI60" s="81" t="s">
        <v>389</v>
      </c>
      <c r="BQ60" s="81" t="s">
        <v>303</v>
      </c>
      <c r="BR60" s="167">
        <v>17100000</v>
      </c>
      <c r="BS60" s="167">
        <v>4790000</v>
      </c>
      <c r="BT60" s="81">
        <v>3.56</v>
      </c>
      <c r="BU60" s="81">
        <v>3.6999999999999999E-4</v>
      </c>
      <c r="BV60" s="81" t="s">
        <v>389</v>
      </c>
      <c r="BW60" s="81"/>
      <c r="CY60" s="266"/>
      <c r="CZ60" s="261"/>
      <c r="DA60" s="262"/>
      <c r="DE60" s="296"/>
      <c r="DF60" s="291"/>
      <c r="DS60" s="307"/>
      <c r="DT60" s="301"/>
      <c r="DU60" s="302"/>
    </row>
    <row r="61" spans="2:126" thickTop="1" thickBot="1" x14ac:dyDescent="0.3">
      <c r="BC61" s="81" t="s">
        <v>303</v>
      </c>
      <c r="BD61" s="167">
        <v>5280000</v>
      </c>
      <c r="BE61" s="167">
        <v>21200</v>
      </c>
      <c r="BF61" s="81">
        <v>249</v>
      </c>
      <c r="BG61" s="81" t="s">
        <v>422</v>
      </c>
      <c r="BH61" s="167">
        <v>2E-16</v>
      </c>
      <c r="BI61" s="81" t="s">
        <v>389</v>
      </c>
      <c r="BQ61" s="81" t="s">
        <v>400</v>
      </c>
      <c r="BR61" s="167">
        <v>-20.100000000000001</v>
      </c>
      <c r="BS61" s="167">
        <v>467</v>
      </c>
      <c r="BT61" s="81">
        <v>-0.04</v>
      </c>
      <c r="BU61" s="81">
        <v>0.96562999999999999</v>
      </c>
      <c r="BV61" s="81"/>
      <c r="BW61" s="81"/>
      <c r="CP61" s="258" t="s">
        <v>442</v>
      </c>
      <c r="CQ61" s="258" t="s">
        <v>433</v>
      </c>
      <c r="CR61" s="258" t="s">
        <v>460</v>
      </c>
      <c r="CV61" s="81"/>
      <c r="CW61" s="81"/>
      <c r="CX61" s="260" t="s">
        <v>467</v>
      </c>
      <c r="CY61" s="266" t="s">
        <v>344</v>
      </c>
      <c r="CZ61" s="261" t="s">
        <v>323</v>
      </c>
      <c r="DA61" s="262">
        <f>CR85</f>
        <v>1820000</v>
      </c>
      <c r="DB61" s="260" t="s">
        <v>322</v>
      </c>
      <c r="DD61" s="170" t="s">
        <v>467</v>
      </c>
      <c r="DE61" s="296" t="s">
        <v>344</v>
      </c>
      <c r="DF61" s="291" t="s">
        <v>323</v>
      </c>
      <c r="DG61" s="295">
        <f>$AP30</f>
        <v>1538247.9853594769</v>
      </c>
      <c r="DH61" s="170" t="s">
        <v>322</v>
      </c>
      <c r="DJ61" s="299" t="s">
        <v>442</v>
      </c>
      <c r="DK61" s="299" t="s">
        <v>433</v>
      </c>
      <c r="DL61" s="299" t="s">
        <v>460</v>
      </c>
      <c r="DR61" s="300" t="s">
        <v>467</v>
      </c>
      <c r="DS61" s="307" t="s">
        <v>344</v>
      </c>
      <c r="DT61" s="301" t="s">
        <v>323</v>
      </c>
      <c r="DU61" s="302">
        <f>DL85</f>
        <v>931000</v>
      </c>
      <c r="DV61" s="300" t="s">
        <v>322</v>
      </c>
    </row>
    <row r="62" spans="2:126" thickTop="1" thickBot="1" x14ac:dyDescent="0.3">
      <c r="BC62" s="81" t="s">
        <v>400</v>
      </c>
      <c r="BD62" s="167">
        <v>-24.7</v>
      </c>
      <c r="BE62" s="167">
        <v>0.50900000000000001</v>
      </c>
      <c r="BF62" s="81">
        <v>-48.59</v>
      </c>
      <c r="BG62" s="81" t="s">
        <v>422</v>
      </c>
      <c r="BH62" s="167">
        <v>2E-16</v>
      </c>
      <c r="BI62" s="81" t="s">
        <v>389</v>
      </c>
      <c r="BQ62" s="81" t="s">
        <v>401</v>
      </c>
      <c r="BR62" s="167">
        <v>-13.2</v>
      </c>
      <c r="BS62" s="167">
        <v>543</v>
      </c>
      <c r="BT62" s="81">
        <v>-0.02</v>
      </c>
      <c r="BU62" s="81">
        <v>0.98057000000000005</v>
      </c>
      <c r="BV62" s="81"/>
      <c r="BW62" s="81"/>
      <c r="CP62" s="258" t="s">
        <v>442</v>
      </c>
      <c r="CQ62" s="258" t="s">
        <v>380</v>
      </c>
      <c r="CV62" s="81"/>
      <c r="CW62" s="81"/>
      <c r="CX62" s="260" t="s">
        <v>467</v>
      </c>
      <c r="CY62" s="266" t="s">
        <v>345</v>
      </c>
      <c r="CZ62" s="261" t="s">
        <v>323</v>
      </c>
      <c r="DA62" s="262">
        <f t="shared" ref="DA62:DA63" si="46">CR86</f>
        <v>5640000</v>
      </c>
      <c r="DB62" s="260" t="s">
        <v>322</v>
      </c>
      <c r="DD62" s="170" t="s">
        <v>467</v>
      </c>
      <c r="DE62" s="296" t="s">
        <v>345</v>
      </c>
      <c r="DF62" s="291" t="s">
        <v>323</v>
      </c>
      <c r="DG62" s="295">
        <f>$AP31</f>
        <v>10731463.172905527</v>
      </c>
      <c r="DH62" s="170" t="s">
        <v>322</v>
      </c>
      <c r="DJ62" s="299" t="s">
        <v>442</v>
      </c>
      <c r="DK62" s="299" t="s">
        <v>380</v>
      </c>
      <c r="DR62" s="300" t="s">
        <v>467</v>
      </c>
      <c r="DS62" s="307" t="s">
        <v>345</v>
      </c>
      <c r="DT62" s="301" t="s">
        <v>323</v>
      </c>
      <c r="DU62" s="302">
        <f>DL86</f>
        <v>3960000</v>
      </c>
      <c r="DV62" s="300" t="s">
        <v>322</v>
      </c>
    </row>
    <row r="63" spans="2:126" thickTop="1" thickBot="1" x14ac:dyDescent="0.3">
      <c r="BC63" s="81" t="s">
        <v>401</v>
      </c>
      <c r="BD63" s="167">
        <v>-11.8</v>
      </c>
      <c r="BE63" s="167">
        <v>10.6</v>
      </c>
      <c r="BF63" s="81">
        <v>-1.1200000000000001</v>
      </c>
      <c r="BG63" s="81">
        <v>0.26</v>
      </c>
      <c r="BH63" s="81"/>
      <c r="BI63" s="81"/>
      <c r="BQ63" s="81" t="s">
        <v>402</v>
      </c>
      <c r="BR63" s="167">
        <v>-13.4</v>
      </c>
      <c r="BS63" s="167">
        <v>316</v>
      </c>
      <c r="BT63" s="81">
        <v>-0.04</v>
      </c>
      <c r="BU63" s="81">
        <v>0.96606999999999998</v>
      </c>
      <c r="BV63" s="81"/>
      <c r="BW63" s="81"/>
      <c r="CP63" s="258" t="s">
        <v>442</v>
      </c>
      <c r="CQ63" s="258" t="s">
        <v>381</v>
      </c>
      <c r="CR63" s="258" t="s">
        <v>382</v>
      </c>
      <c r="CS63" s="258" t="s">
        <v>383</v>
      </c>
      <c r="CT63" s="258" t="s">
        <v>384</v>
      </c>
      <c r="CU63" s="258" t="s">
        <v>385</v>
      </c>
      <c r="CV63" s="81" t="s">
        <v>386</v>
      </c>
      <c r="CW63" s="81"/>
      <c r="CX63" s="260" t="s">
        <v>467</v>
      </c>
      <c r="CY63" s="266" t="s">
        <v>346</v>
      </c>
      <c r="CZ63" s="261" t="s">
        <v>323</v>
      </c>
      <c r="DA63" s="262">
        <f t="shared" si="46"/>
        <v>35700000</v>
      </c>
      <c r="DB63" s="260" t="s">
        <v>322</v>
      </c>
      <c r="DD63" s="170" t="s">
        <v>467</v>
      </c>
      <c r="DE63" s="296" t="s">
        <v>346</v>
      </c>
      <c r="DF63" s="291" t="s">
        <v>323</v>
      </c>
      <c r="DG63" s="295">
        <f>$AP32</f>
        <v>46855746.438658625</v>
      </c>
      <c r="DH63" s="170" t="s">
        <v>322</v>
      </c>
      <c r="DJ63" s="299" t="s">
        <v>442</v>
      </c>
      <c r="DK63" s="299" t="s">
        <v>381</v>
      </c>
      <c r="DL63" s="299" t="s">
        <v>382</v>
      </c>
      <c r="DM63" s="299" t="s">
        <v>383</v>
      </c>
      <c r="DN63" s="299" t="s">
        <v>384</v>
      </c>
      <c r="DO63" s="299" t="s">
        <v>385</v>
      </c>
      <c r="DP63" s="299" t="s">
        <v>386</v>
      </c>
      <c r="DR63" s="300" t="s">
        <v>467</v>
      </c>
      <c r="DS63" s="307" t="s">
        <v>346</v>
      </c>
      <c r="DT63" s="301" t="s">
        <v>323</v>
      </c>
      <c r="DU63" s="302">
        <f>DL87</f>
        <v>76000000</v>
      </c>
      <c r="DV63" s="300" t="s">
        <v>322</v>
      </c>
    </row>
    <row r="64" spans="2:126" thickTop="1" thickBot="1" x14ac:dyDescent="0.3">
      <c r="BC64" s="81" t="s">
        <v>402</v>
      </c>
      <c r="BD64" s="167">
        <v>-18.3</v>
      </c>
      <c r="BE64" s="167">
        <v>2.2400000000000002</v>
      </c>
      <c r="BF64" s="81">
        <v>-8.19</v>
      </c>
      <c r="BG64" s="167">
        <v>4.4E-16</v>
      </c>
      <c r="BH64" s="81" t="s">
        <v>389</v>
      </c>
      <c r="BI64" s="81"/>
      <c r="BQ64" s="81" t="s">
        <v>403</v>
      </c>
      <c r="BR64" s="167">
        <v>-14.3</v>
      </c>
      <c r="BS64" s="167">
        <v>664</v>
      </c>
      <c r="BT64" s="81">
        <v>-0.02</v>
      </c>
      <c r="BU64" s="81">
        <v>0.98280999999999996</v>
      </c>
      <c r="BV64" s="81"/>
      <c r="BW64" s="81"/>
      <c r="CP64" s="258" t="s">
        <v>442</v>
      </c>
      <c r="CQ64" s="258" t="s">
        <v>387</v>
      </c>
      <c r="CR64" s="259">
        <v>292</v>
      </c>
      <c r="CS64" s="259">
        <v>3.3000000000000002E-2</v>
      </c>
      <c r="CT64" s="258">
        <v>8830.19</v>
      </c>
      <c r="CU64" s="258" t="s">
        <v>422</v>
      </c>
      <c r="CV64" s="167">
        <v>2E-16</v>
      </c>
      <c r="CW64" s="81" t="s">
        <v>389</v>
      </c>
      <c r="CZ64" s="261"/>
      <c r="DF64" s="291"/>
      <c r="DJ64" s="299" t="s">
        <v>442</v>
      </c>
      <c r="DK64" s="299" t="s">
        <v>387</v>
      </c>
      <c r="DL64" s="303">
        <v>291</v>
      </c>
      <c r="DM64" s="303">
        <v>0.126</v>
      </c>
      <c r="DN64" s="299">
        <v>2301.29</v>
      </c>
      <c r="DO64" s="299" t="s">
        <v>422</v>
      </c>
      <c r="DP64" s="303">
        <v>2E-16</v>
      </c>
      <c r="DQ64" s="299" t="s">
        <v>389</v>
      </c>
      <c r="DT64" s="301"/>
    </row>
    <row r="65" spans="55:126" thickTop="1" thickBot="1" x14ac:dyDescent="0.3">
      <c r="BC65" s="81" t="s">
        <v>403</v>
      </c>
      <c r="BD65" s="167">
        <v>-16.100000000000001</v>
      </c>
      <c r="BE65" s="167">
        <v>1.95</v>
      </c>
      <c r="BF65" s="81">
        <v>-8.25</v>
      </c>
      <c r="BG65" s="167">
        <v>2.2E-16</v>
      </c>
      <c r="BH65" s="81" t="s">
        <v>389</v>
      </c>
      <c r="BI65" s="81"/>
      <c r="BQ65" s="81" t="s">
        <v>405</v>
      </c>
      <c r="BR65" s="167">
        <v>0.23</v>
      </c>
      <c r="BS65" s="167">
        <v>2.3800000000000002E-3</v>
      </c>
      <c r="BT65" s="81">
        <v>96.68</v>
      </c>
      <c r="BU65" s="81" t="s">
        <v>422</v>
      </c>
      <c r="BV65" s="167">
        <v>2E-16</v>
      </c>
      <c r="BW65" s="81" t="s">
        <v>389</v>
      </c>
      <c r="CP65" s="258" t="s">
        <v>442</v>
      </c>
      <c r="CQ65" s="258" t="s">
        <v>390</v>
      </c>
      <c r="CR65" s="259">
        <v>287</v>
      </c>
      <c r="CS65" s="259">
        <v>6.83E-2</v>
      </c>
      <c r="CT65" s="258">
        <v>4206.07</v>
      </c>
      <c r="CU65" s="258" t="s">
        <v>422</v>
      </c>
      <c r="CV65" s="167">
        <v>2E-16</v>
      </c>
      <c r="CW65" s="81" t="s">
        <v>389</v>
      </c>
      <c r="CX65" s="260" t="s">
        <v>467</v>
      </c>
      <c r="CY65" s="266" t="s">
        <v>347</v>
      </c>
      <c r="CZ65" s="261" t="s">
        <v>323</v>
      </c>
      <c r="DA65" s="262">
        <f>CR92</f>
        <v>6.4199999999999993E-2</v>
      </c>
      <c r="DB65" s="260" t="s">
        <v>322</v>
      </c>
      <c r="DD65" s="170" t="s">
        <v>467</v>
      </c>
      <c r="DE65" s="296" t="s">
        <v>347</v>
      </c>
      <c r="DF65" s="291" t="s">
        <v>323</v>
      </c>
      <c r="DG65" s="170">
        <f>$AP33</f>
        <v>3.9867559906689456E-2</v>
      </c>
      <c r="DH65" s="170" t="s">
        <v>322</v>
      </c>
      <c r="DJ65" s="299" t="s">
        <v>442</v>
      </c>
      <c r="DK65" s="299" t="s">
        <v>390</v>
      </c>
      <c r="DL65" s="303">
        <v>285</v>
      </c>
      <c r="DM65" s="303">
        <v>0.20499999999999999</v>
      </c>
      <c r="DN65" s="299">
        <v>1389.01</v>
      </c>
      <c r="DO65" s="299" t="s">
        <v>422</v>
      </c>
      <c r="DP65" s="303">
        <v>2E-16</v>
      </c>
      <c r="DQ65" s="299" t="s">
        <v>389</v>
      </c>
      <c r="DR65" s="300" t="s">
        <v>467</v>
      </c>
      <c r="DS65" s="307" t="s">
        <v>347</v>
      </c>
      <c r="DT65" s="301" t="s">
        <v>323</v>
      </c>
      <c r="DU65" s="302">
        <f>DL92</f>
        <v>7.9500000000000001E-2</v>
      </c>
      <c r="DV65" s="300" t="s">
        <v>322</v>
      </c>
    </row>
    <row r="66" spans="55:126" thickTop="1" thickBot="1" x14ac:dyDescent="0.3">
      <c r="BC66" s="81" t="s">
        <v>405</v>
      </c>
      <c r="BD66" s="167">
        <v>0.38</v>
      </c>
      <c r="BE66" s="167">
        <v>5.0499999999999998E-3</v>
      </c>
      <c r="BF66" s="81">
        <v>75.36</v>
      </c>
      <c r="BG66" s="81" t="s">
        <v>422</v>
      </c>
      <c r="BH66" s="167">
        <v>2E-16</v>
      </c>
      <c r="BI66" s="81" t="s">
        <v>389</v>
      </c>
      <c r="BQ66" s="81" t="s">
        <v>406</v>
      </c>
      <c r="BR66" s="167">
        <v>4.8599999999999997E-2</v>
      </c>
      <c r="BS66" s="167">
        <v>4.2499999999999998E-4</v>
      </c>
      <c r="BT66" s="81">
        <v>114.51</v>
      </c>
      <c r="BU66" s="81" t="s">
        <v>422</v>
      </c>
      <c r="BV66" s="167">
        <v>2E-16</v>
      </c>
      <c r="BW66" s="81" t="s">
        <v>389</v>
      </c>
      <c r="CP66" s="258" t="s">
        <v>442</v>
      </c>
      <c r="CQ66" s="258" t="s">
        <v>391</v>
      </c>
      <c r="CR66" s="259">
        <v>292</v>
      </c>
      <c r="CS66" s="259">
        <v>3.4000000000000002E-2</v>
      </c>
      <c r="CT66" s="258">
        <v>8584.7999999999993</v>
      </c>
      <c r="CU66" s="258" t="s">
        <v>422</v>
      </c>
      <c r="CV66" s="167">
        <v>2E-16</v>
      </c>
      <c r="CW66" s="81" t="s">
        <v>389</v>
      </c>
      <c r="CX66" s="260" t="s">
        <v>467</v>
      </c>
      <c r="CY66" s="266" t="s">
        <v>348</v>
      </c>
      <c r="CZ66" s="261" t="s">
        <v>323</v>
      </c>
      <c r="DA66" s="262">
        <f t="shared" ref="DA66:DA68" si="47">CR93</f>
        <v>0.20699999999999999</v>
      </c>
      <c r="DB66" s="260" t="s">
        <v>322</v>
      </c>
      <c r="DD66" s="170" t="s">
        <v>467</v>
      </c>
      <c r="DE66" s="296" t="s">
        <v>348</v>
      </c>
      <c r="DF66" s="291" t="s">
        <v>323</v>
      </c>
      <c r="DG66" s="170">
        <f>$AP34</f>
        <v>0.13751142434065794</v>
      </c>
      <c r="DH66" s="170" t="s">
        <v>322</v>
      </c>
      <c r="DJ66" s="299" t="s">
        <v>442</v>
      </c>
      <c r="DK66" s="299" t="s">
        <v>391</v>
      </c>
      <c r="DL66" s="303">
        <v>293</v>
      </c>
      <c r="DM66" s="303">
        <v>7.4300000000000005E-2</v>
      </c>
      <c r="DN66" s="299">
        <v>3938.57</v>
      </c>
      <c r="DO66" s="299" t="s">
        <v>422</v>
      </c>
      <c r="DP66" s="303">
        <v>2E-16</v>
      </c>
      <c r="DQ66" s="299" t="s">
        <v>389</v>
      </c>
      <c r="DR66" s="300" t="s">
        <v>467</v>
      </c>
      <c r="DS66" s="307" t="s">
        <v>348</v>
      </c>
      <c r="DT66" s="301" t="s">
        <v>323</v>
      </c>
      <c r="DU66" s="302">
        <f>DL93</f>
        <v>0.24399999999999999</v>
      </c>
      <c r="DV66" s="300" t="s">
        <v>322</v>
      </c>
    </row>
    <row r="67" spans="55:126" thickTop="1" thickBot="1" x14ac:dyDescent="0.3">
      <c r="BC67" s="81" t="s">
        <v>406</v>
      </c>
      <c r="BD67" s="167">
        <v>7.2800000000000004E-2</v>
      </c>
      <c r="BE67" s="167">
        <v>4.1599999999999997E-4</v>
      </c>
      <c r="BF67" s="81">
        <v>175.16</v>
      </c>
      <c r="BG67" s="81" t="s">
        <v>422</v>
      </c>
      <c r="BH67" s="167">
        <v>2E-16</v>
      </c>
      <c r="BI67" s="81" t="s">
        <v>389</v>
      </c>
      <c r="BQ67" s="81" t="s">
        <v>407</v>
      </c>
      <c r="BR67" s="167">
        <v>0.63200000000000001</v>
      </c>
      <c r="BS67" s="167">
        <v>1.03E-2</v>
      </c>
      <c r="BT67" s="81">
        <v>61.45</v>
      </c>
      <c r="BU67" s="81" t="s">
        <v>422</v>
      </c>
      <c r="BV67" s="167">
        <v>2E-16</v>
      </c>
      <c r="BW67" s="81" t="s">
        <v>389</v>
      </c>
      <c r="CP67" s="258" t="s">
        <v>442</v>
      </c>
      <c r="CQ67" s="258" t="s">
        <v>392</v>
      </c>
      <c r="CR67" s="259">
        <v>294</v>
      </c>
      <c r="CS67" s="259">
        <v>5.0900000000000001E-2</v>
      </c>
      <c r="CT67" s="258">
        <v>5784.02</v>
      </c>
      <c r="CU67" s="258" t="s">
        <v>422</v>
      </c>
      <c r="CV67" s="167">
        <v>2E-16</v>
      </c>
      <c r="CW67" s="81" t="s">
        <v>389</v>
      </c>
      <c r="CX67" s="260" t="s">
        <v>467</v>
      </c>
      <c r="CY67" s="266" t="s">
        <v>350</v>
      </c>
      <c r="CZ67" s="261" t="s">
        <v>323</v>
      </c>
      <c r="DA67" s="262">
        <f t="shared" si="47"/>
        <v>0.69399999999999995</v>
      </c>
      <c r="DB67" s="260" t="s">
        <v>322</v>
      </c>
      <c r="DD67" s="170" t="s">
        <v>467</v>
      </c>
      <c r="DE67" s="296" t="s">
        <v>350</v>
      </c>
      <c r="DF67" s="291" t="s">
        <v>323</v>
      </c>
      <c r="DG67" s="170">
        <f>$AP35</f>
        <v>0.80371935838520703</v>
      </c>
      <c r="DH67" s="170" t="s">
        <v>322</v>
      </c>
      <c r="DJ67" s="299" t="s">
        <v>442</v>
      </c>
      <c r="DK67" s="299" t="s">
        <v>392</v>
      </c>
      <c r="DL67" s="303">
        <v>293</v>
      </c>
      <c r="DM67" s="303">
        <v>0.123</v>
      </c>
      <c r="DN67" s="299">
        <v>2377.7399999999998</v>
      </c>
      <c r="DO67" s="299" t="s">
        <v>422</v>
      </c>
      <c r="DP67" s="303">
        <v>2E-16</v>
      </c>
      <c r="DQ67" s="299" t="s">
        <v>389</v>
      </c>
      <c r="DR67" s="300" t="s">
        <v>467</v>
      </c>
      <c r="DS67" s="307" t="s">
        <v>350</v>
      </c>
      <c r="DT67" s="301" t="s">
        <v>323</v>
      </c>
      <c r="DU67" s="302">
        <f>DL94</f>
        <v>0.61599999999999999</v>
      </c>
      <c r="DV67" s="300" t="s">
        <v>322</v>
      </c>
    </row>
    <row r="68" spans="55:126" thickTop="1" thickBot="1" x14ac:dyDescent="0.3">
      <c r="BC68" s="81" t="s">
        <v>407</v>
      </c>
      <c r="BD68" s="167">
        <v>0.41799999999999998</v>
      </c>
      <c r="BE68" s="167">
        <v>5.2300000000000003E-3</v>
      </c>
      <c r="BF68" s="81">
        <v>79.87</v>
      </c>
      <c r="BG68" s="81" t="s">
        <v>422</v>
      </c>
      <c r="BH68" s="167">
        <v>2E-16</v>
      </c>
      <c r="BI68" s="81" t="s">
        <v>389</v>
      </c>
      <c r="BQ68" s="81" t="s">
        <v>408</v>
      </c>
      <c r="BR68" s="167">
        <v>7.3200000000000001E-2</v>
      </c>
      <c r="BS68" s="167">
        <v>1.1100000000000001E-3</v>
      </c>
      <c r="BT68" s="81">
        <v>65.86</v>
      </c>
      <c r="BU68" s="81" t="s">
        <v>422</v>
      </c>
      <c r="BV68" s="167">
        <v>2E-16</v>
      </c>
      <c r="BW68" s="81" t="s">
        <v>389</v>
      </c>
      <c r="CP68" s="258" t="s">
        <v>442</v>
      </c>
      <c r="CQ68" s="258" t="s">
        <v>444</v>
      </c>
      <c r="CR68" s="259">
        <v>4.7500000000000003E-9</v>
      </c>
      <c r="CS68" s="259">
        <v>1.6199999999999999E-7</v>
      </c>
      <c r="CT68" s="258">
        <v>0.03</v>
      </c>
      <c r="CU68" s="258">
        <v>0.97699999999999998</v>
      </c>
      <c r="CV68" s="167"/>
      <c r="CW68" s="81"/>
      <c r="CX68" s="260" t="s">
        <v>467</v>
      </c>
      <c r="CY68" s="266" t="s">
        <v>429</v>
      </c>
      <c r="CZ68" s="261" t="s">
        <v>323</v>
      </c>
      <c r="DA68" s="262">
        <f t="shared" si="47"/>
        <v>2.76E-2</v>
      </c>
      <c r="DB68" s="260" t="s">
        <v>322</v>
      </c>
      <c r="DD68" s="170" t="s">
        <v>467</v>
      </c>
      <c r="DE68" s="296" t="s">
        <v>429</v>
      </c>
      <c r="DF68" s="291" t="s">
        <v>323</v>
      </c>
      <c r="DG68" s="170">
        <f>$AP47</f>
        <v>1.890165736744559E-2</v>
      </c>
      <c r="DH68" s="170" t="s">
        <v>322</v>
      </c>
      <c r="DJ68" s="299" t="s">
        <v>442</v>
      </c>
      <c r="DK68" s="299" t="s">
        <v>444</v>
      </c>
      <c r="DL68" s="303">
        <v>1.5300000000000001E-7</v>
      </c>
      <c r="DM68" s="303">
        <v>3.2100000000000002E-6</v>
      </c>
      <c r="DN68" s="299">
        <v>0.05</v>
      </c>
      <c r="DO68" s="299">
        <v>0.96</v>
      </c>
      <c r="DP68" s="303"/>
      <c r="DR68" s="300" t="s">
        <v>467</v>
      </c>
      <c r="DS68" s="307" t="s">
        <v>429</v>
      </c>
      <c r="DT68" s="301" t="s">
        <v>323</v>
      </c>
      <c r="DU68" s="302">
        <f>DL95</f>
        <v>2.9399999999999999E-2</v>
      </c>
      <c r="DV68" s="300" t="s">
        <v>322</v>
      </c>
    </row>
    <row r="69" spans="55:126" thickTop="1" thickBot="1" x14ac:dyDescent="0.3">
      <c r="BC69" s="81" t="s">
        <v>408</v>
      </c>
      <c r="BD69" s="167">
        <v>0.126</v>
      </c>
      <c r="BE69" s="167">
        <v>1.1999999999999999E-3</v>
      </c>
      <c r="BF69" s="81">
        <v>104.99</v>
      </c>
      <c r="BG69" s="81" t="s">
        <v>422</v>
      </c>
      <c r="BH69" s="167">
        <v>2E-16</v>
      </c>
      <c r="BI69" s="81" t="s">
        <v>389</v>
      </c>
      <c r="BQ69" s="81" t="s">
        <v>410</v>
      </c>
      <c r="BR69" s="167">
        <v>219</v>
      </c>
      <c r="BS69" s="167">
        <v>4.1900000000000004</v>
      </c>
      <c r="BT69" s="81">
        <v>52.26</v>
      </c>
      <c r="BU69" s="81" t="s">
        <v>422</v>
      </c>
      <c r="BV69" s="167">
        <v>2E-16</v>
      </c>
      <c r="BW69" s="81" t="s">
        <v>389</v>
      </c>
      <c r="CP69" s="258" t="s">
        <v>442</v>
      </c>
      <c r="CQ69" s="258" t="s">
        <v>341</v>
      </c>
      <c r="CR69" s="259">
        <v>1.6000000000000001E-8</v>
      </c>
      <c r="CS69" s="259">
        <v>5.4600000000000005E-7</v>
      </c>
      <c r="CT69" s="258">
        <v>0.03</v>
      </c>
      <c r="CU69" s="258">
        <v>0.97699999999999998</v>
      </c>
      <c r="CV69" s="81"/>
      <c r="CW69" s="81"/>
      <c r="CZ69" s="261"/>
      <c r="DF69" s="291"/>
      <c r="DJ69" s="299" t="s">
        <v>442</v>
      </c>
      <c r="DK69" s="299" t="s">
        <v>341</v>
      </c>
      <c r="DL69" s="303">
        <v>4.9399999999999999E-9</v>
      </c>
      <c r="DM69" s="303">
        <v>1.3899999999999999E-7</v>
      </c>
      <c r="DN69" s="299">
        <v>0.04</v>
      </c>
      <c r="DO69" s="299">
        <v>0.97</v>
      </c>
      <c r="DT69" s="301"/>
    </row>
    <row r="70" spans="55:126" thickTop="1" thickBot="1" x14ac:dyDescent="0.3">
      <c r="BC70" s="81" t="s">
        <v>410</v>
      </c>
      <c r="BD70" s="167">
        <v>568</v>
      </c>
      <c r="BE70" s="167">
        <v>16.100000000000001</v>
      </c>
      <c r="BF70" s="81">
        <v>35.270000000000003</v>
      </c>
      <c r="BG70" s="81" t="s">
        <v>422</v>
      </c>
      <c r="BH70" s="167">
        <v>2E-16</v>
      </c>
      <c r="BI70" s="81" t="s">
        <v>389</v>
      </c>
      <c r="BQ70" s="81" t="s">
        <v>295</v>
      </c>
      <c r="BR70" s="167">
        <v>85.9</v>
      </c>
      <c r="BS70" s="167">
        <v>0.65300000000000002</v>
      </c>
      <c r="BT70" s="81">
        <v>131.52000000000001</v>
      </c>
      <c r="BU70" s="81" t="s">
        <v>422</v>
      </c>
      <c r="BV70" s="167">
        <v>2E-16</v>
      </c>
      <c r="BW70" s="81" t="s">
        <v>389</v>
      </c>
      <c r="CP70" s="258" t="s">
        <v>442</v>
      </c>
      <c r="CQ70" s="258" t="s">
        <v>445</v>
      </c>
      <c r="CR70" s="259">
        <v>0.14399999999999999</v>
      </c>
      <c r="CS70" s="259">
        <v>1.46E-2</v>
      </c>
      <c r="CT70" s="258">
        <v>9.82</v>
      </c>
      <c r="CU70" s="258" t="s">
        <v>422</v>
      </c>
      <c r="CV70" s="167">
        <v>2E-16</v>
      </c>
      <c r="CW70" s="81" t="s">
        <v>389</v>
      </c>
      <c r="CX70" s="260" t="s">
        <v>467</v>
      </c>
      <c r="CY70" s="266" t="s">
        <v>352</v>
      </c>
      <c r="CZ70" s="261" t="s">
        <v>323</v>
      </c>
      <c r="DA70" s="262">
        <f>CR96</f>
        <v>194</v>
      </c>
      <c r="DB70" s="260" t="s">
        <v>322</v>
      </c>
      <c r="DD70" s="170" t="s">
        <v>467</v>
      </c>
      <c r="DE70" s="296" t="s">
        <v>352</v>
      </c>
      <c r="DF70" s="291" t="s">
        <v>323</v>
      </c>
      <c r="DG70" s="170">
        <f>$AP37</f>
        <v>192.78889668658022</v>
      </c>
      <c r="DH70" s="170" t="s">
        <v>322</v>
      </c>
      <c r="DJ70" s="299" t="s">
        <v>442</v>
      </c>
      <c r="DK70" s="299" t="s">
        <v>445</v>
      </c>
      <c r="DL70" s="303">
        <v>2.7199999999999998E-2</v>
      </c>
      <c r="DM70" s="303">
        <v>2.6599999999999999E-2</v>
      </c>
      <c r="DN70" s="299">
        <v>1.02</v>
      </c>
      <c r="DO70" s="299">
        <v>0.31</v>
      </c>
      <c r="DP70" s="303"/>
      <c r="DR70" s="300" t="s">
        <v>467</v>
      </c>
      <c r="DS70" s="307" t="s">
        <v>352</v>
      </c>
      <c r="DT70" s="301" t="s">
        <v>323</v>
      </c>
      <c r="DU70" s="302">
        <f>DL96</f>
        <v>149</v>
      </c>
      <c r="DV70" s="300" t="s">
        <v>322</v>
      </c>
    </row>
    <row r="71" spans="55:126" thickTop="1" thickBot="1" x14ac:dyDescent="0.3">
      <c r="BC71" s="81" t="s">
        <v>295</v>
      </c>
      <c r="BD71" s="167">
        <v>238</v>
      </c>
      <c r="BE71" s="167">
        <v>1.01</v>
      </c>
      <c r="BF71" s="81">
        <v>236.64</v>
      </c>
      <c r="BG71" s="81" t="s">
        <v>422</v>
      </c>
      <c r="BH71" s="167">
        <v>2E-16</v>
      </c>
      <c r="BI71" s="81" t="s">
        <v>389</v>
      </c>
      <c r="BQ71" s="81" t="s">
        <v>120</v>
      </c>
      <c r="BR71" s="167">
        <v>49.4</v>
      </c>
      <c r="BS71" s="167">
        <v>1.8</v>
      </c>
      <c r="BT71" s="81">
        <v>27.51</v>
      </c>
      <c r="BU71" s="81" t="s">
        <v>422</v>
      </c>
      <c r="BV71" s="167">
        <v>2E-16</v>
      </c>
      <c r="BW71" s="81" t="s">
        <v>389</v>
      </c>
      <c r="CP71" s="258" t="s">
        <v>442</v>
      </c>
      <c r="CQ71" s="258" t="s">
        <v>446</v>
      </c>
      <c r="CR71" s="259">
        <v>0.38500000000000001</v>
      </c>
      <c r="CS71" s="259">
        <v>1.2500000000000001E-2</v>
      </c>
      <c r="CT71" s="258">
        <v>30.79</v>
      </c>
      <c r="CU71" s="258" t="s">
        <v>422</v>
      </c>
      <c r="CV71" s="167">
        <v>2E-16</v>
      </c>
      <c r="CW71" s="81" t="s">
        <v>389</v>
      </c>
      <c r="CX71" s="260" t="s">
        <v>467</v>
      </c>
      <c r="CY71" s="266" t="s">
        <v>354</v>
      </c>
      <c r="CZ71" s="261" t="s">
        <v>323</v>
      </c>
      <c r="DA71" s="262">
        <f t="shared" ref="DA71:DA72" si="48">CR97</f>
        <v>553</v>
      </c>
      <c r="DB71" s="260" t="s">
        <v>322</v>
      </c>
      <c r="DD71" s="170" t="s">
        <v>467</v>
      </c>
      <c r="DE71" s="296" t="s">
        <v>354</v>
      </c>
      <c r="DF71" s="291" t="s">
        <v>323</v>
      </c>
      <c r="DG71" s="170">
        <f>$AP38</f>
        <v>775.22503621630028</v>
      </c>
      <c r="DH71" s="170" t="s">
        <v>322</v>
      </c>
      <c r="DJ71" s="299" t="s">
        <v>442</v>
      </c>
      <c r="DK71" s="299" t="s">
        <v>446</v>
      </c>
      <c r="DL71" s="303">
        <v>0.47299999999999998</v>
      </c>
      <c r="DM71" s="303">
        <v>2.5999999999999999E-2</v>
      </c>
      <c r="DN71" s="299">
        <v>18.149999999999999</v>
      </c>
      <c r="DO71" s="299" t="s">
        <v>422</v>
      </c>
      <c r="DP71" s="303">
        <v>2E-16</v>
      </c>
      <c r="DQ71" s="299" t="s">
        <v>389</v>
      </c>
      <c r="DR71" s="300" t="s">
        <v>467</v>
      </c>
      <c r="DS71" s="307" t="s">
        <v>354</v>
      </c>
      <c r="DT71" s="301" t="s">
        <v>323</v>
      </c>
      <c r="DU71" s="302">
        <f>DL97</f>
        <v>617</v>
      </c>
      <c r="DV71" s="300" t="s">
        <v>322</v>
      </c>
    </row>
    <row r="72" spans="55:126" thickTop="1" thickBot="1" x14ac:dyDescent="0.3">
      <c r="BC72" s="81" t="s">
        <v>120</v>
      </c>
      <c r="BD72" s="167">
        <v>58</v>
      </c>
      <c r="BE72" s="167">
        <v>0.107</v>
      </c>
      <c r="BF72" s="81">
        <v>543.78</v>
      </c>
      <c r="BG72" s="81" t="s">
        <v>422</v>
      </c>
      <c r="BH72" s="167">
        <v>2E-16</v>
      </c>
      <c r="BI72" s="81" t="s">
        <v>389</v>
      </c>
      <c r="BQ72" s="81" t="s">
        <v>412</v>
      </c>
      <c r="BR72" s="167">
        <v>-4.6100000000000003</v>
      </c>
      <c r="BS72" s="167">
        <v>2.1399999999999999E-2</v>
      </c>
      <c r="BT72" s="81">
        <v>-215.25</v>
      </c>
      <c r="BU72" s="81" t="s">
        <v>422</v>
      </c>
      <c r="BV72" s="167">
        <v>2E-16</v>
      </c>
      <c r="BW72" s="81" t="s">
        <v>389</v>
      </c>
      <c r="CP72" s="258" t="s">
        <v>442</v>
      </c>
      <c r="CQ72" s="258" t="s">
        <v>447</v>
      </c>
      <c r="CR72" s="259">
        <v>1.24</v>
      </c>
      <c r="CS72" s="259">
        <v>4.8000000000000001E-2</v>
      </c>
      <c r="CT72" s="258">
        <v>25.74</v>
      </c>
      <c r="CU72" s="258" t="s">
        <v>422</v>
      </c>
      <c r="CV72" s="167">
        <v>2E-16</v>
      </c>
      <c r="CW72" s="81" t="s">
        <v>389</v>
      </c>
      <c r="CX72" s="260" t="s">
        <v>467</v>
      </c>
      <c r="CY72" s="266" t="s">
        <v>355</v>
      </c>
      <c r="CZ72" s="261" t="s">
        <v>323</v>
      </c>
      <c r="DA72" s="262">
        <f t="shared" si="48"/>
        <v>71.599999999999994</v>
      </c>
      <c r="DB72" s="260" t="s">
        <v>322</v>
      </c>
      <c r="DD72" s="170" t="s">
        <v>467</v>
      </c>
      <c r="DE72" s="296" t="s">
        <v>355</v>
      </c>
      <c r="DF72" s="291" t="s">
        <v>323</v>
      </c>
      <c r="DG72" s="297">
        <f>$AP39</f>
        <v>89.372657818181807</v>
      </c>
      <c r="DH72" s="170" t="s">
        <v>322</v>
      </c>
      <c r="DJ72" s="299" t="s">
        <v>442</v>
      </c>
      <c r="DK72" s="299" t="s">
        <v>447</v>
      </c>
      <c r="DL72" s="303">
        <v>1.39</v>
      </c>
      <c r="DM72" s="303">
        <v>7.9200000000000007E-2</v>
      </c>
      <c r="DN72" s="299">
        <v>17.61</v>
      </c>
      <c r="DO72" s="299" t="s">
        <v>422</v>
      </c>
      <c r="DP72" s="303">
        <v>2E-16</v>
      </c>
      <c r="DQ72" s="299" t="s">
        <v>389</v>
      </c>
      <c r="DR72" s="300" t="s">
        <v>467</v>
      </c>
      <c r="DS72" s="307" t="s">
        <v>355</v>
      </c>
      <c r="DT72" s="301" t="s">
        <v>323</v>
      </c>
      <c r="DU72" s="302">
        <f>DL98</f>
        <v>67.900000000000006</v>
      </c>
      <c r="DV72" s="300" t="s">
        <v>322</v>
      </c>
    </row>
    <row r="73" spans="55:126" thickTop="1" thickBot="1" x14ac:dyDescent="0.3">
      <c r="BC73" s="81" t="s">
        <v>412</v>
      </c>
      <c r="BD73" s="167">
        <v>-15.3</v>
      </c>
      <c r="BE73" s="167">
        <v>0.30099999999999999</v>
      </c>
      <c r="BF73" s="81">
        <v>-50.74</v>
      </c>
      <c r="BG73" s="81" t="s">
        <v>422</v>
      </c>
      <c r="BH73" s="167">
        <v>2E-16</v>
      </c>
      <c r="BI73" s="81" t="s">
        <v>389</v>
      </c>
      <c r="BQ73" s="81" t="s">
        <v>413</v>
      </c>
      <c r="BR73" s="167">
        <v>-4.8499999999999996</v>
      </c>
      <c r="BS73" s="167">
        <v>2.2599999999999999E-2</v>
      </c>
      <c r="BT73" s="81">
        <v>-214.32</v>
      </c>
      <c r="BU73" s="81" t="s">
        <v>422</v>
      </c>
      <c r="BV73" s="167">
        <v>2E-16</v>
      </c>
      <c r="BW73" s="81" t="s">
        <v>389</v>
      </c>
      <c r="CP73" s="258" t="s">
        <v>442</v>
      </c>
      <c r="CQ73" s="258" t="s">
        <v>342</v>
      </c>
      <c r="CR73" s="259">
        <v>0.79400000000000004</v>
      </c>
      <c r="CS73" s="259">
        <v>7.4800000000000005E-2</v>
      </c>
      <c r="CT73" s="258">
        <v>10.61</v>
      </c>
      <c r="CU73" s="259" t="s">
        <v>422</v>
      </c>
      <c r="CV73" s="167">
        <v>2E-16</v>
      </c>
      <c r="CW73" s="81" t="s">
        <v>389</v>
      </c>
      <c r="CX73" s="260" t="s">
        <v>467</v>
      </c>
      <c r="CY73" s="266" t="s">
        <v>357</v>
      </c>
      <c r="CZ73" s="261" t="s">
        <v>323</v>
      </c>
      <c r="DA73" s="262">
        <f>1/CR103</f>
        <v>215.98272138228944</v>
      </c>
      <c r="DB73" s="260" t="s">
        <v>322</v>
      </c>
      <c r="DD73" s="170" t="s">
        <v>467</v>
      </c>
      <c r="DE73" s="296" t="s">
        <v>357</v>
      </c>
      <c r="DF73" s="291" t="s">
        <v>323</v>
      </c>
      <c r="DG73" s="170">
        <f>$AP40</f>
        <v>411.94668531363186</v>
      </c>
      <c r="DH73" s="170" t="s">
        <v>322</v>
      </c>
      <c r="DJ73" s="299" t="s">
        <v>442</v>
      </c>
      <c r="DK73" s="299" t="s">
        <v>342</v>
      </c>
      <c r="DL73" s="303">
        <v>1.41</v>
      </c>
      <c r="DM73" s="303">
        <v>0.13800000000000001</v>
      </c>
      <c r="DN73" s="299">
        <v>10.25</v>
      </c>
      <c r="DO73" s="303" t="s">
        <v>422</v>
      </c>
      <c r="DP73" s="303">
        <v>2E-16</v>
      </c>
      <c r="DQ73" s="299" t="s">
        <v>389</v>
      </c>
      <c r="DR73" s="300" t="s">
        <v>467</v>
      </c>
      <c r="DS73" s="307" t="s">
        <v>357</v>
      </c>
      <c r="DT73" s="301" t="s">
        <v>323</v>
      </c>
      <c r="DU73" s="302">
        <f>1/DL103</f>
        <v>279.32960893854749</v>
      </c>
      <c r="DV73" s="300" t="s">
        <v>322</v>
      </c>
    </row>
    <row r="74" spans="55:126" thickTop="1" thickBot="1" x14ac:dyDescent="0.3">
      <c r="BC74" s="81" t="s">
        <v>413</v>
      </c>
      <c r="BD74" s="167">
        <v>-5.4</v>
      </c>
      <c r="BE74" s="167">
        <v>2.6700000000000002E-2</v>
      </c>
      <c r="BF74" s="81">
        <v>-202.07</v>
      </c>
      <c r="BG74" s="81" t="s">
        <v>422</v>
      </c>
      <c r="BH74" s="167">
        <v>2E-16</v>
      </c>
      <c r="BI74" s="81" t="s">
        <v>389</v>
      </c>
      <c r="BQ74" s="81" t="s">
        <v>414</v>
      </c>
      <c r="BR74" s="167">
        <v>-5.68</v>
      </c>
      <c r="BS74" s="167">
        <v>2.2200000000000001E-2</v>
      </c>
      <c r="BT74" s="81">
        <v>-255.8</v>
      </c>
      <c r="BU74" s="81" t="s">
        <v>422</v>
      </c>
      <c r="BV74" s="167">
        <v>2E-16</v>
      </c>
      <c r="BW74" s="81" t="s">
        <v>389</v>
      </c>
      <c r="CP74" s="258" t="s">
        <v>442</v>
      </c>
      <c r="CQ74" s="258" t="s">
        <v>448</v>
      </c>
      <c r="CR74" s="259">
        <v>1.08</v>
      </c>
      <c r="CS74" s="259">
        <v>2.75E-2</v>
      </c>
      <c r="CT74" s="258">
        <v>39.32</v>
      </c>
      <c r="CU74" s="258" t="s">
        <v>422</v>
      </c>
      <c r="CV74" s="167">
        <v>2E-16</v>
      </c>
      <c r="CW74" s="81" t="s">
        <v>389</v>
      </c>
      <c r="CZ74" s="261"/>
      <c r="DF74" s="291"/>
      <c r="DJ74" s="299" t="s">
        <v>442</v>
      </c>
      <c r="DK74" s="299" t="s">
        <v>448</v>
      </c>
      <c r="DL74" s="303">
        <v>1.21</v>
      </c>
      <c r="DM74" s="303">
        <v>3.9800000000000002E-2</v>
      </c>
      <c r="DN74" s="299">
        <v>30.31</v>
      </c>
      <c r="DO74" s="299" t="s">
        <v>422</v>
      </c>
      <c r="DP74" s="303">
        <v>2E-16</v>
      </c>
      <c r="DQ74" s="299" t="s">
        <v>389</v>
      </c>
      <c r="DT74" s="301"/>
    </row>
    <row r="75" spans="55:126" thickTop="1" thickBot="1" x14ac:dyDescent="0.3">
      <c r="BC75" s="81" t="s">
        <v>414</v>
      </c>
      <c r="BD75" s="167">
        <v>-7.38</v>
      </c>
      <c r="BE75" s="167">
        <v>2.1499999999999998E-2</v>
      </c>
      <c r="BF75" s="81">
        <v>-343.38</v>
      </c>
      <c r="BG75" s="81" t="s">
        <v>422</v>
      </c>
      <c r="BH75" s="167">
        <v>2E-16</v>
      </c>
      <c r="BI75" s="81" t="s">
        <v>389</v>
      </c>
      <c r="BQ75" s="81" t="s">
        <v>415</v>
      </c>
      <c r="BR75" s="167">
        <v>-5.31</v>
      </c>
      <c r="BS75" s="167">
        <v>2.2599999999999999E-2</v>
      </c>
      <c r="BT75" s="81">
        <v>-234.52</v>
      </c>
      <c r="BU75" s="81" t="s">
        <v>422</v>
      </c>
      <c r="BV75" s="167">
        <v>2E-16</v>
      </c>
      <c r="BW75" s="81" t="s">
        <v>389</v>
      </c>
      <c r="CP75" s="258" t="s">
        <v>442</v>
      </c>
      <c r="CQ75" s="258" t="s">
        <v>449</v>
      </c>
      <c r="CR75" s="259">
        <v>0.84</v>
      </c>
      <c r="CS75" s="259">
        <v>2.0400000000000001E-2</v>
      </c>
      <c r="CT75" s="258">
        <v>41.22</v>
      </c>
      <c r="CU75" s="258" t="s">
        <v>422</v>
      </c>
      <c r="CV75" s="167">
        <v>2E-16</v>
      </c>
      <c r="CW75" s="81" t="s">
        <v>389</v>
      </c>
      <c r="CX75" s="260" t="s">
        <v>467</v>
      </c>
      <c r="CY75" s="266" t="s">
        <v>424</v>
      </c>
      <c r="CZ75" s="261" t="s">
        <v>323</v>
      </c>
      <c r="DA75" s="262">
        <f>CR116</f>
        <v>993000000</v>
      </c>
      <c r="DB75" s="260" t="s">
        <v>322</v>
      </c>
      <c r="DD75" s="170" t="s">
        <v>467</v>
      </c>
      <c r="DE75" s="296" t="s">
        <v>424</v>
      </c>
      <c r="DF75" s="291" t="s">
        <v>323</v>
      </c>
      <c r="DG75" s="170">
        <f>$AP44</f>
        <v>14177850</v>
      </c>
      <c r="DH75" s="170" t="s">
        <v>322</v>
      </c>
      <c r="DJ75" s="299" t="s">
        <v>442</v>
      </c>
      <c r="DK75" s="299" t="s">
        <v>449</v>
      </c>
      <c r="DL75" s="303">
        <v>0.78300000000000003</v>
      </c>
      <c r="DM75" s="303">
        <v>0.04</v>
      </c>
      <c r="DN75" s="299">
        <v>19.579999999999998</v>
      </c>
      <c r="DO75" s="299" t="s">
        <v>422</v>
      </c>
      <c r="DP75" s="303">
        <v>2E-16</v>
      </c>
      <c r="DQ75" s="299" t="s">
        <v>389</v>
      </c>
      <c r="DR75" s="300" t="s">
        <v>467</v>
      </c>
      <c r="DS75" s="307" t="s">
        <v>424</v>
      </c>
      <c r="DT75" s="301" t="s">
        <v>323</v>
      </c>
      <c r="DU75" s="302">
        <f>DL116</f>
        <v>577000000</v>
      </c>
      <c r="DV75" s="300" t="s">
        <v>322</v>
      </c>
    </row>
    <row r="76" spans="55:126" thickTop="1" thickBot="1" x14ac:dyDescent="0.3">
      <c r="BC76" s="81" t="s">
        <v>415</v>
      </c>
      <c r="BD76" s="167">
        <v>-6.87</v>
      </c>
      <c r="BE76" s="167">
        <v>1.9699999999999999E-2</v>
      </c>
      <c r="BF76" s="81">
        <v>-347.91</v>
      </c>
      <c r="BG76" s="81" t="s">
        <v>422</v>
      </c>
      <c r="BH76" s="167">
        <v>2E-16</v>
      </c>
      <c r="BI76" s="81" t="s">
        <v>389</v>
      </c>
      <c r="BQ76" s="81" t="s">
        <v>417</v>
      </c>
      <c r="BR76" s="167">
        <v>2.8500000000000001E-3</v>
      </c>
      <c r="BS76" s="167">
        <v>7.6799999999999997E-5</v>
      </c>
      <c r="BT76" s="81">
        <v>37.07</v>
      </c>
      <c r="BU76" s="81" t="s">
        <v>422</v>
      </c>
      <c r="BV76" s="167">
        <v>2E-16</v>
      </c>
      <c r="BW76" s="81" t="s">
        <v>389</v>
      </c>
      <c r="CP76" s="258" t="s">
        <v>442</v>
      </c>
      <c r="CQ76" s="258" t="s">
        <v>450</v>
      </c>
      <c r="CR76" s="259">
        <v>5.8099999999999999E-2</v>
      </c>
      <c r="CS76" s="259">
        <v>6.8199999999999997E-2</v>
      </c>
      <c r="CT76" s="258">
        <v>0.85</v>
      </c>
      <c r="CU76" s="259">
        <v>0.39400000000000002</v>
      </c>
      <c r="CV76" s="81"/>
      <c r="CW76" s="81"/>
      <c r="CX76" s="260" t="s">
        <v>467</v>
      </c>
      <c r="CY76" s="266" t="s">
        <v>364</v>
      </c>
      <c r="CZ76" s="261" t="s">
        <v>323</v>
      </c>
      <c r="DA76" s="262">
        <f>CR117</f>
        <v>994000000</v>
      </c>
      <c r="DB76" s="260" t="s">
        <v>322</v>
      </c>
      <c r="DD76" s="170" t="s">
        <v>467</v>
      </c>
      <c r="DE76" s="296" t="s">
        <v>364</v>
      </c>
      <c r="DF76" s="291" t="s">
        <v>323</v>
      </c>
      <c r="DG76" s="170">
        <f>$AP45</f>
        <v>14177850</v>
      </c>
      <c r="DH76" s="170" t="s">
        <v>322</v>
      </c>
      <c r="DJ76" s="299" t="s">
        <v>442</v>
      </c>
      <c r="DK76" s="299" t="s">
        <v>450</v>
      </c>
      <c r="DL76" s="303">
        <v>1.6899999999999999E-8</v>
      </c>
      <c r="DM76" s="303">
        <v>2.5199999999999998E-7</v>
      </c>
      <c r="DN76" s="299">
        <v>7.0000000000000007E-2</v>
      </c>
      <c r="DO76" s="303">
        <v>0.95</v>
      </c>
      <c r="DR76" s="300" t="s">
        <v>467</v>
      </c>
      <c r="DS76" s="307" t="s">
        <v>364</v>
      </c>
      <c r="DT76" s="301" t="s">
        <v>323</v>
      </c>
      <c r="DU76" s="302">
        <f>DL117</f>
        <v>995000000</v>
      </c>
      <c r="DV76" s="300" t="s">
        <v>322</v>
      </c>
    </row>
    <row r="77" spans="55:126" thickTop="1" thickBot="1" x14ac:dyDescent="0.3">
      <c r="BC77" s="81" t="s">
        <v>417</v>
      </c>
      <c r="BD77" s="167">
        <v>4.64E-3</v>
      </c>
      <c r="BE77" s="167">
        <v>2.4600000000000002E-5</v>
      </c>
      <c r="BF77" s="81">
        <v>188.79</v>
      </c>
      <c r="BG77" s="81" t="s">
        <v>422</v>
      </c>
      <c r="BH77" s="167">
        <v>2E-16</v>
      </c>
      <c r="BI77" s="81" t="s">
        <v>389</v>
      </c>
      <c r="BQ77" s="81" t="s">
        <v>418</v>
      </c>
      <c r="BR77" s="167">
        <v>170</v>
      </c>
      <c r="BS77" s="167">
        <v>1.77</v>
      </c>
      <c r="BT77" s="81">
        <v>96.07</v>
      </c>
      <c r="BU77" s="81" t="s">
        <v>422</v>
      </c>
      <c r="BV77" s="167">
        <v>2E-16</v>
      </c>
      <c r="BW77" s="81" t="s">
        <v>389</v>
      </c>
      <c r="CP77" s="258" t="s">
        <v>442</v>
      </c>
      <c r="CQ77" s="258" t="s">
        <v>343</v>
      </c>
      <c r="CR77" s="259">
        <v>6.6599999999999997E-10</v>
      </c>
      <c r="CS77" s="259">
        <v>2.7599999999999999E-8</v>
      </c>
      <c r="CT77" s="258">
        <v>0.02</v>
      </c>
      <c r="CU77" s="258">
        <v>0.98099999999999998</v>
      </c>
      <c r="CV77" s="81"/>
      <c r="CW77" s="81"/>
      <c r="CX77" s="260" t="s">
        <v>467</v>
      </c>
      <c r="CY77" s="266" t="s">
        <v>370</v>
      </c>
      <c r="CZ77" s="261" t="s">
        <v>323</v>
      </c>
      <c r="DA77" s="262">
        <f>CR124</f>
        <v>39.1</v>
      </c>
      <c r="DB77" s="260" t="s">
        <v>322</v>
      </c>
      <c r="DD77" s="170" t="s">
        <v>467</v>
      </c>
      <c r="DE77" s="296" t="s">
        <v>370</v>
      </c>
      <c r="DF77" s="291" t="s">
        <v>323</v>
      </c>
      <c r="DG77" s="170">
        <f>$AP48</f>
        <v>369.7988165680473</v>
      </c>
      <c r="DH77" s="170" t="s">
        <v>322</v>
      </c>
      <c r="DJ77" s="299" t="s">
        <v>442</v>
      </c>
      <c r="DK77" s="299" t="s">
        <v>343</v>
      </c>
      <c r="DL77" s="303">
        <v>7.6299999999999998E-6</v>
      </c>
      <c r="DM77" s="303">
        <v>3.3E-4</v>
      </c>
      <c r="DN77" s="299">
        <v>0.02</v>
      </c>
      <c r="DO77" s="299">
        <v>0.98</v>
      </c>
      <c r="DR77" s="300" t="s">
        <v>467</v>
      </c>
      <c r="DS77" s="307" t="s">
        <v>370</v>
      </c>
      <c r="DT77" s="301" t="s">
        <v>323</v>
      </c>
      <c r="DU77" s="302">
        <f>DL124</f>
        <v>86.5</v>
      </c>
      <c r="DV77" s="300" t="s">
        <v>322</v>
      </c>
    </row>
    <row r="78" spans="55:126" thickTop="1" thickBot="1" x14ac:dyDescent="0.3">
      <c r="BC78" s="81" t="s">
        <v>418</v>
      </c>
      <c r="BD78" s="167">
        <v>492</v>
      </c>
      <c r="BE78" s="167">
        <v>2.67</v>
      </c>
      <c r="BF78" s="81">
        <v>184.53</v>
      </c>
      <c r="BG78" s="81" t="s">
        <v>422</v>
      </c>
      <c r="BH78" s="167">
        <v>2E-16</v>
      </c>
      <c r="BI78" s="81" t="s">
        <v>389</v>
      </c>
      <c r="BQ78" s="81" t="s">
        <v>419</v>
      </c>
      <c r="BR78" s="167">
        <v>1380</v>
      </c>
      <c r="BS78" s="167">
        <v>946</v>
      </c>
      <c r="BT78" s="81">
        <v>1.46</v>
      </c>
      <c r="BU78" s="81">
        <v>0.14507999999999999</v>
      </c>
      <c r="BV78" s="81"/>
      <c r="BW78" s="81"/>
      <c r="CP78" s="258" t="s">
        <v>442</v>
      </c>
      <c r="CQ78" s="258" t="s">
        <v>451</v>
      </c>
      <c r="CR78" s="259">
        <v>7.2800000000000004E-2</v>
      </c>
      <c r="CS78" s="259">
        <v>3.6299999999999999E-2</v>
      </c>
      <c r="CT78" s="258">
        <v>2.0099999999999998</v>
      </c>
      <c r="CU78" s="258">
        <v>4.4999999999999998E-2</v>
      </c>
      <c r="CV78" s="81" t="s">
        <v>434</v>
      </c>
      <c r="CW78" s="81"/>
      <c r="CX78" s="260" t="s">
        <v>467</v>
      </c>
      <c r="CY78" s="266" t="s">
        <v>372</v>
      </c>
      <c r="CZ78" s="261" t="s">
        <v>323</v>
      </c>
      <c r="DA78" s="262">
        <f t="shared" ref="DA78:DA79" si="49">CR125</f>
        <v>1.0399999999999999E-3</v>
      </c>
      <c r="DB78" s="260" t="s">
        <v>322</v>
      </c>
      <c r="DD78" s="170" t="s">
        <v>467</v>
      </c>
      <c r="DE78" s="296" t="s">
        <v>372</v>
      </c>
      <c r="DF78" s="291" t="s">
        <v>323</v>
      </c>
      <c r="DG78" s="170">
        <f>$AP49</f>
        <v>184.89940828402365</v>
      </c>
      <c r="DH78" s="170" t="s">
        <v>322</v>
      </c>
      <c r="DJ78" s="299" t="s">
        <v>442</v>
      </c>
      <c r="DK78" s="299" t="s">
        <v>451</v>
      </c>
      <c r="DL78" s="303">
        <v>6.7799999999999999E-2</v>
      </c>
      <c r="DM78" s="303">
        <v>5.4600000000000003E-2</v>
      </c>
      <c r="DN78" s="299">
        <v>1.24</v>
      </c>
      <c r="DO78" s="299">
        <v>0.21</v>
      </c>
      <c r="DR78" s="300" t="s">
        <v>467</v>
      </c>
      <c r="DS78" s="307" t="s">
        <v>372</v>
      </c>
      <c r="DT78" s="301" t="s">
        <v>323</v>
      </c>
      <c r="DU78" s="302">
        <f>DL125</f>
        <v>2740</v>
      </c>
      <c r="DV78" s="300" t="s">
        <v>322</v>
      </c>
    </row>
    <row r="79" spans="55:126" thickTop="1" thickBot="1" x14ac:dyDescent="0.3">
      <c r="BC79" s="81" t="s">
        <v>419</v>
      </c>
      <c r="BD79" s="167">
        <v>210</v>
      </c>
      <c r="BE79" s="167">
        <v>7.91</v>
      </c>
      <c r="BF79" s="81">
        <v>26.58</v>
      </c>
      <c r="BG79" s="81" t="s">
        <v>422</v>
      </c>
      <c r="BH79" s="167">
        <v>2E-16</v>
      </c>
      <c r="BI79" s="81" t="s">
        <v>389</v>
      </c>
      <c r="CP79" s="258" t="s">
        <v>442</v>
      </c>
      <c r="CQ79" s="258" t="s">
        <v>452</v>
      </c>
      <c r="CR79" s="259">
        <v>0.23899999999999999</v>
      </c>
      <c r="CS79" s="259">
        <v>3.2000000000000001E-2</v>
      </c>
      <c r="CT79" s="258">
        <v>7.48</v>
      </c>
      <c r="CU79" s="259">
        <v>8.2000000000000004E-14</v>
      </c>
      <c r="CV79" s="81" t="s">
        <v>389</v>
      </c>
      <c r="CW79" s="81"/>
      <c r="CX79" s="260" t="s">
        <v>467</v>
      </c>
      <c r="CY79" s="266" t="s">
        <v>374</v>
      </c>
      <c r="CZ79" s="261" t="s">
        <v>323</v>
      </c>
      <c r="DA79" s="262">
        <f t="shared" si="49"/>
        <v>68.900000000000006</v>
      </c>
      <c r="DB79" s="260" t="s">
        <v>322</v>
      </c>
      <c r="DD79" s="170" t="s">
        <v>467</v>
      </c>
      <c r="DE79" s="296" t="s">
        <v>374</v>
      </c>
      <c r="DF79" s="291" t="s">
        <v>323</v>
      </c>
      <c r="DG79" s="170">
        <f>$AP50</f>
        <v>369.7988165680473</v>
      </c>
      <c r="DH79" s="170" t="s">
        <v>322</v>
      </c>
      <c r="DJ79" s="299" t="s">
        <v>442</v>
      </c>
      <c r="DK79" s="299" t="s">
        <v>452</v>
      </c>
      <c r="DL79" s="303">
        <v>0.315</v>
      </c>
      <c r="DM79" s="303">
        <v>6.3200000000000006E-2</v>
      </c>
      <c r="DN79" s="299">
        <v>4.99</v>
      </c>
      <c r="DO79" s="303">
        <v>6.3E-7</v>
      </c>
      <c r="DP79" s="299" t="s">
        <v>389</v>
      </c>
      <c r="DR79" s="300" t="s">
        <v>467</v>
      </c>
      <c r="DS79" s="307" t="s">
        <v>374</v>
      </c>
      <c r="DT79" s="301" t="s">
        <v>323</v>
      </c>
      <c r="DU79" s="302">
        <f>DL126</f>
        <v>47.7</v>
      </c>
      <c r="DV79" s="300" t="s">
        <v>322</v>
      </c>
    </row>
    <row r="80" spans="55:126" thickTop="1" thickBot="1" x14ac:dyDescent="0.3">
      <c r="BQ80" s="81" t="s">
        <v>433</v>
      </c>
      <c r="BR80" s="81" t="s">
        <v>435</v>
      </c>
      <c r="BS80" s="81"/>
      <c r="BT80" s="81"/>
      <c r="BU80" s="81"/>
      <c r="BV80" s="81"/>
      <c r="BW80" s="81"/>
      <c r="CP80" s="258" t="s">
        <v>442</v>
      </c>
      <c r="CQ80" s="258" t="s">
        <v>453</v>
      </c>
      <c r="CR80" s="259">
        <v>0.17699999999999999</v>
      </c>
      <c r="CS80" s="259">
        <v>8.5299999999999994E-3</v>
      </c>
      <c r="CT80" s="258">
        <v>20.79</v>
      </c>
      <c r="CU80" s="258" t="s">
        <v>422</v>
      </c>
      <c r="CV80" s="167">
        <v>2E-16</v>
      </c>
      <c r="CW80" s="81" t="s">
        <v>389</v>
      </c>
      <c r="DJ80" s="299" t="s">
        <v>442</v>
      </c>
      <c r="DK80" s="299" t="s">
        <v>453</v>
      </c>
      <c r="DL80" s="303">
        <v>0.13300000000000001</v>
      </c>
      <c r="DM80" s="303">
        <v>1.18E-2</v>
      </c>
      <c r="DN80" s="299">
        <v>11.25</v>
      </c>
      <c r="DO80" s="299" t="s">
        <v>422</v>
      </c>
      <c r="DP80" s="303">
        <v>2E-16</v>
      </c>
      <c r="DQ80" s="299" t="s">
        <v>389</v>
      </c>
    </row>
    <row r="81" spans="55:121" thickTop="1" thickBot="1" x14ac:dyDescent="0.3">
      <c r="BQ81" s="81" t="s">
        <v>380</v>
      </c>
      <c r="BR81" s="81"/>
      <c r="BS81" s="81"/>
      <c r="BT81" s="81"/>
      <c r="BU81" s="81"/>
      <c r="BV81" s="81"/>
      <c r="BW81" s="81"/>
      <c r="CP81" s="258" t="s">
        <v>442</v>
      </c>
      <c r="CQ81" s="258" t="s">
        <v>454</v>
      </c>
      <c r="CR81" s="259">
        <v>0.28399999999999997</v>
      </c>
      <c r="CS81" s="259">
        <v>1.8700000000000001E-2</v>
      </c>
      <c r="CT81" s="258">
        <v>15.16</v>
      </c>
      <c r="CU81" s="258" t="s">
        <v>422</v>
      </c>
      <c r="CV81" s="167">
        <v>2E-16</v>
      </c>
      <c r="CW81" s="81" t="s">
        <v>389</v>
      </c>
      <c r="DJ81" s="299" t="s">
        <v>442</v>
      </c>
      <c r="DK81" s="299" t="s">
        <v>454</v>
      </c>
      <c r="DL81" s="303">
        <v>4.3299999999999998E-2</v>
      </c>
      <c r="DM81" s="303">
        <v>2.6800000000000001E-2</v>
      </c>
      <c r="DN81" s="299">
        <v>1.62</v>
      </c>
      <c r="DO81" s="299">
        <v>0.11</v>
      </c>
      <c r="DP81" s="303"/>
    </row>
    <row r="82" spans="55:121" thickTop="1" thickBot="1" x14ac:dyDescent="0.3">
      <c r="BD82" t="s">
        <v>431</v>
      </c>
      <c r="BQ82" s="81" t="s">
        <v>381</v>
      </c>
      <c r="BR82" s="81" t="s">
        <v>382</v>
      </c>
      <c r="BS82" s="81" t="s">
        <v>383</v>
      </c>
      <c r="BT82" s="81" t="s">
        <v>384</v>
      </c>
      <c r="BU82" s="81" t="s">
        <v>385</v>
      </c>
      <c r="BV82" s="81" t="s">
        <v>386</v>
      </c>
      <c r="BW82" s="81"/>
      <c r="CP82" s="258" t="s">
        <v>442</v>
      </c>
      <c r="CQ82" s="258" t="s">
        <v>455</v>
      </c>
      <c r="CR82" s="259">
        <v>0.16800000000000001</v>
      </c>
      <c r="CS82" s="259">
        <v>4.6800000000000001E-3</v>
      </c>
      <c r="CT82" s="258">
        <v>35.82</v>
      </c>
      <c r="CU82" s="258" t="s">
        <v>422</v>
      </c>
      <c r="CV82" s="167">
        <v>2E-16</v>
      </c>
      <c r="CW82" s="81" t="s">
        <v>389</v>
      </c>
      <c r="DJ82" s="299" t="s">
        <v>442</v>
      </c>
      <c r="DK82" s="299" t="s">
        <v>455</v>
      </c>
      <c r="DL82" s="303">
        <v>0.11600000000000001</v>
      </c>
      <c r="DM82" s="303">
        <v>6.3299999999999997E-3</v>
      </c>
      <c r="DN82" s="299">
        <v>18.38</v>
      </c>
      <c r="DO82" s="299" t="s">
        <v>422</v>
      </c>
      <c r="DP82" s="303">
        <v>2E-16</v>
      </c>
      <c r="DQ82" s="299" t="s">
        <v>389</v>
      </c>
    </row>
    <row r="83" spans="55:121" thickTop="1" thickBot="1" x14ac:dyDescent="0.3">
      <c r="BD83" s="167">
        <v>297</v>
      </c>
      <c r="BE83" s="167">
        <v>8.0100000000000005E-2</v>
      </c>
      <c r="BF83" s="81">
        <v>3708.09</v>
      </c>
      <c r="BG83" s="81" t="s">
        <v>388</v>
      </c>
      <c r="BH83" s="81" t="s">
        <v>389</v>
      </c>
      <c r="BQ83" s="81" t="s">
        <v>436</v>
      </c>
      <c r="BR83" s="167">
        <v>290</v>
      </c>
      <c r="BS83" s="167">
        <v>0.36799999999999999</v>
      </c>
      <c r="BT83" s="81">
        <v>790.07</v>
      </c>
      <c r="BU83" s="81" t="s">
        <v>422</v>
      </c>
      <c r="BV83" s="167">
        <v>2E-16</v>
      </c>
      <c r="BW83" s="81" t="s">
        <v>389</v>
      </c>
      <c r="CP83" s="258" t="s">
        <v>442</v>
      </c>
      <c r="CQ83" s="258" t="s">
        <v>456</v>
      </c>
      <c r="CR83" s="259">
        <v>0.13100000000000001</v>
      </c>
      <c r="CS83" s="259">
        <v>3.5899999999999999E-3</v>
      </c>
      <c r="CT83" s="258">
        <v>36.340000000000003</v>
      </c>
      <c r="CU83" s="259" t="s">
        <v>422</v>
      </c>
      <c r="CV83" s="167">
        <v>2E-16</v>
      </c>
      <c r="CW83" s="81" t="s">
        <v>389</v>
      </c>
      <c r="DJ83" s="299" t="s">
        <v>442</v>
      </c>
      <c r="DK83" s="299" t="s">
        <v>456</v>
      </c>
      <c r="DL83" s="303">
        <v>6.9900000000000004E-2</v>
      </c>
      <c r="DM83" s="303">
        <v>5.2399999999999999E-3</v>
      </c>
      <c r="DN83" s="299">
        <v>13.36</v>
      </c>
      <c r="DO83" s="303" t="s">
        <v>422</v>
      </c>
      <c r="DP83" s="303">
        <v>2E-16</v>
      </c>
      <c r="DQ83" s="299" t="s">
        <v>389</v>
      </c>
    </row>
    <row r="84" spans="55:121" thickTop="1" thickBot="1" x14ac:dyDescent="0.3">
      <c r="BC84" s="81" t="s">
        <v>423</v>
      </c>
      <c r="BD84" s="167">
        <v>294</v>
      </c>
      <c r="BE84" s="167">
        <v>4.2999999999999997E-2</v>
      </c>
      <c r="BF84" s="81">
        <v>6835.63</v>
      </c>
      <c r="BG84" s="81" t="s">
        <v>388</v>
      </c>
      <c r="BH84" s="81" t="s">
        <v>389</v>
      </c>
      <c r="BQ84" s="81" t="s">
        <v>423</v>
      </c>
      <c r="BR84" s="167">
        <v>292</v>
      </c>
      <c r="BS84" s="167">
        <v>0.36699999999999999</v>
      </c>
      <c r="BT84" s="81">
        <v>796.23</v>
      </c>
      <c r="BU84" s="81" t="s">
        <v>422</v>
      </c>
      <c r="BV84" s="167">
        <v>2E-16</v>
      </c>
      <c r="BW84" s="81" t="s">
        <v>389</v>
      </c>
      <c r="CP84" s="258" t="s">
        <v>442</v>
      </c>
      <c r="CQ84" s="258" t="s">
        <v>308</v>
      </c>
      <c r="CR84" s="259">
        <v>994000000</v>
      </c>
      <c r="CS84" s="259">
        <v>45100000</v>
      </c>
      <c r="CT84" s="258">
        <v>22.03</v>
      </c>
      <c r="CU84" s="259" t="s">
        <v>422</v>
      </c>
      <c r="CV84" s="167">
        <v>2E-16</v>
      </c>
      <c r="CW84" s="81" t="s">
        <v>389</v>
      </c>
      <c r="DJ84" s="299" t="s">
        <v>442</v>
      </c>
      <c r="DK84" s="299" t="s">
        <v>308</v>
      </c>
      <c r="DL84" s="303">
        <v>987000000</v>
      </c>
      <c r="DM84" s="303">
        <v>135000000</v>
      </c>
      <c r="DN84" s="299">
        <v>7.32</v>
      </c>
      <c r="DO84" s="303">
        <v>2.8000000000000002E-13</v>
      </c>
      <c r="DP84" s="303" t="s">
        <v>389</v>
      </c>
    </row>
    <row r="85" spans="55:121" thickTop="1" thickBot="1" x14ac:dyDescent="0.3">
      <c r="BC85" s="81" t="s">
        <v>358</v>
      </c>
      <c r="BD85" s="167">
        <v>0.09</v>
      </c>
      <c r="BE85" s="167">
        <v>1.75E-3</v>
      </c>
      <c r="BF85" s="81">
        <v>51.34</v>
      </c>
      <c r="BG85" s="81" t="s">
        <v>388</v>
      </c>
      <c r="BH85" s="81" t="s">
        <v>389</v>
      </c>
      <c r="BQ85" s="81" t="s">
        <v>358</v>
      </c>
      <c r="BR85" s="167">
        <v>1.24E-7</v>
      </c>
      <c r="BS85" s="167">
        <v>2.21E-6</v>
      </c>
      <c r="BT85" s="81">
        <v>0.06</v>
      </c>
      <c r="BU85" s="81">
        <v>0.96</v>
      </c>
      <c r="BV85" s="81"/>
      <c r="BW85" s="81"/>
      <c r="CP85" s="258" t="s">
        <v>442</v>
      </c>
      <c r="CQ85" s="258" t="s">
        <v>399</v>
      </c>
      <c r="CR85" s="259">
        <v>1820000</v>
      </c>
      <c r="CS85" s="259">
        <v>11600</v>
      </c>
      <c r="CT85" s="258">
        <v>156.11000000000001</v>
      </c>
      <c r="CU85" s="258" t="s">
        <v>422</v>
      </c>
      <c r="CV85" s="167">
        <v>2E-16</v>
      </c>
      <c r="CW85" s="81" t="s">
        <v>389</v>
      </c>
      <c r="DJ85" s="299" t="s">
        <v>442</v>
      </c>
      <c r="DK85" s="299" t="s">
        <v>399</v>
      </c>
      <c r="DL85" s="303">
        <v>931000</v>
      </c>
      <c r="DM85" s="303">
        <v>23100</v>
      </c>
      <c r="DN85" s="299">
        <v>40.26</v>
      </c>
      <c r="DO85" s="299" t="s">
        <v>422</v>
      </c>
      <c r="DP85" s="303">
        <v>2E-16</v>
      </c>
      <c r="DQ85" s="299" t="s">
        <v>389</v>
      </c>
    </row>
    <row r="86" spans="55:121" thickTop="1" thickBot="1" x14ac:dyDescent="0.3">
      <c r="BC86" s="81" t="s">
        <v>360</v>
      </c>
      <c r="BD86" s="167">
        <v>0.192</v>
      </c>
      <c r="BE86" s="167">
        <v>3.5400000000000002E-3</v>
      </c>
      <c r="BF86" s="81">
        <v>54.37</v>
      </c>
      <c r="BG86" s="81" t="s">
        <v>388</v>
      </c>
      <c r="BH86" s="81" t="s">
        <v>389</v>
      </c>
      <c r="BQ86" s="81" t="s">
        <v>360</v>
      </c>
      <c r="BR86" s="167">
        <v>4.1799999999999997E-8</v>
      </c>
      <c r="BS86" s="167">
        <v>8.2999999999999999E-7</v>
      </c>
      <c r="BT86" s="81">
        <v>0.05</v>
      </c>
      <c r="BU86" s="81">
        <v>0.96</v>
      </c>
      <c r="BV86" s="81"/>
      <c r="BW86" s="81"/>
      <c r="CP86" s="258" t="s">
        <v>442</v>
      </c>
      <c r="CQ86" s="258" t="s">
        <v>301</v>
      </c>
      <c r="CR86" s="259">
        <v>5640000</v>
      </c>
      <c r="CS86" s="259">
        <v>150000</v>
      </c>
      <c r="CT86" s="258">
        <v>37.5</v>
      </c>
      <c r="CU86" s="258" t="s">
        <v>422</v>
      </c>
      <c r="CV86" s="167">
        <v>2E-16</v>
      </c>
      <c r="CW86" s="81" t="s">
        <v>389</v>
      </c>
      <c r="DJ86" s="299" t="s">
        <v>442</v>
      </c>
      <c r="DK86" s="299" t="s">
        <v>301</v>
      </c>
      <c r="DL86" s="303">
        <v>3960000</v>
      </c>
      <c r="DM86" s="303">
        <v>138000</v>
      </c>
      <c r="DN86" s="299">
        <v>28.6</v>
      </c>
      <c r="DO86" s="299" t="s">
        <v>422</v>
      </c>
      <c r="DP86" s="303">
        <v>2E-16</v>
      </c>
      <c r="DQ86" s="299" t="s">
        <v>389</v>
      </c>
    </row>
    <row r="87" spans="55:121" thickTop="1" thickBot="1" x14ac:dyDescent="0.3">
      <c r="BC87" s="81" t="s">
        <v>424</v>
      </c>
      <c r="BD87" s="167">
        <v>8270000</v>
      </c>
      <c r="BE87" s="167">
        <v>124000</v>
      </c>
      <c r="BF87" s="81">
        <v>66.77</v>
      </c>
      <c r="BG87" s="81" t="s">
        <v>388</v>
      </c>
      <c r="BH87" s="81" t="s">
        <v>389</v>
      </c>
      <c r="BQ87" s="81" t="s">
        <v>424</v>
      </c>
      <c r="BR87" s="167">
        <v>19200000</v>
      </c>
      <c r="BS87" s="167">
        <v>2600000</v>
      </c>
      <c r="BT87" s="81">
        <v>7.38</v>
      </c>
      <c r="BU87" s="167">
        <v>2.0999999999999999E-13</v>
      </c>
      <c r="BV87" s="81" t="s">
        <v>389</v>
      </c>
      <c r="BW87" s="81"/>
      <c r="CP87" s="258" t="s">
        <v>442</v>
      </c>
      <c r="CQ87" s="258" t="s">
        <v>303</v>
      </c>
      <c r="CR87" s="259">
        <v>35700000</v>
      </c>
      <c r="CS87" s="259">
        <v>1120000</v>
      </c>
      <c r="CT87" s="258">
        <v>31.75</v>
      </c>
      <c r="CU87" s="258" t="s">
        <v>422</v>
      </c>
      <c r="CV87" s="167">
        <v>2E-16</v>
      </c>
      <c r="CW87" s="81" t="s">
        <v>389</v>
      </c>
      <c r="DJ87" s="299" t="s">
        <v>442</v>
      </c>
      <c r="DK87" s="299" t="s">
        <v>303</v>
      </c>
      <c r="DL87" s="303">
        <v>76000000</v>
      </c>
      <c r="DM87" s="303">
        <v>3650000</v>
      </c>
      <c r="DN87" s="299">
        <v>20.83</v>
      </c>
      <c r="DO87" s="299" t="s">
        <v>422</v>
      </c>
      <c r="DP87" s="303">
        <v>2E-16</v>
      </c>
      <c r="DQ87" s="299" t="s">
        <v>389</v>
      </c>
    </row>
    <row r="88" spans="55:121" thickTop="1" thickBot="1" x14ac:dyDescent="0.3">
      <c r="BC88" s="81" t="s">
        <v>364</v>
      </c>
      <c r="BD88" s="167">
        <v>25000000</v>
      </c>
      <c r="BE88" s="167">
        <v>376000</v>
      </c>
      <c r="BF88" s="81">
        <v>66.52</v>
      </c>
      <c r="BG88" s="81" t="s">
        <v>388</v>
      </c>
      <c r="BH88" s="81" t="s">
        <v>389</v>
      </c>
      <c r="BQ88" s="81"/>
      <c r="BR88" s="81"/>
      <c r="BS88" s="81"/>
      <c r="BT88" s="81"/>
      <c r="BU88" s="81"/>
      <c r="BV88" s="81"/>
      <c r="BW88" s="81"/>
      <c r="CP88" s="258" t="s">
        <v>442</v>
      </c>
      <c r="CQ88" s="258" t="s">
        <v>400</v>
      </c>
      <c r="CR88" s="259">
        <v>-24.4</v>
      </c>
      <c r="CS88" s="259">
        <v>11.4</v>
      </c>
      <c r="CT88" s="258">
        <v>-2.13</v>
      </c>
      <c r="CU88" s="258">
        <v>3.3000000000000002E-2</v>
      </c>
      <c r="CV88" s="167" t="s">
        <v>434</v>
      </c>
      <c r="CW88" s="81"/>
      <c r="DJ88" s="299" t="s">
        <v>442</v>
      </c>
      <c r="DK88" s="299" t="s">
        <v>400</v>
      </c>
      <c r="DL88" s="303">
        <v>-5.67</v>
      </c>
      <c r="DM88" s="303">
        <v>9.74E-2</v>
      </c>
      <c r="DN88" s="299">
        <v>-58.25</v>
      </c>
      <c r="DO88" s="299" t="s">
        <v>422</v>
      </c>
      <c r="DP88" s="303">
        <v>2E-16</v>
      </c>
      <c r="DQ88" s="299" t="s">
        <v>389</v>
      </c>
    </row>
    <row r="89" spans="55:121" thickTop="1" thickBot="1" x14ac:dyDescent="0.3">
      <c r="BC89" s="81" t="s">
        <v>404</v>
      </c>
      <c r="BD89" s="167">
        <v>3.73</v>
      </c>
      <c r="BE89" s="167">
        <v>1.42</v>
      </c>
      <c r="BF89" s="81">
        <v>2.62</v>
      </c>
      <c r="BG89" s="81">
        <v>8.6999999999999994E-3</v>
      </c>
      <c r="BH89" s="81" t="s">
        <v>425</v>
      </c>
      <c r="BQ89" s="81" t="s">
        <v>364</v>
      </c>
      <c r="BR89" s="167">
        <v>65100000</v>
      </c>
      <c r="BS89" s="167">
        <v>33200000</v>
      </c>
      <c r="BT89" s="81">
        <v>1.96</v>
      </c>
      <c r="BU89" s="81">
        <v>0.05</v>
      </c>
      <c r="BV89" s="81" t="s">
        <v>434</v>
      </c>
      <c r="BW89" s="81"/>
      <c r="CP89" s="258" t="s">
        <v>442</v>
      </c>
      <c r="CQ89" s="258" t="s">
        <v>401</v>
      </c>
      <c r="CR89" s="259">
        <v>-14.6</v>
      </c>
      <c r="CS89" s="259">
        <v>31.7</v>
      </c>
      <c r="CT89" s="258">
        <v>-0.46</v>
      </c>
      <c r="CU89" s="258">
        <v>0.64400000000000002</v>
      </c>
      <c r="CV89" s="81"/>
      <c r="CW89" s="81"/>
      <c r="DJ89" s="299" t="s">
        <v>442</v>
      </c>
      <c r="DK89" s="299" t="s">
        <v>401</v>
      </c>
      <c r="DL89" s="303">
        <v>-14.7</v>
      </c>
      <c r="DM89" s="303">
        <v>86.2</v>
      </c>
      <c r="DN89" s="299">
        <v>-0.17</v>
      </c>
      <c r="DO89" s="299">
        <v>0.87</v>
      </c>
    </row>
    <row r="90" spans="55:121" thickTop="1" thickBot="1" x14ac:dyDescent="0.3">
      <c r="BC90" s="81" t="s">
        <v>426</v>
      </c>
      <c r="BD90" s="167">
        <v>-13.1</v>
      </c>
      <c r="BE90" s="167">
        <v>7.16</v>
      </c>
      <c r="BF90" s="81">
        <v>-1.83</v>
      </c>
      <c r="BG90" s="81">
        <v>6.7599999999999993E-2</v>
      </c>
      <c r="BH90" s="81" t="s">
        <v>427</v>
      </c>
      <c r="BQ90" s="81" t="s">
        <v>404</v>
      </c>
      <c r="BR90" s="167">
        <v>8.17</v>
      </c>
      <c r="BS90" s="167">
        <v>7.2700000000000001E-2</v>
      </c>
      <c r="BT90" s="81">
        <v>112.45</v>
      </c>
      <c r="BU90" s="81" t="s">
        <v>422</v>
      </c>
      <c r="BV90" s="167">
        <v>2E-16</v>
      </c>
      <c r="BW90" s="81" t="s">
        <v>389</v>
      </c>
      <c r="CP90" s="258" t="s">
        <v>442</v>
      </c>
      <c r="CQ90" s="258" t="s">
        <v>402</v>
      </c>
      <c r="CR90" s="259">
        <v>-13.6</v>
      </c>
      <c r="CS90" s="259">
        <v>17</v>
      </c>
      <c r="CT90" s="258">
        <v>-0.8</v>
      </c>
      <c r="CU90" s="258">
        <v>0.42499999999999999</v>
      </c>
      <c r="CV90" s="81"/>
      <c r="CW90" s="81"/>
      <c r="DJ90" s="299" t="s">
        <v>442</v>
      </c>
      <c r="DK90" s="299" t="s">
        <v>402</v>
      </c>
      <c r="DL90" s="303">
        <v>-11.8</v>
      </c>
      <c r="DM90" s="303">
        <v>63.2</v>
      </c>
      <c r="DN90" s="299">
        <v>-0.19</v>
      </c>
      <c r="DO90" s="299">
        <v>0.85</v>
      </c>
    </row>
    <row r="91" spans="55:121" thickTop="1" thickBot="1" x14ac:dyDescent="0.3">
      <c r="BC91" s="81" t="s">
        <v>428</v>
      </c>
      <c r="BD91" s="167">
        <v>6.5799999999999997E-2</v>
      </c>
      <c r="BE91" s="167">
        <v>7.0699999999999995E-4</v>
      </c>
      <c r="BF91" s="81">
        <v>93.12</v>
      </c>
      <c r="BG91" s="81" t="s">
        <v>388</v>
      </c>
      <c r="BH91" s="81" t="s">
        <v>389</v>
      </c>
      <c r="BQ91" s="81" t="s">
        <v>426</v>
      </c>
      <c r="BR91" s="167">
        <v>7.12</v>
      </c>
      <c r="BS91" s="167">
        <v>0.13500000000000001</v>
      </c>
      <c r="BT91" s="81">
        <v>52.65</v>
      </c>
      <c r="BU91" s="81" t="s">
        <v>422</v>
      </c>
      <c r="BV91" s="167">
        <v>2E-16</v>
      </c>
      <c r="BW91" s="81" t="s">
        <v>389</v>
      </c>
      <c r="CP91" s="258" t="s">
        <v>442</v>
      </c>
      <c r="CQ91" s="258" t="s">
        <v>403</v>
      </c>
      <c r="CR91" s="259">
        <v>-19.100000000000001</v>
      </c>
      <c r="CS91" s="259">
        <v>110</v>
      </c>
      <c r="CT91" s="258">
        <v>-0.17</v>
      </c>
      <c r="CU91" s="259">
        <v>0.86199999999999999</v>
      </c>
      <c r="CV91" s="81"/>
      <c r="CW91" s="81"/>
      <c r="DJ91" s="299" t="s">
        <v>442</v>
      </c>
      <c r="DK91" s="299" t="s">
        <v>403</v>
      </c>
      <c r="DL91" s="303">
        <v>-16.8</v>
      </c>
      <c r="DM91" s="303">
        <v>105</v>
      </c>
      <c r="DN91" s="299">
        <v>-0.16</v>
      </c>
      <c r="DO91" s="303">
        <v>0.87</v>
      </c>
    </row>
    <row r="92" spans="55:121" thickTop="1" thickBot="1" x14ac:dyDescent="0.3">
      <c r="BC92" s="81" t="s">
        <v>429</v>
      </c>
      <c r="BD92" s="167">
        <v>0.11799999999999999</v>
      </c>
      <c r="BE92" s="167">
        <v>1.1299999999999999E-3</v>
      </c>
      <c r="BF92" s="81">
        <v>104.59</v>
      </c>
      <c r="BG92" s="81" t="s">
        <v>388</v>
      </c>
      <c r="BH92" s="81" t="s">
        <v>389</v>
      </c>
      <c r="BQ92" s="81" t="s">
        <v>416</v>
      </c>
      <c r="BR92" s="167">
        <v>-5.0599999999999996</v>
      </c>
      <c r="BS92" s="167">
        <v>5.1200000000000002E-2</v>
      </c>
      <c r="BT92" s="81">
        <v>-98.95</v>
      </c>
      <c r="BU92" s="81" t="s">
        <v>422</v>
      </c>
      <c r="BV92" s="167">
        <v>2E-16</v>
      </c>
      <c r="BW92" s="81" t="s">
        <v>389</v>
      </c>
      <c r="CP92" s="258" t="s">
        <v>442</v>
      </c>
      <c r="CQ92" s="258" t="s">
        <v>405</v>
      </c>
      <c r="CR92" s="259">
        <v>6.4199999999999993E-2</v>
      </c>
      <c r="CS92" s="259">
        <v>5.5400000000000002E-4</v>
      </c>
      <c r="CT92" s="258">
        <v>115.91</v>
      </c>
      <c r="CU92" s="258" t="s">
        <v>422</v>
      </c>
      <c r="CV92" s="167">
        <v>2E-16</v>
      </c>
      <c r="CW92" s="81" t="s">
        <v>389</v>
      </c>
      <c r="DJ92" s="299" t="s">
        <v>442</v>
      </c>
      <c r="DK92" s="299" t="s">
        <v>405</v>
      </c>
      <c r="DL92" s="303">
        <v>7.9500000000000001E-2</v>
      </c>
      <c r="DM92" s="303">
        <v>1.83E-3</v>
      </c>
      <c r="DN92" s="299">
        <v>43.56</v>
      </c>
      <c r="DO92" s="299" t="s">
        <v>422</v>
      </c>
      <c r="DP92" s="303">
        <v>2E-16</v>
      </c>
      <c r="DQ92" s="299" t="s">
        <v>389</v>
      </c>
    </row>
    <row r="93" spans="55:121" thickTop="1" thickBot="1" x14ac:dyDescent="0.3">
      <c r="BC93" s="81" t="s">
        <v>416</v>
      </c>
      <c r="BD93" s="167">
        <v>-6.92</v>
      </c>
      <c r="BE93" s="167">
        <v>2.1600000000000001E-2</v>
      </c>
      <c r="BF93" s="81">
        <v>-319.69</v>
      </c>
      <c r="BG93" s="81" t="s">
        <v>388</v>
      </c>
      <c r="BH93" s="81" t="s">
        <v>389</v>
      </c>
      <c r="BQ93" s="81" t="s">
        <v>430</v>
      </c>
      <c r="BR93" s="167">
        <v>-4.8899999999999997</v>
      </c>
      <c r="BS93" s="167">
        <v>3.73E-2</v>
      </c>
      <c r="BT93" s="81">
        <v>-131.12</v>
      </c>
      <c r="BU93" s="81" t="s">
        <v>422</v>
      </c>
      <c r="BV93" s="167">
        <v>2E-16</v>
      </c>
      <c r="BW93" s="81" t="s">
        <v>389</v>
      </c>
      <c r="CP93" s="258" t="s">
        <v>442</v>
      </c>
      <c r="CQ93" s="258" t="s">
        <v>406</v>
      </c>
      <c r="CR93" s="259">
        <v>0.20699999999999999</v>
      </c>
      <c r="CS93" s="259">
        <v>8.9499999999999996E-4</v>
      </c>
      <c r="CT93" s="258">
        <v>231.02</v>
      </c>
      <c r="CU93" s="258" t="s">
        <v>422</v>
      </c>
      <c r="CV93" s="167">
        <v>2E-16</v>
      </c>
      <c r="CW93" s="81" t="s">
        <v>389</v>
      </c>
      <c r="DJ93" s="299" t="s">
        <v>442</v>
      </c>
      <c r="DK93" s="299" t="s">
        <v>406</v>
      </c>
      <c r="DL93" s="303">
        <v>0.24399999999999999</v>
      </c>
      <c r="DM93" s="303">
        <v>4.5599999999999998E-3</v>
      </c>
      <c r="DN93" s="299">
        <v>53.59</v>
      </c>
      <c r="DO93" s="299" t="s">
        <v>422</v>
      </c>
      <c r="DP93" s="303">
        <v>2E-16</v>
      </c>
      <c r="DQ93" s="299" t="s">
        <v>389</v>
      </c>
    </row>
    <row r="94" spans="55:121" thickTop="1" thickBot="1" x14ac:dyDescent="0.3">
      <c r="BC94" s="81" t="s">
        <v>430</v>
      </c>
      <c r="BD94" s="167">
        <v>-6.23</v>
      </c>
      <c r="BE94" s="167">
        <v>3.3000000000000002E-2</v>
      </c>
      <c r="BF94" s="81">
        <v>-188.82</v>
      </c>
      <c r="BG94" s="81" t="s">
        <v>388</v>
      </c>
      <c r="BH94" s="81" t="s">
        <v>389</v>
      </c>
      <c r="BQ94" s="81" t="s">
        <v>370</v>
      </c>
      <c r="BR94" s="167">
        <v>198</v>
      </c>
      <c r="BS94" s="167">
        <v>4.01</v>
      </c>
      <c r="BT94" s="81">
        <v>49.45</v>
      </c>
      <c r="BU94" s="81" t="s">
        <v>422</v>
      </c>
      <c r="BV94" s="167">
        <v>2E-16</v>
      </c>
      <c r="BW94" s="81" t="s">
        <v>389</v>
      </c>
      <c r="CP94" s="258" t="s">
        <v>442</v>
      </c>
      <c r="CQ94" s="258" t="s">
        <v>407</v>
      </c>
      <c r="CR94" s="259">
        <v>0.69399999999999995</v>
      </c>
      <c r="CS94" s="259">
        <v>1.7899999999999999E-3</v>
      </c>
      <c r="CT94" s="258">
        <v>388.15</v>
      </c>
      <c r="CU94" s="258" t="s">
        <v>422</v>
      </c>
      <c r="CV94" s="167">
        <v>2E-16</v>
      </c>
      <c r="CW94" s="81" t="s">
        <v>389</v>
      </c>
      <c r="DJ94" s="299" t="s">
        <v>442</v>
      </c>
      <c r="DK94" s="299" t="s">
        <v>407</v>
      </c>
      <c r="DL94" s="303">
        <v>0.61599999999999999</v>
      </c>
      <c r="DM94" s="303">
        <v>5.5900000000000004E-3</v>
      </c>
      <c r="DN94" s="299">
        <v>110.1</v>
      </c>
      <c r="DO94" s="299" t="s">
        <v>422</v>
      </c>
      <c r="DP94" s="303">
        <v>2E-16</v>
      </c>
      <c r="DQ94" s="299" t="s">
        <v>389</v>
      </c>
    </row>
    <row r="95" spans="55:121" thickTop="1" thickBot="1" x14ac:dyDescent="0.3">
      <c r="BC95" s="81" t="s">
        <v>370</v>
      </c>
      <c r="BD95" s="167">
        <v>502</v>
      </c>
      <c r="BE95" s="167">
        <v>7.41</v>
      </c>
      <c r="BF95" s="81">
        <v>67.760000000000005</v>
      </c>
      <c r="BG95" s="81" t="s">
        <v>388</v>
      </c>
      <c r="BH95" s="81" t="s">
        <v>389</v>
      </c>
      <c r="BQ95" s="81" t="s">
        <v>372</v>
      </c>
      <c r="BR95" s="167">
        <v>3.48E-4</v>
      </c>
      <c r="BS95" s="167">
        <v>3.0400000000000002E-3</v>
      </c>
      <c r="BT95" s="81">
        <v>0.11</v>
      </c>
      <c r="BU95" s="81">
        <v>0.91</v>
      </c>
      <c r="BV95" s="81"/>
      <c r="BW95" s="81"/>
      <c r="CP95" s="258" t="s">
        <v>442</v>
      </c>
      <c r="CQ95" s="258" t="s">
        <v>408</v>
      </c>
      <c r="CR95" s="259">
        <v>2.76E-2</v>
      </c>
      <c r="CS95" s="259">
        <v>1.4200000000000001E-4</v>
      </c>
      <c r="CT95" s="258">
        <v>193.82</v>
      </c>
      <c r="CU95" s="258" t="s">
        <v>422</v>
      </c>
      <c r="CV95" s="167">
        <v>2E-16</v>
      </c>
      <c r="CW95" s="81" t="s">
        <v>389</v>
      </c>
      <c r="DJ95" s="299" t="s">
        <v>442</v>
      </c>
      <c r="DK95" s="299" t="s">
        <v>408</v>
      </c>
      <c r="DL95" s="303">
        <v>2.9399999999999999E-2</v>
      </c>
      <c r="DM95" s="303">
        <v>4.0499999999999998E-4</v>
      </c>
      <c r="DN95" s="299">
        <v>72.45</v>
      </c>
      <c r="DO95" s="299" t="s">
        <v>422</v>
      </c>
      <c r="DP95" s="303">
        <v>2E-16</v>
      </c>
      <c r="DQ95" s="299" t="s">
        <v>389</v>
      </c>
    </row>
    <row r="96" spans="55:121" thickTop="1" thickBot="1" x14ac:dyDescent="0.3">
      <c r="BC96" s="81" t="s">
        <v>372</v>
      </c>
      <c r="BD96" s="167">
        <v>393</v>
      </c>
      <c r="BE96" s="167">
        <v>5.6</v>
      </c>
      <c r="BF96" s="81">
        <v>70.16</v>
      </c>
      <c r="BG96" s="81" t="s">
        <v>388</v>
      </c>
      <c r="BH96" s="81" t="s">
        <v>389</v>
      </c>
      <c r="BQ96" s="81" t="s">
        <v>374</v>
      </c>
      <c r="BR96" s="167">
        <v>221</v>
      </c>
      <c r="BS96" s="167">
        <v>3.53</v>
      </c>
      <c r="BT96" s="81">
        <v>62.76</v>
      </c>
      <c r="BU96" s="81" t="s">
        <v>422</v>
      </c>
      <c r="BV96" s="167">
        <v>2E-16</v>
      </c>
      <c r="BW96" s="81" t="s">
        <v>389</v>
      </c>
      <c r="CP96" s="258" t="s">
        <v>442</v>
      </c>
      <c r="CQ96" s="258" t="s">
        <v>410</v>
      </c>
      <c r="CR96" s="259">
        <v>194</v>
      </c>
      <c r="CS96" s="259">
        <v>1.44</v>
      </c>
      <c r="CT96" s="258">
        <v>134.30000000000001</v>
      </c>
      <c r="CU96" s="258" t="s">
        <v>422</v>
      </c>
      <c r="CV96" s="167">
        <v>2E-16</v>
      </c>
      <c r="CW96" s="81" t="s">
        <v>389</v>
      </c>
      <c r="DJ96" s="299" t="s">
        <v>442</v>
      </c>
      <c r="DK96" s="299" t="s">
        <v>410</v>
      </c>
      <c r="DL96" s="303">
        <v>149</v>
      </c>
      <c r="DM96" s="303">
        <v>3.18</v>
      </c>
      <c r="DN96" s="299">
        <v>47.06</v>
      </c>
      <c r="DO96" s="299" t="s">
        <v>422</v>
      </c>
      <c r="DP96" s="303">
        <v>2E-16</v>
      </c>
      <c r="DQ96" s="299" t="s">
        <v>389</v>
      </c>
    </row>
    <row r="97" spans="55:121" thickTop="1" thickBot="1" x14ac:dyDescent="0.3">
      <c r="BC97" s="81" t="s">
        <v>374</v>
      </c>
      <c r="BD97" s="167">
        <v>506</v>
      </c>
      <c r="BE97" s="167">
        <v>2.4900000000000002</v>
      </c>
      <c r="BF97" s="81">
        <v>203.18</v>
      </c>
      <c r="BG97" s="81" t="s">
        <v>388</v>
      </c>
      <c r="BH97" s="81" t="s">
        <v>389</v>
      </c>
      <c r="CP97" s="258" t="s">
        <v>442</v>
      </c>
      <c r="CQ97" s="258" t="s">
        <v>295</v>
      </c>
      <c r="CR97" s="259">
        <v>553</v>
      </c>
      <c r="CS97" s="259">
        <v>2.5099999999999998</v>
      </c>
      <c r="CT97" s="258">
        <v>220.12</v>
      </c>
      <c r="CU97" s="258" t="s">
        <v>422</v>
      </c>
      <c r="CV97" s="167">
        <v>2E-16</v>
      </c>
      <c r="CW97" s="81" t="s">
        <v>389</v>
      </c>
      <c r="DJ97" s="299" t="s">
        <v>442</v>
      </c>
      <c r="DK97" s="299" t="s">
        <v>295</v>
      </c>
      <c r="DL97" s="303">
        <v>617</v>
      </c>
      <c r="DM97" s="303">
        <v>6.16</v>
      </c>
      <c r="DN97" s="299">
        <v>100.05</v>
      </c>
      <c r="DO97" s="299" t="s">
        <v>422</v>
      </c>
      <c r="DP97" s="303">
        <v>2E-16</v>
      </c>
      <c r="DQ97" s="299" t="s">
        <v>389</v>
      </c>
    </row>
    <row r="98" spans="55:121" thickTop="1" thickBot="1" x14ac:dyDescent="0.3">
      <c r="CP98" s="258" t="s">
        <v>442</v>
      </c>
      <c r="CQ98" s="258" t="s">
        <v>120</v>
      </c>
      <c r="CR98" s="259">
        <v>71.599999999999994</v>
      </c>
      <c r="CS98" s="259">
        <v>0.28899999999999998</v>
      </c>
      <c r="CT98" s="258">
        <v>247.45</v>
      </c>
      <c r="CU98" s="258" t="s">
        <v>422</v>
      </c>
      <c r="CV98" s="167">
        <v>2E-16</v>
      </c>
      <c r="CW98" s="81" t="s">
        <v>389</v>
      </c>
      <c r="DJ98" s="299" t="s">
        <v>442</v>
      </c>
      <c r="DK98" s="299" t="s">
        <v>120</v>
      </c>
      <c r="DL98" s="303">
        <v>67.900000000000006</v>
      </c>
      <c r="DM98" s="303">
        <v>0.42799999999999999</v>
      </c>
      <c r="DN98" s="299">
        <v>158.61000000000001</v>
      </c>
      <c r="DO98" s="299" t="s">
        <v>422</v>
      </c>
      <c r="DP98" s="303">
        <v>2E-16</v>
      </c>
      <c r="DQ98" s="299" t="s">
        <v>389</v>
      </c>
    </row>
    <row r="99" spans="55:121" thickTop="1" thickBot="1" x14ac:dyDescent="0.3">
      <c r="CP99" s="258" t="s">
        <v>442</v>
      </c>
      <c r="CQ99" s="258" t="s">
        <v>412</v>
      </c>
      <c r="CR99" s="259">
        <v>-6.63</v>
      </c>
      <c r="CS99" s="259">
        <v>1.67E-2</v>
      </c>
      <c r="CT99" s="258">
        <v>-396.78</v>
      </c>
      <c r="CU99" s="258" t="s">
        <v>422</v>
      </c>
      <c r="CV99" s="167">
        <v>2E-16</v>
      </c>
      <c r="CW99" s="81" t="s">
        <v>389</v>
      </c>
      <c r="DJ99" s="299" t="s">
        <v>442</v>
      </c>
      <c r="DK99" s="299" t="s">
        <v>412</v>
      </c>
      <c r="DL99" s="303">
        <v>-5.31</v>
      </c>
      <c r="DM99" s="303">
        <v>3.4099999999999998E-2</v>
      </c>
      <c r="DN99" s="299">
        <v>-156.03</v>
      </c>
      <c r="DO99" s="299" t="s">
        <v>422</v>
      </c>
      <c r="DP99" s="303">
        <v>2E-16</v>
      </c>
      <c r="DQ99" s="299" t="s">
        <v>389</v>
      </c>
    </row>
    <row r="100" spans="55:121" thickTop="1" thickBot="1" x14ac:dyDescent="0.3">
      <c r="CP100" s="258" t="s">
        <v>442</v>
      </c>
      <c r="CQ100" s="258" t="s">
        <v>413</v>
      </c>
      <c r="CR100" s="259">
        <v>-6.19</v>
      </c>
      <c r="CS100" s="259">
        <v>1.52E-2</v>
      </c>
      <c r="CT100" s="258">
        <v>-407.57</v>
      </c>
      <c r="CU100" s="258" t="s">
        <v>422</v>
      </c>
      <c r="CV100" s="167">
        <v>2E-16</v>
      </c>
      <c r="CW100" s="81" t="s">
        <v>389</v>
      </c>
      <c r="DJ100" s="299" t="s">
        <v>442</v>
      </c>
      <c r="DK100" s="299" t="s">
        <v>413</v>
      </c>
      <c r="DL100" s="303">
        <v>-5.39</v>
      </c>
      <c r="DM100" s="303">
        <v>2.9399999999999999E-2</v>
      </c>
      <c r="DN100" s="299">
        <v>-183.1</v>
      </c>
      <c r="DO100" s="299" t="s">
        <v>422</v>
      </c>
      <c r="DP100" s="303">
        <v>2E-16</v>
      </c>
      <c r="DQ100" s="299" t="s">
        <v>389</v>
      </c>
    </row>
    <row r="101" spans="55:121" thickTop="1" thickBot="1" x14ac:dyDescent="0.3">
      <c r="CP101" s="258" t="s">
        <v>442</v>
      </c>
      <c r="CQ101" s="258" t="s">
        <v>414</v>
      </c>
      <c r="CR101" s="259">
        <v>-6.8</v>
      </c>
      <c r="CS101" s="259">
        <v>1.47E-2</v>
      </c>
      <c r="CT101" s="258">
        <v>-462.44</v>
      </c>
      <c r="CU101" s="258" t="s">
        <v>422</v>
      </c>
      <c r="CV101" s="167">
        <v>2E-16</v>
      </c>
      <c r="CW101" s="81" t="s">
        <v>389</v>
      </c>
      <c r="DJ101" s="299" t="s">
        <v>442</v>
      </c>
      <c r="DK101" s="299" t="s">
        <v>414</v>
      </c>
      <c r="DL101" s="303">
        <v>-6.66</v>
      </c>
      <c r="DM101" s="303">
        <v>3.5900000000000001E-2</v>
      </c>
      <c r="DN101" s="299">
        <v>-185.78</v>
      </c>
      <c r="DO101" s="299" t="s">
        <v>422</v>
      </c>
      <c r="DP101" s="303">
        <v>2E-16</v>
      </c>
      <c r="DQ101" s="299" t="s">
        <v>389</v>
      </c>
    </row>
    <row r="102" spans="55:121" thickTop="1" thickBot="1" x14ac:dyDescent="0.3">
      <c r="CP102" s="258" t="s">
        <v>442</v>
      </c>
      <c r="CQ102" s="258" t="s">
        <v>415</v>
      </c>
      <c r="CR102" s="259">
        <v>-6.5</v>
      </c>
      <c r="CS102" s="259">
        <v>1.5900000000000001E-2</v>
      </c>
      <c r="CT102" s="258">
        <v>-409.27</v>
      </c>
      <c r="CU102" s="258" t="s">
        <v>422</v>
      </c>
      <c r="CV102" s="167">
        <v>2E-16</v>
      </c>
      <c r="CW102" s="81" t="s">
        <v>389</v>
      </c>
      <c r="DJ102" s="299" t="s">
        <v>442</v>
      </c>
      <c r="DK102" s="299" t="s">
        <v>415</v>
      </c>
      <c r="DL102" s="303">
        <v>-5.99</v>
      </c>
      <c r="DM102" s="303">
        <v>2.5700000000000001E-2</v>
      </c>
      <c r="DN102" s="299">
        <v>-232.7</v>
      </c>
      <c r="DO102" s="299" t="s">
        <v>422</v>
      </c>
      <c r="DP102" s="303">
        <v>2E-16</v>
      </c>
      <c r="DQ102" s="299" t="s">
        <v>389</v>
      </c>
    </row>
    <row r="103" spans="55:121" thickTop="1" thickBot="1" x14ac:dyDescent="0.3">
      <c r="CP103" s="258" t="s">
        <v>442</v>
      </c>
      <c r="CQ103" s="258" t="s">
        <v>417</v>
      </c>
      <c r="CR103" s="259">
        <v>4.6299999999999996E-3</v>
      </c>
      <c r="CS103" s="259">
        <v>4.1600000000000002E-5</v>
      </c>
      <c r="CT103" s="258">
        <v>111.29</v>
      </c>
      <c r="CU103" s="258" t="s">
        <v>422</v>
      </c>
      <c r="CV103" s="167">
        <v>2E-16</v>
      </c>
      <c r="CW103" s="81" t="s">
        <v>389</v>
      </c>
      <c r="DJ103" s="299" t="s">
        <v>442</v>
      </c>
      <c r="DK103" s="299" t="s">
        <v>417</v>
      </c>
      <c r="DL103" s="303">
        <v>3.5799999999999998E-3</v>
      </c>
      <c r="DM103" s="303">
        <v>1.11E-4</v>
      </c>
      <c r="DN103" s="299">
        <v>32.39</v>
      </c>
      <c r="DO103" s="299" t="s">
        <v>422</v>
      </c>
      <c r="DP103" s="303">
        <v>2E-16</v>
      </c>
      <c r="DQ103" s="299" t="s">
        <v>389</v>
      </c>
    </row>
    <row r="104" spans="55:121" thickTop="1" thickBot="1" x14ac:dyDescent="0.3">
      <c r="CP104" s="258" t="s">
        <v>442</v>
      </c>
      <c r="CQ104" s="258" t="s">
        <v>418</v>
      </c>
      <c r="CR104" s="259">
        <v>70</v>
      </c>
      <c r="CS104" s="259">
        <v>0.45700000000000002</v>
      </c>
      <c r="CT104" s="258">
        <v>153.13</v>
      </c>
      <c r="CU104" s="258" t="s">
        <v>422</v>
      </c>
      <c r="CV104" s="167">
        <v>2E-16</v>
      </c>
      <c r="CW104" s="81" t="s">
        <v>389</v>
      </c>
      <c r="DJ104" s="299" t="s">
        <v>442</v>
      </c>
      <c r="DK104" s="299" t="s">
        <v>418</v>
      </c>
      <c r="DL104" s="303">
        <v>46.7</v>
      </c>
      <c r="DM104" s="303">
        <v>0.56200000000000006</v>
      </c>
      <c r="DN104" s="299">
        <v>83.12</v>
      </c>
      <c r="DO104" s="299" t="s">
        <v>422</v>
      </c>
      <c r="DP104" s="303">
        <v>2E-16</v>
      </c>
      <c r="DQ104" s="299" t="s">
        <v>389</v>
      </c>
    </row>
    <row r="105" spans="55:121" thickTop="1" thickBot="1" x14ac:dyDescent="0.3">
      <c r="CP105" s="258" t="s">
        <v>442</v>
      </c>
      <c r="CQ105" s="258" t="s">
        <v>419</v>
      </c>
      <c r="CR105" s="259">
        <v>1630</v>
      </c>
      <c r="CS105" s="259">
        <v>366</v>
      </c>
      <c r="CT105" s="258">
        <v>4.47</v>
      </c>
      <c r="CU105" s="259">
        <v>8.1000000000000004E-6</v>
      </c>
      <c r="CV105" s="81" t="s">
        <v>389</v>
      </c>
      <c r="CW105" s="81"/>
      <c r="DJ105" s="299" t="s">
        <v>442</v>
      </c>
      <c r="DK105" s="299" t="s">
        <v>419</v>
      </c>
      <c r="DL105" s="303">
        <v>2680</v>
      </c>
      <c r="DM105" s="303">
        <v>650</v>
      </c>
      <c r="DN105" s="299">
        <v>4.12</v>
      </c>
      <c r="DO105" s="303">
        <v>3.8000000000000002E-5</v>
      </c>
      <c r="DP105" s="299" t="s">
        <v>389</v>
      </c>
    </row>
    <row r="106" spans="55:121" thickTop="1" thickBot="1" x14ac:dyDescent="0.3">
      <c r="CP106" s="258" t="s">
        <v>442</v>
      </c>
      <c r="CQ106" s="258" t="s">
        <v>461</v>
      </c>
      <c r="CV106" s="81"/>
      <c r="CW106" s="81"/>
      <c r="DJ106" s="299" t="s">
        <v>442</v>
      </c>
      <c r="DK106" s="299" t="s">
        <v>461</v>
      </c>
    </row>
    <row r="107" spans="55:121" thickTop="1" thickBot="1" x14ac:dyDescent="0.3">
      <c r="CP107" s="258" t="s">
        <v>442</v>
      </c>
      <c r="CQ107" s="258" t="s">
        <v>462</v>
      </c>
      <c r="CR107" s="258" t="s">
        <v>463</v>
      </c>
      <c r="CS107" s="258">
        <v>0</v>
      </c>
      <c r="CT107" s="258" t="s">
        <v>464</v>
      </c>
      <c r="CU107" s="258">
        <v>1E-3</v>
      </c>
      <c r="CV107" s="81" t="s">
        <v>465</v>
      </c>
      <c r="CW107" s="81">
        <v>0.01</v>
      </c>
      <c r="DJ107" s="299" t="s">
        <v>442</v>
      </c>
      <c r="DK107" s="299" t="s">
        <v>462</v>
      </c>
      <c r="DL107" s="299" t="s">
        <v>463</v>
      </c>
      <c r="DM107" s="299">
        <v>0</v>
      </c>
      <c r="DN107" s="299" t="s">
        <v>464</v>
      </c>
      <c r="DO107" s="299">
        <v>1E-3</v>
      </c>
      <c r="DP107" s="299" t="s">
        <v>465</v>
      </c>
      <c r="DQ107" s="299">
        <v>0.01</v>
      </c>
    </row>
    <row r="109" spans="55:121" thickTop="1" thickBot="1" x14ac:dyDescent="0.3">
      <c r="CP109" s="258" t="s">
        <v>442</v>
      </c>
      <c r="CQ109" s="258" t="s">
        <v>433</v>
      </c>
      <c r="CR109" s="258" t="s">
        <v>435</v>
      </c>
      <c r="CV109" s="81"/>
      <c r="CW109" s="81"/>
      <c r="DJ109" s="299" t="s">
        <v>442</v>
      </c>
      <c r="DK109" s="299" t="s">
        <v>433</v>
      </c>
      <c r="DL109" s="299" t="s">
        <v>435</v>
      </c>
    </row>
    <row r="110" spans="55:121" thickTop="1" thickBot="1" x14ac:dyDescent="0.3">
      <c r="CP110" s="258" t="s">
        <v>442</v>
      </c>
      <c r="CQ110" s="258" t="s">
        <v>380</v>
      </c>
      <c r="CV110" s="81"/>
      <c r="CW110" s="81"/>
      <c r="DJ110" s="299" t="s">
        <v>442</v>
      </c>
      <c r="DK110" s="299" t="s">
        <v>380</v>
      </c>
    </row>
    <row r="111" spans="55:121" thickTop="1" thickBot="1" x14ac:dyDescent="0.3">
      <c r="CP111" s="258" t="s">
        <v>442</v>
      </c>
      <c r="CQ111" s="258" t="s">
        <v>381</v>
      </c>
      <c r="CR111" s="258" t="s">
        <v>382</v>
      </c>
      <c r="CS111" s="258" t="s">
        <v>383</v>
      </c>
      <c r="CT111" s="258" t="s">
        <v>384</v>
      </c>
      <c r="CU111" s="258" t="s">
        <v>385</v>
      </c>
      <c r="CV111" s="81" t="s">
        <v>386</v>
      </c>
      <c r="CW111" s="81"/>
      <c r="DJ111" s="299" t="s">
        <v>442</v>
      </c>
      <c r="DK111" s="299" t="s">
        <v>381</v>
      </c>
      <c r="DL111" s="299" t="s">
        <v>382</v>
      </c>
      <c r="DM111" s="299" t="s">
        <v>383</v>
      </c>
      <c r="DN111" s="299" t="s">
        <v>384</v>
      </c>
      <c r="DO111" s="299" t="s">
        <v>385</v>
      </c>
      <c r="DP111" s="299" t="s">
        <v>386</v>
      </c>
    </row>
    <row r="112" spans="55:121" thickTop="1" thickBot="1" x14ac:dyDescent="0.3">
      <c r="CP112" s="258" t="s">
        <v>442</v>
      </c>
      <c r="CQ112" s="258" t="s">
        <v>436</v>
      </c>
      <c r="CR112" s="259">
        <v>291</v>
      </c>
      <c r="CS112" s="259">
        <v>8.6800000000000002E-2</v>
      </c>
      <c r="CT112" s="258">
        <v>3353.25</v>
      </c>
      <c r="CU112" s="258" t="s">
        <v>388</v>
      </c>
      <c r="CV112" s="167" t="s">
        <v>389</v>
      </c>
      <c r="CW112" s="81" t="s">
        <v>389</v>
      </c>
      <c r="DJ112" s="299" t="s">
        <v>442</v>
      </c>
      <c r="DK112" s="299" t="s">
        <v>436</v>
      </c>
      <c r="DL112" s="303">
        <v>292</v>
      </c>
      <c r="DM112" s="303">
        <v>0.12</v>
      </c>
      <c r="DN112" s="299">
        <v>2432.0700000000002</v>
      </c>
      <c r="DO112" s="299" t="s">
        <v>388</v>
      </c>
      <c r="DP112" s="303" t="s">
        <v>389</v>
      </c>
      <c r="DQ112" s="299" t="s">
        <v>389</v>
      </c>
    </row>
    <row r="113" spans="94:121" thickTop="1" thickBot="1" x14ac:dyDescent="0.3">
      <c r="CP113" s="258" t="s">
        <v>442</v>
      </c>
      <c r="CQ113" s="258" t="s">
        <v>423</v>
      </c>
      <c r="CR113" s="259">
        <v>294</v>
      </c>
      <c r="CS113" s="259">
        <v>5.6599999999999998E-2</v>
      </c>
      <c r="CT113" s="258">
        <v>5203.5600000000004</v>
      </c>
      <c r="CU113" s="258" t="s">
        <v>388</v>
      </c>
      <c r="CV113" s="167" t="s">
        <v>389</v>
      </c>
      <c r="CW113" s="81" t="s">
        <v>389</v>
      </c>
      <c r="DJ113" s="299" t="s">
        <v>442</v>
      </c>
      <c r="DK113" s="299" t="s">
        <v>423</v>
      </c>
      <c r="DL113" s="303">
        <v>293</v>
      </c>
      <c r="DM113" s="303">
        <v>0.157</v>
      </c>
      <c r="DN113" s="299">
        <v>1870.32</v>
      </c>
      <c r="DO113" s="299" t="s">
        <v>388</v>
      </c>
      <c r="DP113" s="303" t="s">
        <v>389</v>
      </c>
      <c r="DQ113" s="299" t="s">
        <v>389</v>
      </c>
    </row>
    <row r="114" spans="94:121" thickTop="1" thickBot="1" x14ac:dyDescent="0.3">
      <c r="CP114" s="258" t="s">
        <v>442</v>
      </c>
      <c r="CQ114" s="258" t="s">
        <v>358</v>
      </c>
      <c r="CR114" s="259">
        <v>9.9400000000000002E-2</v>
      </c>
      <c r="CS114" s="259">
        <v>1.0499999999999999E-3</v>
      </c>
      <c r="CT114" s="258">
        <v>94.51</v>
      </c>
      <c r="CU114" s="258" t="s">
        <v>388</v>
      </c>
      <c r="CV114" s="81" t="s">
        <v>389</v>
      </c>
      <c r="CW114" s="81"/>
      <c r="DJ114" s="299" t="s">
        <v>442</v>
      </c>
      <c r="DK114" s="299" t="s">
        <v>358</v>
      </c>
      <c r="DL114" s="303">
        <v>0.156</v>
      </c>
      <c r="DM114" s="303">
        <v>2.6099999999999999E-3</v>
      </c>
      <c r="DN114" s="299">
        <v>59.72</v>
      </c>
      <c r="DO114" s="299" t="s">
        <v>388</v>
      </c>
      <c r="DP114" s="299" t="s">
        <v>389</v>
      </c>
    </row>
    <row r="115" spans="94:121" thickTop="1" thickBot="1" x14ac:dyDescent="0.3">
      <c r="CP115" s="258" t="s">
        <v>442</v>
      </c>
      <c r="CQ115" s="258" t="s">
        <v>360</v>
      </c>
      <c r="CR115" s="259">
        <v>0.107</v>
      </c>
      <c r="CS115" s="259">
        <v>1.2600000000000001E-3</v>
      </c>
      <c r="CT115" s="258">
        <v>84.69</v>
      </c>
      <c r="CU115" s="258" t="s">
        <v>388</v>
      </c>
      <c r="CV115" s="81" t="s">
        <v>389</v>
      </c>
      <c r="CW115" s="81"/>
      <c r="DJ115" s="299" t="s">
        <v>442</v>
      </c>
      <c r="DK115" s="299" t="s">
        <v>360</v>
      </c>
      <c r="DL115" s="303">
        <v>6.5600000000000006E-2</v>
      </c>
      <c r="DM115" s="303">
        <v>1.83E-3</v>
      </c>
      <c r="DN115" s="299">
        <v>35.89</v>
      </c>
      <c r="DO115" s="299" t="s">
        <v>388</v>
      </c>
      <c r="DP115" s="299" t="s">
        <v>389</v>
      </c>
    </row>
    <row r="116" spans="94:121" thickTop="1" thickBot="1" x14ac:dyDescent="0.3">
      <c r="CP116" s="258" t="s">
        <v>442</v>
      </c>
      <c r="CQ116" s="258" t="s">
        <v>424</v>
      </c>
      <c r="CR116" s="259">
        <v>993000000</v>
      </c>
      <c r="CS116" s="259">
        <v>40500000</v>
      </c>
      <c r="CT116" s="258">
        <v>24.54</v>
      </c>
      <c r="CU116" s="259" t="s">
        <v>388</v>
      </c>
      <c r="CV116" s="81" t="s">
        <v>389</v>
      </c>
      <c r="CW116" s="81"/>
      <c r="DJ116" s="299" t="s">
        <v>442</v>
      </c>
      <c r="DK116" s="299" t="s">
        <v>424</v>
      </c>
      <c r="DL116" s="303">
        <v>577000000</v>
      </c>
      <c r="DM116" s="303">
        <v>207000000</v>
      </c>
      <c r="DN116" s="299">
        <v>2.79</v>
      </c>
      <c r="DO116" s="303">
        <v>5.3E-3</v>
      </c>
      <c r="DP116" s="299" t="s">
        <v>425</v>
      </c>
    </row>
    <row r="117" spans="94:121" thickTop="1" thickBot="1" x14ac:dyDescent="0.3">
      <c r="CP117" s="258" t="s">
        <v>442</v>
      </c>
      <c r="CQ117" s="258" t="s">
        <v>364</v>
      </c>
      <c r="CR117" s="259">
        <v>994000000</v>
      </c>
      <c r="CS117" s="259">
        <v>33000000</v>
      </c>
      <c r="CT117" s="258">
        <v>30.12</v>
      </c>
      <c r="CU117" s="258" t="s">
        <v>388</v>
      </c>
      <c r="CV117" s="81" t="s">
        <v>389</v>
      </c>
      <c r="CW117" s="81"/>
      <c r="DJ117" s="299" t="s">
        <v>442</v>
      </c>
      <c r="DK117" s="299" t="s">
        <v>364</v>
      </c>
      <c r="DL117" s="303">
        <v>995000000</v>
      </c>
      <c r="DM117" s="303">
        <v>27700000</v>
      </c>
      <c r="DN117" s="299">
        <v>35.93</v>
      </c>
      <c r="DO117" s="299" t="s">
        <v>388</v>
      </c>
      <c r="DP117" s="299" t="s">
        <v>389</v>
      </c>
    </row>
    <row r="118" spans="94:121" thickTop="1" thickBot="1" x14ac:dyDescent="0.3">
      <c r="CP118" s="258" t="s">
        <v>442</v>
      </c>
      <c r="CQ118" s="258" t="s">
        <v>404</v>
      </c>
      <c r="CR118" s="259">
        <v>-17.2</v>
      </c>
      <c r="CS118" s="259">
        <v>39.299999999999997</v>
      </c>
      <c r="CT118" s="258">
        <v>-0.44</v>
      </c>
      <c r="CU118" s="258">
        <v>0.66</v>
      </c>
      <c r="CV118" s="167"/>
      <c r="CW118" s="81" t="s">
        <v>389</v>
      </c>
      <c r="DJ118" s="299" t="s">
        <v>442</v>
      </c>
      <c r="DK118" s="299" t="s">
        <v>404</v>
      </c>
      <c r="DL118" s="303">
        <v>-13.9</v>
      </c>
      <c r="DM118" s="303">
        <v>335</v>
      </c>
      <c r="DN118" s="299">
        <v>-0.04</v>
      </c>
      <c r="DO118" s="299">
        <v>0.96689999999999998</v>
      </c>
      <c r="DP118" s="303"/>
      <c r="DQ118" s="299" t="s">
        <v>389</v>
      </c>
    </row>
    <row r="119" spans="94:121" thickTop="1" thickBot="1" x14ac:dyDescent="0.3">
      <c r="CP119" s="258" t="s">
        <v>442</v>
      </c>
      <c r="CQ119" s="258" t="s">
        <v>426</v>
      </c>
      <c r="CR119" s="259">
        <v>-17.2</v>
      </c>
      <c r="CS119" s="259">
        <v>47.8</v>
      </c>
      <c r="CT119" s="258">
        <v>-0.36</v>
      </c>
      <c r="CU119" s="258">
        <v>0.72</v>
      </c>
      <c r="CV119" s="167"/>
      <c r="CW119" s="81" t="s">
        <v>389</v>
      </c>
      <c r="DJ119" s="299" t="s">
        <v>442</v>
      </c>
      <c r="DK119" s="299" t="s">
        <v>426</v>
      </c>
      <c r="DL119" s="303">
        <v>-14.8</v>
      </c>
      <c r="DM119" s="303">
        <v>158</v>
      </c>
      <c r="DN119" s="299">
        <v>-0.09</v>
      </c>
      <c r="DO119" s="299">
        <v>0.92530000000000001</v>
      </c>
      <c r="DP119" s="303"/>
      <c r="DQ119" s="299" t="s">
        <v>389</v>
      </c>
    </row>
    <row r="120" spans="94:121" thickTop="1" thickBot="1" x14ac:dyDescent="0.3">
      <c r="CP120" s="258" t="s">
        <v>442</v>
      </c>
      <c r="CQ120" s="258" t="s">
        <v>428</v>
      </c>
      <c r="CR120" s="259">
        <v>4.5900000000000003E-2</v>
      </c>
      <c r="CS120" s="259">
        <v>1.06E-4</v>
      </c>
      <c r="CT120" s="258">
        <v>433.87</v>
      </c>
      <c r="CU120" s="258" t="s">
        <v>388</v>
      </c>
      <c r="CV120" s="167" t="s">
        <v>389</v>
      </c>
      <c r="CW120" s="81" t="s">
        <v>389</v>
      </c>
      <c r="DJ120" s="299" t="s">
        <v>442</v>
      </c>
      <c r="DK120" s="299" t="s">
        <v>428</v>
      </c>
      <c r="DL120" s="303">
        <v>4.3099999999999999E-2</v>
      </c>
      <c r="DM120" s="303">
        <v>3.6000000000000002E-4</v>
      </c>
      <c r="DN120" s="299">
        <v>119.57</v>
      </c>
      <c r="DO120" s="299" t="s">
        <v>388</v>
      </c>
      <c r="DP120" s="303" t="s">
        <v>389</v>
      </c>
      <c r="DQ120" s="299" t="s">
        <v>389</v>
      </c>
    </row>
    <row r="121" spans="94:121" thickTop="1" thickBot="1" x14ac:dyDescent="0.3">
      <c r="CP121" s="258" t="s">
        <v>442</v>
      </c>
      <c r="CQ121" s="258" t="s">
        <v>429</v>
      </c>
      <c r="CR121" s="259">
        <v>2.75E-2</v>
      </c>
      <c r="CS121" s="259">
        <v>9.8300000000000004E-5</v>
      </c>
      <c r="CT121" s="258">
        <v>279.93</v>
      </c>
      <c r="CU121" s="258" t="s">
        <v>388</v>
      </c>
      <c r="CV121" s="167" t="s">
        <v>389</v>
      </c>
      <c r="CW121" s="81" t="s">
        <v>389</v>
      </c>
      <c r="DJ121" s="299" t="s">
        <v>442</v>
      </c>
      <c r="DK121" s="299" t="s">
        <v>429</v>
      </c>
      <c r="DL121" s="303">
        <v>2.7199999999999998E-2</v>
      </c>
      <c r="DM121" s="303">
        <v>4.1300000000000001E-4</v>
      </c>
      <c r="DN121" s="299">
        <v>65.81</v>
      </c>
      <c r="DO121" s="299" t="s">
        <v>388</v>
      </c>
      <c r="DP121" s="303" t="s">
        <v>389</v>
      </c>
      <c r="DQ121" s="299" t="s">
        <v>389</v>
      </c>
    </row>
    <row r="122" spans="94:121" thickTop="1" thickBot="1" x14ac:dyDescent="0.3">
      <c r="CP122" s="258" t="s">
        <v>442</v>
      </c>
      <c r="CQ122" s="258" t="s">
        <v>416</v>
      </c>
      <c r="CR122" s="259">
        <v>-6.31</v>
      </c>
      <c r="CS122" s="259">
        <v>1.6500000000000001E-2</v>
      </c>
      <c r="CT122" s="258">
        <v>-382.91</v>
      </c>
      <c r="CU122" s="258" t="s">
        <v>388</v>
      </c>
      <c r="CV122" s="167" t="s">
        <v>389</v>
      </c>
      <c r="CW122" s="81" t="s">
        <v>389</v>
      </c>
      <c r="DJ122" s="299" t="s">
        <v>442</v>
      </c>
      <c r="DK122" s="299" t="s">
        <v>416</v>
      </c>
      <c r="DL122" s="303">
        <v>-5.63</v>
      </c>
      <c r="DM122" s="303">
        <v>2.52E-2</v>
      </c>
      <c r="DN122" s="299">
        <v>-223.77</v>
      </c>
      <c r="DO122" s="299" t="s">
        <v>388</v>
      </c>
      <c r="DP122" s="303" t="s">
        <v>389</v>
      </c>
      <c r="DQ122" s="299" t="s">
        <v>389</v>
      </c>
    </row>
    <row r="123" spans="94:121" thickTop="1" thickBot="1" x14ac:dyDescent="0.3">
      <c r="CP123" s="258" t="s">
        <v>442</v>
      </c>
      <c r="CQ123" s="258" t="s">
        <v>430</v>
      </c>
      <c r="CR123" s="259">
        <v>-5.84</v>
      </c>
      <c r="CS123" s="259">
        <v>1.5100000000000001E-2</v>
      </c>
      <c r="CT123" s="258">
        <v>-386.97</v>
      </c>
      <c r="CU123" s="258" t="s">
        <v>388</v>
      </c>
      <c r="CV123" s="81" t="s">
        <v>389</v>
      </c>
      <c r="CW123" s="81"/>
      <c r="DJ123" s="299" t="s">
        <v>442</v>
      </c>
      <c r="DK123" s="299" t="s">
        <v>430</v>
      </c>
      <c r="DL123" s="303">
        <v>-5.86</v>
      </c>
      <c r="DM123" s="303">
        <v>2.0500000000000001E-2</v>
      </c>
      <c r="DN123" s="299">
        <v>-286.19</v>
      </c>
      <c r="DO123" s="299" t="s">
        <v>388</v>
      </c>
      <c r="DP123" s="299" t="s">
        <v>389</v>
      </c>
    </row>
    <row r="124" spans="94:121" thickTop="1" thickBot="1" x14ac:dyDescent="0.3">
      <c r="CP124" s="258" t="s">
        <v>442</v>
      </c>
      <c r="CQ124" s="258" t="s">
        <v>370</v>
      </c>
      <c r="CR124" s="259">
        <v>39.1</v>
      </c>
      <c r="CS124" s="259">
        <v>0.22600000000000001</v>
      </c>
      <c r="CT124" s="258">
        <v>173.44</v>
      </c>
      <c r="CU124" s="258" t="s">
        <v>388</v>
      </c>
      <c r="CV124" s="167" t="s">
        <v>389</v>
      </c>
      <c r="CW124" s="81" t="s">
        <v>389</v>
      </c>
      <c r="DJ124" s="299" t="s">
        <v>442</v>
      </c>
      <c r="DK124" s="299" t="s">
        <v>370</v>
      </c>
      <c r="DL124" s="303">
        <v>86.5</v>
      </c>
      <c r="DM124" s="303">
        <v>0.442</v>
      </c>
      <c r="DN124" s="299">
        <v>195.8</v>
      </c>
      <c r="DO124" s="299" t="s">
        <v>388</v>
      </c>
      <c r="DP124" s="303" t="s">
        <v>389</v>
      </c>
      <c r="DQ124" s="299" t="s">
        <v>389</v>
      </c>
    </row>
    <row r="125" spans="94:121" thickTop="1" thickBot="1" x14ac:dyDescent="0.3">
      <c r="CP125" s="258" t="s">
        <v>442</v>
      </c>
      <c r="CQ125" s="258" t="s">
        <v>372</v>
      </c>
      <c r="CR125" s="259">
        <v>1.0399999999999999E-3</v>
      </c>
      <c r="CS125" s="259">
        <v>0.158</v>
      </c>
      <c r="CT125" s="258">
        <v>0.01</v>
      </c>
      <c r="CU125" s="258">
        <v>0.99</v>
      </c>
      <c r="CV125" s="81"/>
      <c r="DJ125" s="299" t="s">
        <v>442</v>
      </c>
      <c r="DK125" s="299" t="s">
        <v>372</v>
      </c>
      <c r="DL125" s="303">
        <v>2740</v>
      </c>
      <c r="DM125" s="303">
        <v>949</v>
      </c>
      <c r="DN125" s="299">
        <v>2.89</v>
      </c>
      <c r="DO125" s="299">
        <v>3.8999999999999998E-3</v>
      </c>
      <c r="DP125" s="299" t="s">
        <v>425</v>
      </c>
    </row>
    <row r="126" spans="94:121" thickTop="1" thickBot="1" x14ac:dyDescent="0.3">
      <c r="CP126" s="258" t="s">
        <v>442</v>
      </c>
      <c r="CQ126" s="258" t="s">
        <v>374</v>
      </c>
      <c r="CR126" s="259">
        <v>68.900000000000006</v>
      </c>
      <c r="CS126" s="259">
        <v>0.42299999999999999</v>
      </c>
      <c r="CT126" s="258">
        <v>162.93</v>
      </c>
      <c r="CU126" s="258" t="s">
        <v>388</v>
      </c>
      <c r="CV126" s="81" t="s">
        <v>389</v>
      </c>
      <c r="DJ126" s="299" t="s">
        <v>442</v>
      </c>
      <c r="DK126" s="299" t="s">
        <v>374</v>
      </c>
      <c r="DL126" s="303">
        <v>47.7</v>
      </c>
      <c r="DM126" s="303">
        <v>0.71899999999999997</v>
      </c>
      <c r="DN126" s="299">
        <v>66.36</v>
      </c>
      <c r="DO126" s="299" t="s">
        <v>388</v>
      </c>
      <c r="DP126" s="299" t="s">
        <v>389</v>
      </c>
    </row>
  </sheetData>
  <mergeCells count="8">
    <mergeCell ref="W3:AH3"/>
    <mergeCell ref="E33:F33"/>
    <mergeCell ref="E34:F34"/>
    <mergeCell ref="E36:F36"/>
    <mergeCell ref="A1:G1"/>
    <mergeCell ref="A3:H3"/>
    <mergeCell ref="K3:U3"/>
    <mergeCell ref="L4:P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129"/>
  <sheetViews>
    <sheetView zoomScale="90" zoomScaleNormal="90" workbookViewId="0">
      <selection activeCell="DI38" sqref="DI38"/>
    </sheetView>
  </sheetViews>
  <sheetFormatPr defaultRowHeight="16.5" thickTop="1" thickBottom="1" x14ac:dyDescent="0.3"/>
  <cols>
    <col min="1" max="8" width="9.140625" style="81"/>
    <col min="9" max="9" width="9.140625" style="1"/>
    <col min="10" max="10" width="9.140625" style="81"/>
    <col min="11" max="13" width="9.140625" style="2"/>
    <col min="14" max="15" width="9.140625" style="81"/>
    <col min="16" max="17" width="9.140625" style="153"/>
    <col min="18" max="20" width="9.140625" style="81"/>
    <col min="21" max="21" width="9.140625" style="1"/>
    <col min="22" max="34" width="9.140625" style="81"/>
    <col min="35" max="36" width="9.140625" style="158"/>
    <col min="37" max="37" width="9.140625" style="159"/>
    <col min="38" max="38" width="10.28515625" style="159" bestFit="1" customWidth="1"/>
    <col min="39" max="40" width="9.140625" style="81"/>
    <col min="41" max="41" width="12.7109375" style="81" bestFit="1" customWidth="1"/>
    <col min="42" max="42" width="12.7109375" style="81" customWidth="1"/>
    <col min="43" max="46" width="9.140625" style="81"/>
    <col min="47" max="50" width="9.140625" style="161"/>
    <col min="51" max="51" width="14.7109375" style="162" bestFit="1" customWidth="1"/>
    <col min="52" max="52" width="9.140625" style="161"/>
    <col min="53" max="53" width="9.140625" style="171"/>
    <col min="54" max="54" width="9.140625" style="81"/>
    <col min="55" max="55" width="16.42578125" style="81" customWidth="1"/>
    <col min="56" max="64" width="9.140625" style="81"/>
    <col min="65" max="65" width="15.7109375" style="81" bestFit="1" customWidth="1"/>
    <col min="66" max="66" width="9.140625" style="81"/>
    <col min="67" max="67" width="9.140625" style="171"/>
    <col min="68" max="79" width="9.140625" style="81"/>
    <col min="80" max="80" width="15.7109375" style="81" bestFit="1" customWidth="1"/>
    <col min="81" max="97" width="9.140625" style="81"/>
    <col min="98" max="103" width="9.140625" style="258"/>
    <col min="104" max="105" width="9.140625" style="81"/>
    <col min="106" max="106" width="15.5703125" style="260" bestFit="1" customWidth="1"/>
    <col min="107" max="110" width="9.140625" style="260"/>
    <col min="111" max="111" width="9.140625" style="81"/>
    <col min="112" max="119" width="9.140625" style="308"/>
    <col min="120" max="120" width="15.5703125" style="309" bestFit="1" customWidth="1"/>
    <col min="121" max="124" width="9.140625" style="309"/>
    <col min="125" max="16384" width="9.140625" style="81"/>
  </cols>
  <sheetData>
    <row r="1" spans="1:124" ht="20.25" customHeight="1" thickTop="1" thickBot="1" x14ac:dyDescent="0.35">
      <c r="A1" s="320" t="s">
        <v>312</v>
      </c>
      <c r="B1" s="320"/>
      <c r="C1" s="320"/>
      <c r="D1" s="320"/>
      <c r="E1" s="320"/>
      <c r="F1" s="320"/>
      <c r="G1" s="320"/>
      <c r="AN1" s="160" t="s">
        <v>314</v>
      </c>
      <c r="BB1" s="81" t="s">
        <v>378</v>
      </c>
      <c r="BP1" s="81" t="s">
        <v>432</v>
      </c>
    </row>
    <row r="2" spans="1:124" thickTop="1" thickBot="1" x14ac:dyDescent="0.3">
      <c r="AN2" s="81" t="s">
        <v>315</v>
      </c>
      <c r="CN2" s="81" t="s">
        <v>316</v>
      </c>
      <c r="CO2" s="79" t="s">
        <v>438</v>
      </c>
      <c r="CP2" s="79" t="s">
        <v>439</v>
      </c>
      <c r="CQ2" s="79" t="s">
        <v>440</v>
      </c>
      <c r="CT2" s="258" t="s">
        <v>441</v>
      </c>
      <c r="DH2" s="308" t="s">
        <v>441</v>
      </c>
    </row>
    <row r="3" spans="1:124" thickTop="1" thickBot="1" x14ac:dyDescent="0.3">
      <c r="A3" s="323" t="s">
        <v>1</v>
      </c>
      <c r="B3" s="324"/>
      <c r="C3" s="324"/>
      <c r="D3" s="324"/>
      <c r="E3" s="324"/>
      <c r="F3" s="324"/>
      <c r="G3" s="324"/>
      <c r="H3" s="325"/>
      <c r="J3" s="317" t="s">
        <v>2</v>
      </c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4"/>
      <c r="V3" s="317" t="s">
        <v>3</v>
      </c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N3" s="163" t="s">
        <v>316</v>
      </c>
      <c r="AO3" s="164" t="s">
        <v>317</v>
      </c>
      <c r="AP3" s="164"/>
      <c r="AQ3" s="165"/>
      <c r="AR3" s="165"/>
      <c r="AS3" s="165"/>
      <c r="AU3" s="166" t="s">
        <v>318</v>
      </c>
      <c r="BB3" s="172"/>
      <c r="BC3" s="172" t="s">
        <v>379</v>
      </c>
      <c r="BD3" s="172"/>
      <c r="BE3" s="172"/>
      <c r="BI3" s="173" t="s">
        <v>318</v>
      </c>
      <c r="BJ3" s="173"/>
      <c r="BK3" s="173"/>
      <c r="BL3" s="173"/>
      <c r="BM3" s="174"/>
      <c r="BN3" s="173"/>
      <c r="BP3" s="81" t="s">
        <v>433</v>
      </c>
      <c r="BQ3" s="81" t="s">
        <v>379</v>
      </c>
      <c r="CN3" s="81" t="s">
        <v>321</v>
      </c>
      <c r="CO3" s="254">
        <f>AY4</f>
        <v>0.12965359705342303</v>
      </c>
      <c r="CP3" s="254">
        <f>BM4</f>
        <v>0.16</v>
      </c>
      <c r="CQ3" s="254">
        <f>CB6</f>
        <v>0.19</v>
      </c>
      <c r="DB3" s="260" t="s">
        <v>466</v>
      </c>
      <c r="DP3" s="309" t="s">
        <v>466</v>
      </c>
    </row>
    <row r="4" spans="1:124" ht="15.75" customHeight="1" thickTop="1" thickBot="1" x14ac:dyDescent="0.3">
      <c r="A4" s="182" t="s">
        <v>6</v>
      </c>
      <c r="B4" s="183">
        <f>'Tabula data'!B5</f>
        <v>462.8</v>
      </c>
      <c r="C4" s="183" t="s">
        <v>7</v>
      </c>
      <c r="D4" s="182" t="s">
        <v>8</v>
      </c>
      <c r="E4" s="183"/>
      <c r="F4" s="183"/>
      <c r="G4" s="184">
        <f>SUM(H6:H13)</f>
        <v>24.4</v>
      </c>
      <c r="H4" s="185" t="s">
        <v>9</v>
      </c>
      <c r="K4" s="326" t="s">
        <v>2</v>
      </c>
      <c r="L4" s="327"/>
      <c r="M4" s="327"/>
      <c r="N4" s="327"/>
      <c r="O4" s="328"/>
      <c r="W4" s="226"/>
      <c r="X4" s="226"/>
      <c r="Y4" s="227" t="s">
        <v>4</v>
      </c>
      <c r="Z4" s="227">
        <v>0.85</v>
      </c>
      <c r="AA4" s="227" t="s">
        <v>5</v>
      </c>
      <c r="AB4" s="226"/>
      <c r="AC4" s="226"/>
      <c r="AD4" s="226"/>
      <c r="AL4" s="159" t="s">
        <v>319</v>
      </c>
      <c r="AM4" s="81" t="s">
        <v>320</v>
      </c>
      <c r="AN4" s="81" t="s">
        <v>321</v>
      </c>
      <c r="AO4" s="81">
        <f>SUM(N6:N9)/SUM($N$6:$N$14,$N$26:$N$27)</f>
        <v>0.12965359705342303</v>
      </c>
      <c r="AP4" s="81" t="s">
        <v>322</v>
      </c>
      <c r="AQ4" s="167">
        <v>0.1641929</v>
      </c>
      <c r="AU4" s="168" t="s">
        <v>319</v>
      </c>
      <c r="AV4" s="168" t="s">
        <v>320</v>
      </c>
      <c r="AW4" s="168" t="s">
        <v>321</v>
      </c>
      <c r="AX4" s="169" t="s">
        <v>323</v>
      </c>
      <c r="AY4" s="162">
        <f>AO4</f>
        <v>0.12965359705342303</v>
      </c>
      <c r="AZ4" s="168" t="s">
        <v>322</v>
      </c>
      <c r="BB4" s="81" t="s">
        <v>380</v>
      </c>
      <c r="BI4" s="175" t="s">
        <v>319</v>
      </c>
      <c r="BJ4" s="175" t="s">
        <v>320</v>
      </c>
      <c r="BK4" s="175" t="s">
        <v>321</v>
      </c>
      <c r="BL4" s="175" t="s">
        <v>323</v>
      </c>
      <c r="BM4" s="174">
        <f>BC11</f>
        <v>0.16</v>
      </c>
      <c r="BN4" s="175" t="s">
        <v>322</v>
      </c>
      <c r="BP4" s="81" t="s">
        <v>380</v>
      </c>
      <c r="CN4" s="81" t="s">
        <v>324</v>
      </c>
      <c r="CO4" s="254">
        <f t="shared" ref="CO4:CO49" si="0">AY5</f>
        <v>0.29001769242693176</v>
      </c>
      <c r="CP4" s="254">
        <f t="shared" ref="CP4:CP49" si="1">BM5</f>
        <v>0.318</v>
      </c>
      <c r="CQ4" s="254">
        <f t="shared" ref="CQ4:CQ49" si="2">CB7</f>
        <v>0.38</v>
      </c>
      <c r="CT4" s="258" t="s">
        <v>442</v>
      </c>
      <c r="CU4" s="258" t="s">
        <v>433</v>
      </c>
      <c r="CV4" s="258" t="s">
        <v>443</v>
      </c>
      <c r="DH4" s="308" t="s">
        <v>442</v>
      </c>
      <c r="DI4" s="308" t="s">
        <v>433</v>
      </c>
      <c r="DJ4" s="308" t="s">
        <v>443</v>
      </c>
    </row>
    <row r="5" spans="1:124" ht="15" customHeight="1" thickTop="1" thickBot="1" x14ac:dyDescent="0.3">
      <c r="A5" s="186"/>
      <c r="B5" s="187"/>
      <c r="C5" s="187"/>
      <c r="D5" s="188"/>
      <c r="E5" s="189"/>
      <c r="F5" s="189"/>
      <c r="G5" s="189"/>
      <c r="H5" s="190"/>
      <c r="J5" s="81" t="s">
        <v>10</v>
      </c>
      <c r="K5" s="211" t="s">
        <v>11</v>
      </c>
      <c r="L5" s="212" t="s">
        <v>12</v>
      </c>
      <c r="M5" s="212" t="s">
        <v>13</v>
      </c>
      <c r="N5" s="212" t="s">
        <v>14</v>
      </c>
      <c r="O5" s="213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228" t="s">
        <v>20</v>
      </c>
      <c r="X5" s="229"/>
      <c r="Y5" s="230" t="s">
        <v>21</v>
      </c>
      <c r="Z5" s="231">
        <f>1/(1/10+SUM(AC9:AC12)+1/23)</f>
        <v>0.3127301569316186</v>
      </c>
      <c r="AA5" s="229" t="s">
        <v>5</v>
      </c>
      <c r="AB5" s="229"/>
      <c r="AC5" s="229" t="s">
        <v>22</v>
      </c>
      <c r="AD5" s="232">
        <f>SUM(AD7:AD10)</f>
        <v>56952</v>
      </c>
      <c r="AE5" s="14" t="s">
        <v>23</v>
      </c>
      <c r="AF5" s="14">
        <f>AD10</f>
        <v>16380</v>
      </c>
      <c r="AG5" s="14"/>
      <c r="AL5" s="159" t="s">
        <v>319</v>
      </c>
      <c r="AM5" s="81" t="s">
        <v>320</v>
      </c>
      <c r="AN5" s="81" t="s">
        <v>324</v>
      </c>
      <c r="AO5" s="81">
        <f>SUM(N27)/SUM($N$6:$N$14,$N$26:$N$27)</f>
        <v>0.29001769242693176</v>
      </c>
      <c r="AP5" s="81" t="s">
        <v>322</v>
      </c>
      <c r="AQ5" s="167">
        <v>0.42146270000000002</v>
      </c>
      <c r="AU5" s="168" t="s">
        <v>319</v>
      </c>
      <c r="AV5" s="168" t="s">
        <v>320</v>
      </c>
      <c r="AW5" s="168" t="s">
        <v>324</v>
      </c>
      <c r="AX5" s="169" t="s">
        <v>323</v>
      </c>
      <c r="AY5" s="162">
        <f t="shared" ref="AY5:AY7" si="3">AO5</f>
        <v>0.29001769242693176</v>
      </c>
      <c r="AZ5" s="168" t="s">
        <v>322</v>
      </c>
      <c r="BB5" s="81" t="s">
        <v>381</v>
      </c>
      <c r="BC5" s="81" t="s">
        <v>382</v>
      </c>
      <c r="BD5" s="81" t="s">
        <v>383</v>
      </c>
      <c r="BE5" s="81" t="s">
        <v>384</v>
      </c>
      <c r="BF5" s="81" t="s">
        <v>385</v>
      </c>
      <c r="BI5" s="175" t="s">
        <v>319</v>
      </c>
      <c r="BJ5" s="175" t="s">
        <v>320</v>
      </c>
      <c r="BK5" s="175" t="s">
        <v>324</v>
      </c>
      <c r="BL5" s="175" t="s">
        <v>323</v>
      </c>
      <c r="BM5" s="174">
        <f>BC12</f>
        <v>0.318</v>
      </c>
      <c r="BN5" s="175" t="s">
        <v>322</v>
      </c>
      <c r="BP5" s="81" t="s">
        <v>381</v>
      </c>
      <c r="BQ5" s="81" t="s">
        <v>382</v>
      </c>
      <c r="BR5" s="81" t="s">
        <v>383</v>
      </c>
      <c r="BS5" s="81" t="s">
        <v>384</v>
      </c>
      <c r="BT5" s="81" t="s">
        <v>385</v>
      </c>
      <c r="BU5" s="81" t="s">
        <v>386</v>
      </c>
      <c r="BX5" s="176" t="s">
        <v>318</v>
      </c>
      <c r="BY5" s="176"/>
      <c r="BZ5" s="176"/>
      <c r="CA5" s="176"/>
      <c r="CB5" s="177"/>
      <c r="CC5" s="176"/>
      <c r="CN5" s="81" t="s">
        <v>325</v>
      </c>
      <c r="CO5" s="254">
        <f t="shared" si="0"/>
        <v>5.1982454246253092E-2</v>
      </c>
      <c r="CP5" s="254">
        <f t="shared" si="1"/>
        <v>0.26200000000000001</v>
      </c>
      <c r="CQ5" s="254">
        <f t="shared" si="2"/>
        <v>5.0500000000000003E-2</v>
      </c>
      <c r="CT5" s="258" t="s">
        <v>442</v>
      </c>
      <c r="CU5" s="258" t="s">
        <v>380</v>
      </c>
      <c r="DB5" s="260" t="s">
        <v>467</v>
      </c>
      <c r="DC5" s="261" t="s">
        <v>468</v>
      </c>
      <c r="DD5" s="261" t="s">
        <v>323</v>
      </c>
      <c r="DE5" s="262">
        <f>CV12</f>
        <v>8.3400000000000002E-2</v>
      </c>
      <c r="DF5" s="260" t="s">
        <v>322</v>
      </c>
      <c r="DH5" s="308" t="s">
        <v>442</v>
      </c>
      <c r="DI5" s="308" t="s">
        <v>380</v>
      </c>
      <c r="DP5" s="309" t="s">
        <v>467</v>
      </c>
      <c r="DQ5" s="310" t="s">
        <v>468</v>
      </c>
      <c r="DR5" s="310" t="s">
        <v>323</v>
      </c>
      <c r="DS5" s="311">
        <f>DJ12</f>
        <v>8.3400000000000002E-2</v>
      </c>
      <c r="DT5" s="309" t="s">
        <v>322</v>
      </c>
    </row>
    <row r="6" spans="1:124" ht="15" customHeight="1" thickTop="1" thickBot="1" x14ac:dyDescent="0.3">
      <c r="A6" s="191" t="s">
        <v>34</v>
      </c>
      <c r="B6" s="192">
        <f>'Tabula data'!B4</f>
        <v>168.3</v>
      </c>
      <c r="C6" s="193" t="s">
        <v>9</v>
      </c>
      <c r="D6" s="194" t="s">
        <v>35</v>
      </c>
      <c r="E6" s="189" t="s">
        <v>36</v>
      </c>
      <c r="F6" s="195">
        <f t="shared" ref="F6:F13" si="4">H6/$G$4</f>
        <v>0.11680327868852459</v>
      </c>
      <c r="G6" s="189"/>
      <c r="H6" s="196">
        <f>'Tabula data'!B21*'Tabula Ref1'!C45</f>
        <v>2.85</v>
      </c>
      <c r="J6" s="81" t="s">
        <v>24</v>
      </c>
      <c r="K6" s="214">
        <v>0</v>
      </c>
      <c r="L6" s="215">
        <v>1</v>
      </c>
      <c r="M6" s="215" t="s">
        <v>25</v>
      </c>
      <c r="N6" s="216">
        <f>'Tabula data'!B10*C42/2*C43</f>
        <v>15.214497920380273</v>
      </c>
      <c r="O6" s="217" t="s">
        <v>26</v>
      </c>
      <c r="P6" s="30">
        <f t="shared" ref="P6:P27" si="5">VLOOKUP(M6,$W$5:$Z$391,4,0)</f>
        <v>0.31684206193169995</v>
      </c>
      <c r="Q6" s="30">
        <f t="shared" ref="Q6:Q27" si="6">P6*N6</f>
        <v>4.8205928923488468</v>
      </c>
      <c r="R6" s="30">
        <f t="shared" ref="R6:R14" si="7">VLOOKUP(M6,$W$5:$AD$391,8,0)*N6</f>
        <v>5160396.3502673795</v>
      </c>
      <c r="S6" s="30">
        <f t="shared" ref="S6:S14" si="8">R6/N6</f>
        <v>339176.25</v>
      </c>
      <c r="T6" s="30">
        <f t="shared" ref="T6:T14" si="9">VLOOKUP(M6,$W$5:$AF$391,10,0)*N6</f>
        <v>2754128.4135472374</v>
      </c>
      <c r="U6" s="31"/>
      <c r="V6" s="153"/>
      <c r="W6" s="233"/>
      <c r="X6" s="234" t="s">
        <v>27</v>
      </c>
      <c r="Y6" s="234" t="s">
        <v>28</v>
      </c>
      <c r="Z6" s="234" t="s">
        <v>29</v>
      </c>
      <c r="AA6" s="234" t="s">
        <v>30</v>
      </c>
      <c r="AB6" s="234" t="s">
        <v>31</v>
      </c>
      <c r="AC6" s="234" t="s">
        <v>32</v>
      </c>
      <c r="AD6" s="235" t="s">
        <v>33</v>
      </c>
      <c r="AE6" s="14"/>
      <c r="AF6" s="14"/>
      <c r="AG6" s="14"/>
      <c r="AL6" s="159" t="s">
        <v>319</v>
      </c>
      <c r="AM6" s="81" t="s">
        <v>320</v>
      </c>
      <c r="AN6" s="81" t="s">
        <v>325</v>
      </c>
      <c r="AO6" s="81">
        <f>SUM(N10:N13)/SUM($N$6:$N$14,$N$26:$N$27)</f>
        <v>5.1982454246253092E-2</v>
      </c>
      <c r="AP6" s="81" t="s">
        <v>322</v>
      </c>
      <c r="AQ6" s="167">
        <v>0.13510150000000001</v>
      </c>
      <c r="AU6" s="168" t="s">
        <v>319</v>
      </c>
      <c r="AV6" s="168" t="s">
        <v>320</v>
      </c>
      <c r="AW6" s="168" t="s">
        <v>325</v>
      </c>
      <c r="AX6" s="169" t="s">
        <v>323</v>
      </c>
      <c r="AY6" s="162">
        <f t="shared" si="3"/>
        <v>5.1982454246253092E-2</v>
      </c>
      <c r="AZ6" s="168" t="s">
        <v>322</v>
      </c>
      <c r="BB6" s="81" t="s">
        <v>387</v>
      </c>
      <c r="BC6" s="167">
        <v>299</v>
      </c>
      <c r="BD6" s="167">
        <v>9.6299999999999997E-2</v>
      </c>
      <c r="BE6" s="81">
        <v>3101.23</v>
      </c>
      <c r="BF6" s="81" t="s">
        <v>388</v>
      </c>
      <c r="BI6" s="175" t="s">
        <v>319</v>
      </c>
      <c r="BJ6" s="175" t="s">
        <v>320</v>
      </c>
      <c r="BK6" s="175" t="s">
        <v>325</v>
      </c>
      <c r="BL6" s="175" t="s">
        <v>323</v>
      </c>
      <c r="BM6" s="174">
        <f>BC13</f>
        <v>0.26200000000000001</v>
      </c>
      <c r="BN6" s="175" t="s">
        <v>322</v>
      </c>
      <c r="BP6" s="81" t="s">
        <v>387</v>
      </c>
      <c r="BQ6" s="167">
        <v>291</v>
      </c>
      <c r="BR6" s="167">
        <v>0.14199999999999999</v>
      </c>
      <c r="BS6" s="81">
        <v>2053.1799999999998</v>
      </c>
      <c r="BT6" s="81" t="s">
        <v>422</v>
      </c>
      <c r="BU6" s="167">
        <v>2E-16</v>
      </c>
      <c r="BV6" s="81" t="s">
        <v>389</v>
      </c>
      <c r="BX6" s="178" t="s">
        <v>319</v>
      </c>
      <c r="BY6" s="178" t="s">
        <v>320</v>
      </c>
      <c r="BZ6" s="178" t="s">
        <v>321</v>
      </c>
      <c r="CA6" s="178" t="s">
        <v>323</v>
      </c>
      <c r="CB6" s="177">
        <f>BQ11</f>
        <v>0.19</v>
      </c>
      <c r="CC6" s="178" t="s">
        <v>322</v>
      </c>
      <c r="CN6" s="81" t="s">
        <v>326</v>
      </c>
      <c r="CO6" s="254">
        <f t="shared" si="0"/>
        <v>0.26417312813669608</v>
      </c>
      <c r="CP6" s="254">
        <f t="shared" si="1"/>
        <v>0.156</v>
      </c>
      <c r="CQ6" s="254">
        <f t="shared" si="2"/>
        <v>0.20300000000000001</v>
      </c>
      <c r="CT6" s="258" t="s">
        <v>442</v>
      </c>
      <c r="CU6" s="258" t="s">
        <v>381</v>
      </c>
      <c r="CV6" s="258" t="s">
        <v>382</v>
      </c>
      <c r="CW6" s="258" t="s">
        <v>383</v>
      </c>
      <c r="CX6" s="258" t="s">
        <v>384</v>
      </c>
      <c r="CY6" s="258" t="s">
        <v>385</v>
      </c>
      <c r="CZ6" s="81" t="s">
        <v>386</v>
      </c>
      <c r="DB6" s="260" t="s">
        <v>467</v>
      </c>
      <c r="DC6" s="261" t="s">
        <v>469</v>
      </c>
      <c r="DD6" s="261" t="s">
        <v>323</v>
      </c>
      <c r="DE6" s="262">
        <f t="shared" ref="DE6:DE24" si="10">CV13</f>
        <v>1.41E-2</v>
      </c>
      <c r="DF6" s="260" t="s">
        <v>322</v>
      </c>
      <c r="DH6" s="308" t="s">
        <v>442</v>
      </c>
      <c r="DI6" s="308" t="s">
        <v>381</v>
      </c>
      <c r="DJ6" s="308" t="s">
        <v>382</v>
      </c>
      <c r="DK6" s="308" t="s">
        <v>383</v>
      </c>
      <c r="DL6" s="308" t="s">
        <v>384</v>
      </c>
      <c r="DM6" s="308" t="s">
        <v>385</v>
      </c>
      <c r="DN6" s="308" t="s">
        <v>386</v>
      </c>
      <c r="DP6" s="309" t="s">
        <v>467</v>
      </c>
      <c r="DQ6" s="310" t="s">
        <v>469</v>
      </c>
      <c r="DR6" s="310" t="s">
        <v>323</v>
      </c>
      <c r="DS6" s="311">
        <f t="shared" ref="DS6:DS24" si="11">DJ13</f>
        <v>1.41E-2</v>
      </c>
      <c r="DT6" s="309" t="s">
        <v>322</v>
      </c>
    </row>
    <row r="7" spans="1:124" ht="15" customHeight="1" thickTop="1" thickBot="1" x14ac:dyDescent="0.3">
      <c r="A7" s="194" t="s">
        <v>42</v>
      </c>
      <c r="B7" s="197">
        <f>'Tabula data'!B14</f>
        <v>62</v>
      </c>
      <c r="C7" s="198" t="s">
        <v>9</v>
      </c>
      <c r="D7" s="194" t="s">
        <v>43</v>
      </c>
      <c r="E7" s="189" t="s">
        <v>36</v>
      </c>
      <c r="F7" s="195">
        <f t="shared" si="4"/>
        <v>0.12909836065573771</v>
      </c>
      <c r="G7" s="189"/>
      <c r="H7" s="196">
        <f>'Tabula data'!B22*'Tabula Ref1'!C45</f>
        <v>3.15</v>
      </c>
      <c r="J7" s="81" t="s">
        <v>38</v>
      </c>
      <c r="K7" s="218">
        <v>0</v>
      </c>
      <c r="L7" s="219">
        <v>1</v>
      </c>
      <c r="M7" s="219" t="s">
        <v>25</v>
      </c>
      <c r="N7" s="220">
        <f>'Tabula data'!B10*(1-C42)/2*C44</f>
        <v>0</v>
      </c>
      <c r="O7" s="221" t="s">
        <v>39</v>
      </c>
      <c r="P7" s="30">
        <f t="shared" si="5"/>
        <v>0.31684206193169995</v>
      </c>
      <c r="Q7" s="30">
        <f t="shared" si="6"/>
        <v>0</v>
      </c>
      <c r="R7" s="30">
        <f t="shared" si="7"/>
        <v>0</v>
      </c>
      <c r="S7" s="30" t="e">
        <f t="shared" si="8"/>
        <v>#DIV/0!</v>
      </c>
      <c r="T7" s="30">
        <f t="shared" si="9"/>
        <v>0</v>
      </c>
      <c r="U7" s="31"/>
      <c r="V7" s="153"/>
      <c r="W7" s="188"/>
      <c r="X7" s="189" t="s">
        <v>40</v>
      </c>
      <c r="Y7" s="189">
        <v>2.5000000000000001E-2</v>
      </c>
      <c r="Z7" s="189">
        <v>1.3</v>
      </c>
      <c r="AA7" s="189">
        <v>1700</v>
      </c>
      <c r="AB7" s="189">
        <v>840</v>
      </c>
      <c r="AC7" s="236">
        <f>Y7/Z7</f>
        <v>1.9230769230769232E-2</v>
      </c>
      <c r="AD7" s="190">
        <f>Y7*AA7*AB7</f>
        <v>35700</v>
      </c>
      <c r="AE7" s="14" t="s">
        <v>41</v>
      </c>
      <c r="AF7" s="14"/>
      <c r="AG7" s="14"/>
      <c r="AL7" s="159" t="s">
        <v>319</v>
      </c>
      <c r="AM7" s="81" t="s">
        <v>320</v>
      </c>
      <c r="AN7" s="81" t="s">
        <v>326</v>
      </c>
      <c r="AO7" s="81">
        <f>SUM(N14)/SUM(N6:N14,N27,N26)</f>
        <v>0.26417312813669608</v>
      </c>
      <c r="AP7" s="81" t="s">
        <v>322</v>
      </c>
      <c r="AQ7" s="167">
        <v>0.161666</v>
      </c>
      <c r="AU7" s="168" t="s">
        <v>319</v>
      </c>
      <c r="AV7" s="168" t="s">
        <v>320</v>
      </c>
      <c r="AW7" s="168" t="s">
        <v>326</v>
      </c>
      <c r="AX7" s="169" t="s">
        <v>323</v>
      </c>
      <c r="AY7" s="162">
        <f t="shared" si="3"/>
        <v>0.26417312813669608</v>
      </c>
      <c r="AZ7" s="168" t="s">
        <v>322</v>
      </c>
      <c r="BB7" s="81" t="s">
        <v>390</v>
      </c>
      <c r="BC7" s="167">
        <v>295</v>
      </c>
      <c r="BD7" s="167">
        <v>4.9200000000000001E-2</v>
      </c>
      <c r="BE7" s="81">
        <v>5996.7</v>
      </c>
      <c r="BF7" s="81" t="s">
        <v>388</v>
      </c>
      <c r="BI7" s="175" t="s">
        <v>319</v>
      </c>
      <c r="BJ7" s="175" t="s">
        <v>320</v>
      </c>
      <c r="BK7" s="175" t="s">
        <v>326</v>
      </c>
      <c r="BL7" s="175" t="s">
        <v>323</v>
      </c>
      <c r="BM7" s="174">
        <f>BC14</f>
        <v>0.156</v>
      </c>
      <c r="BN7" s="175" t="s">
        <v>322</v>
      </c>
      <c r="BP7" s="81" t="s">
        <v>390</v>
      </c>
      <c r="BQ7" s="167">
        <v>289</v>
      </c>
      <c r="BR7" s="167">
        <v>0.112</v>
      </c>
      <c r="BS7" s="81">
        <v>2573.84</v>
      </c>
      <c r="BT7" s="81" t="s">
        <v>422</v>
      </c>
      <c r="BU7" s="167">
        <v>2E-16</v>
      </c>
      <c r="BV7" s="81" t="s">
        <v>389</v>
      </c>
      <c r="BX7" s="178" t="s">
        <v>319</v>
      </c>
      <c r="BY7" s="178" t="s">
        <v>320</v>
      </c>
      <c r="BZ7" s="178" t="s">
        <v>324</v>
      </c>
      <c r="CA7" s="178" t="s">
        <v>323</v>
      </c>
      <c r="CB7" s="177">
        <f t="shared" ref="CB7:CB9" si="12">BQ12</f>
        <v>0.38</v>
      </c>
      <c r="CC7" s="178" t="s">
        <v>322</v>
      </c>
      <c r="CO7" s="255"/>
      <c r="CP7" s="255"/>
      <c r="CQ7" s="255"/>
      <c r="CT7" s="258" t="s">
        <v>442</v>
      </c>
      <c r="CU7" s="258" t="s">
        <v>387</v>
      </c>
      <c r="CV7" s="259">
        <v>293</v>
      </c>
      <c r="CW7" s="259">
        <v>4.65E-2</v>
      </c>
      <c r="CX7" s="258">
        <v>6296.67</v>
      </c>
      <c r="CY7" s="258" t="s">
        <v>422</v>
      </c>
      <c r="CZ7" s="167">
        <v>2E-16</v>
      </c>
      <c r="DA7" s="81" t="s">
        <v>389</v>
      </c>
      <c r="DB7" s="260" t="s">
        <v>467</v>
      </c>
      <c r="DC7" s="263" t="s">
        <v>470</v>
      </c>
      <c r="DD7" s="261" t="s">
        <v>323</v>
      </c>
      <c r="DE7" s="262">
        <f t="shared" si="10"/>
        <v>6.6000000000000003E-2</v>
      </c>
      <c r="DF7" s="260" t="s">
        <v>322</v>
      </c>
      <c r="DH7" s="308" t="s">
        <v>442</v>
      </c>
      <c r="DI7" s="308" t="s">
        <v>387</v>
      </c>
      <c r="DJ7" s="312">
        <v>293</v>
      </c>
      <c r="DK7" s="312">
        <v>4.65E-2</v>
      </c>
      <c r="DL7" s="308">
        <v>6296.67</v>
      </c>
      <c r="DM7" s="308" t="s">
        <v>422</v>
      </c>
      <c r="DN7" s="312">
        <v>2E-16</v>
      </c>
      <c r="DO7" s="308" t="s">
        <v>389</v>
      </c>
      <c r="DP7" s="309" t="s">
        <v>467</v>
      </c>
      <c r="DQ7" s="313" t="s">
        <v>470</v>
      </c>
      <c r="DR7" s="310" t="s">
        <v>323</v>
      </c>
      <c r="DS7" s="311">
        <f t="shared" si="11"/>
        <v>6.6000000000000003E-2</v>
      </c>
      <c r="DT7" s="309" t="s">
        <v>322</v>
      </c>
    </row>
    <row r="8" spans="1:124" ht="15" customHeight="1" thickTop="1" thickBot="1" x14ac:dyDescent="0.3">
      <c r="A8" s="194" t="s">
        <v>47</v>
      </c>
      <c r="B8" s="197">
        <f>B6-B7</f>
        <v>106.30000000000001</v>
      </c>
      <c r="C8" s="189" t="s">
        <v>9</v>
      </c>
      <c r="D8" s="194" t="s">
        <v>48</v>
      </c>
      <c r="E8" s="189" t="s">
        <v>36</v>
      </c>
      <c r="F8" s="195">
        <f t="shared" si="4"/>
        <v>0.1209016393442623</v>
      </c>
      <c r="G8" s="189"/>
      <c r="H8" s="196">
        <f>'Tabula data'!B23*C45</f>
        <v>2.95</v>
      </c>
      <c r="J8" s="81" t="s">
        <v>44</v>
      </c>
      <c r="K8" s="218">
        <v>0</v>
      </c>
      <c r="L8" s="219">
        <v>1</v>
      </c>
      <c r="M8" s="219" t="s">
        <v>25</v>
      </c>
      <c r="N8" s="220">
        <f>N6</f>
        <v>15.214497920380273</v>
      </c>
      <c r="O8" s="221" t="s">
        <v>45</v>
      </c>
      <c r="P8" s="30">
        <f t="shared" si="5"/>
        <v>0.31684206193169995</v>
      </c>
      <c r="Q8" s="30">
        <f t="shared" si="6"/>
        <v>4.8205928923488468</v>
      </c>
      <c r="R8" s="30">
        <f t="shared" si="7"/>
        <v>5160396.3502673795</v>
      </c>
      <c r="S8" s="30">
        <f t="shared" si="8"/>
        <v>339176.25</v>
      </c>
      <c r="T8" s="30">
        <f t="shared" si="9"/>
        <v>2754128.4135472374</v>
      </c>
      <c r="U8" s="31"/>
      <c r="V8" s="153"/>
      <c r="W8" s="188"/>
      <c r="X8" s="189" t="s">
        <v>46</v>
      </c>
      <c r="Y8" s="189">
        <v>0.03</v>
      </c>
      <c r="Z8" s="189">
        <f>0.18/Y8</f>
        <v>6</v>
      </c>
      <c r="AA8" s="189">
        <v>0</v>
      </c>
      <c r="AB8" s="189">
        <v>0</v>
      </c>
      <c r="AC8" s="236">
        <v>0.18</v>
      </c>
      <c r="AD8" s="190">
        <f>Y8*AA8*AB8</f>
        <v>0</v>
      </c>
      <c r="AE8" s="14"/>
      <c r="AF8" s="14"/>
      <c r="AG8" s="14"/>
      <c r="AP8" s="81" t="s">
        <v>322</v>
      </c>
      <c r="AQ8" s="167"/>
      <c r="AU8" s="168"/>
      <c r="AV8" s="168"/>
      <c r="AW8" s="168"/>
      <c r="AX8" s="169"/>
      <c r="AZ8" s="168"/>
      <c r="BB8" s="81" t="s">
        <v>391</v>
      </c>
      <c r="BC8" s="167">
        <v>299</v>
      </c>
      <c r="BD8" s="167">
        <v>2.6599999999999999E-2</v>
      </c>
      <c r="BE8" s="81">
        <v>11253.68</v>
      </c>
      <c r="BF8" s="81" t="s">
        <v>388</v>
      </c>
      <c r="BI8" s="175"/>
      <c r="BJ8" s="175"/>
      <c r="BK8" s="175"/>
      <c r="BL8" s="175"/>
      <c r="BM8" s="174"/>
      <c r="BN8" s="175"/>
      <c r="BP8" s="81" t="s">
        <v>391</v>
      </c>
      <c r="BQ8" s="167">
        <v>295</v>
      </c>
      <c r="BR8" s="167">
        <v>5.5100000000000003E-2</v>
      </c>
      <c r="BS8" s="81">
        <v>5345.13</v>
      </c>
      <c r="BT8" s="81" t="s">
        <v>422</v>
      </c>
      <c r="BU8" s="167">
        <v>2E-16</v>
      </c>
      <c r="BV8" s="81" t="s">
        <v>389</v>
      </c>
      <c r="BX8" s="178" t="s">
        <v>319</v>
      </c>
      <c r="BY8" s="178" t="s">
        <v>320</v>
      </c>
      <c r="BZ8" s="178" t="s">
        <v>325</v>
      </c>
      <c r="CA8" s="178" t="s">
        <v>323</v>
      </c>
      <c r="CB8" s="177">
        <f t="shared" si="12"/>
        <v>5.0500000000000003E-2</v>
      </c>
      <c r="CC8" s="178" t="s">
        <v>322</v>
      </c>
      <c r="CN8" s="81" t="s">
        <v>327</v>
      </c>
      <c r="CO8" s="256">
        <f t="shared" si="0"/>
        <v>897190.73464052298</v>
      </c>
      <c r="CP8" s="256">
        <f t="shared" si="1"/>
        <v>2950000</v>
      </c>
      <c r="CQ8" s="256">
        <f t="shared" si="2"/>
        <v>3560000</v>
      </c>
      <c r="CT8" s="258" t="s">
        <v>442</v>
      </c>
      <c r="CU8" s="258" t="s">
        <v>390</v>
      </c>
      <c r="CV8" s="259">
        <v>292</v>
      </c>
      <c r="CW8" s="259">
        <v>3.0599999999999999E-2</v>
      </c>
      <c r="CX8" s="258">
        <v>9540.51</v>
      </c>
      <c r="CY8" s="258" t="s">
        <v>422</v>
      </c>
      <c r="CZ8" s="167">
        <v>2E-16</v>
      </c>
      <c r="DA8" s="81" t="s">
        <v>389</v>
      </c>
      <c r="DB8" s="260" t="s">
        <v>467</v>
      </c>
      <c r="DC8" s="264" t="s">
        <v>471</v>
      </c>
      <c r="DD8" s="261" t="s">
        <v>323</v>
      </c>
      <c r="DE8" s="262">
        <f t="shared" si="10"/>
        <v>5.6800000000000003E-2</v>
      </c>
      <c r="DF8" s="260" t="s">
        <v>322</v>
      </c>
      <c r="DH8" s="308" t="s">
        <v>442</v>
      </c>
      <c r="DI8" s="308" t="s">
        <v>390</v>
      </c>
      <c r="DJ8" s="312">
        <v>292</v>
      </c>
      <c r="DK8" s="312">
        <v>3.0599999999999999E-2</v>
      </c>
      <c r="DL8" s="308">
        <v>9540.51</v>
      </c>
      <c r="DM8" s="308" t="s">
        <v>422</v>
      </c>
      <c r="DN8" s="312">
        <v>2E-16</v>
      </c>
      <c r="DO8" s="308" t="s">
        <v>389</v>
      </c>
      <c r="DP8" s="309" t="s">
        <v>467</v>
      </c>
      <c r="DQ8" s="314" t="s">
        <v>471</v>
      </c>
      <c r="DR8" s="310" t="s">
        <v>323</v>
      </c>
      <c r="DS8" s="311">
        <f t="shared" si="11"/>
        <v>5.6800000000000003E-2</v>
      </c>
      <c r="DT8" s="309" t="s">
        <v>322</v>
      </c>
    </row>
    <row r="9" spans="1:124" ht="15" customHeight="1" thickTop="1" thickBot="1" x14ac:dyDescent="0.3">
      <c r="A9" s="188"/>
      <c r="B9" s="189"/>
      <c r="C9" s="189"/>
      <c r="D9" s="194" t="s">
        <v>52</v>
      </c>
      <c r="E9" s="199" t="s">
        <v>36</v>
      </c>
      <c r="F9" s="195">
        <f t="shared" si="4"/>
        <v>0.13319672131147542</v>
      </c>
      <c r="G9" s="189"/>
      <c r="H9" s="196">
        <f>'Tabula data'!B24*'Tabula Ref1'!C45</f>
        <v>3.25</v>
      </c>
      <c r="J9" s="81" t="s">
        <v>49</v>
      </c>
      <c r="K9" s="218">
        <v>0</v>
      </c>
      <c r="L9" s="219">
        <v>1</v>
      </c>
      <c r="M9" s="219" t="s">
        <v>25</v>
      </c>
      <c r="N9" s="220">
        <f>'Tabula data'!B10*(1-C42)/2*C44</f>
        <v>0</v>
      </c>
      <c r="O9" s="221" t="s">
        <v>50</v>
      </c>
      <c r="P9" s="30">
        <f t="shared" si="5"/>
        <v>0.31684206193169995</v>
      </c>
      <c r="Q9" s="30">
        <f t="shared" si="6"/>
        <v>0</v>
      </c>
      <c r="R9" s="30">
        <f t="shared" si="7"/>
        <v>0</v>
      </c>
      <c r="S9" s="30" t="e">
        <f t="shared" si="8"/>
        <v>#DIV/0!</v>
      </c>
      <c r="T9" s="30">
        <f t="shared" si="9"/>
        <v>0</v>
      </c>
      <c r="U9" s="31"/>
      <c r="V9" s="153"/>
      <c r="W9" s="188"/>
      <c r="X9" s="199" t="s">
        <v>51</v>
      </c>
      <c r="Y9" s="286">
        <v>7.2499999999999995E-2</v>
      </c>
      <c r="Z9" s="286">
        <v>2.4E-2</v>
      </c>
      <c r="AA9" s="189">
        <v>80</v>
      </c>
      <c r="AB9" s="189">
        <v>840</v>
      </c>
      <c r="AC9" s="236">
        <f>Y9/Z9</f>
        <v>3.020833333333333</v>
      </c>
      <c r="AD9" s="190">
        <f>Y9*AA9*AB9</f>
        <v>4872</v>
      </c>
      <c r="AE9" s="149" t="s">
        <v>270</v>
      </c>
      <c r="AF9" s="14"/>
      <c r="AG9" s="14"/>
      <c r="AL9" s="159" t="s">
        <v>319</v>
      </c>
      <c r="AM9" s="81" t="s">
        <v>320</v>
      </c>
      <c r="AN9" s="81" t="s">
        <v>327</v>
      </c>
      <c r="AO9" s="167">
        <f>B34*1.04*1012*5</f>
        <v>897190.73464052298</v>
      </c>
      <c r="AP9" s="81" t="s">
        <v>322</v>
      </c>
      <c r="AQ9" s="167">
        <v>2745646</v>
      </c>
      <c r="AU9" s="168" t="s">
        <v>319</v>
      </c>
      <c r="AV9" s="168" t="s">
        <v>320</v>
      </c>
      <c r="AW9" s="168" t="s">
        <v>327</v>
      </c>
      <c r="AX9" s="169" t="s">
        <v>323</v>
      </c>
      <c r="AY9" s="162">
        <f>AO9</f>
        <v>897190.73464052298</v>
      </c>
      <c r="AZ9" s="168" t="s">
        <v>322</v>
      </c>
      <c r="BB9" s="81" t="s">
        <v>392</v>
      </c>
      <c r="BC9" s="167">
        <v>297</v>
      </c>
      <c r="BD9" s="167">
        <v>9.3200000000000005E-2</v>
      </c>
      <c r="BE9" s="81">
        <v>3182.59</v>
      </c>
      <c r="BF9" s="81" t="s">
        <v>388</v>
      </c>
      <c r="BI9" s="175" t="s">
        <v>319</v>
      </c>
      <c r="BJ9" s="175" t="s">
        <v>320</v>
      </c>
      <c r="BK9" s="175" t="s">
        <v>327</v>
      </c>
      <c r="BL9" s="175" t="s">
        <v>323</v>
      </c>
      <c r="BM9" s="174">
        <f>BC19</f>
        <v>2950000</v>
      </c>
      <c r="BN9" s="175" t="s">
        <v>322</v>
      </c>
      <c r="BP9" s="81" t="s">
        <v>392</v>
      </c>
      <c r="BQ9" s="167">
        <v>290</v>
      </c>
      <c r="BR9" s="167">
        <v>0.124</v>
      </c>
      <c r="BS9" s="81">
        <v>2333.5300000000002</v>
      </c>
      <c r="BT9" s="81" t="s">
        <v>422</v>
      </c>
      <c r="BU9" s="167">
        <v>2E-16</v>
      </c>
      <c r="BV9" s="81" t="s">
        <v>389</v>
      </c>
      <c r="BX9" s="178" t="s">
        <v>319</v>
      </c>
      <c r="BY9" s="178" t="s">
        <v>320</v>
      </c>
      <c r="BZ9" s="178" t="s">
        <v>326</v>
      </c>
      <c r="CA9" s="178" t="s">
        <v>323</v>
      </c>
      <c r="CB9" s="177">
        <f t="shared" si="12"/>
        <v>0.20300000000000001</v>
      </c>
      <c r="CC9" s="178" t="s">
        <v>322</v>
      </c>
      <c r="CN9" s="81" t="s">
        <v>328</v>
      </c>
      <c r="CO9" s="256">
        <f t="shared" si="0"/>
        <v>5508256.8270944748</v>
      </c>
      <c r="CP9" s="256">
        <f t="shared" si="1"/>
        <v>23100000</v>
      </c>
      <c r="CQ9" s="256">
        <f t="shared" si="2"/>
        <v>32200000</v>
      </c>
      <c r="CT9" s="258" t="s">
        <v>442</v>
      </c>
      <c r="CU9" s="258" t="s">
        <v>391</v>
      </c>
      <c r="CV9" s="259">
        <v>295</v>
      </c>
      <c r="CW9" s="259">
        <v>2.4500000000000001E-2</v>
      </c>
      <c r="CX9" s="258">
        <v>12038.1</v>
      </c>
      <c r="CY9" s="258" t="s">
        <v>422</v>
      </c>
      <c r="CZ9" s="167">
        <v>2E-16</v>
      </c>
      <c r="DA9" s="81" t="s">
        <v>389</v>
      </c>
      <c r="DB9" s="260" t="s">
        <v>467</v>
      </c>
      <c r="DC9" s="264" t="s">
        <v>472</v>
      </c>
      <c r="DD9" s="261" t="s">
        <v>323</v>
      </c>
      <c r="DE9" s="262">
        <f t="shared" si="10"/>
        <v>0.503</v>
      </c>
      <c r="DF9" s="260" t="s">
        <v>322</v>
      </c>
      <c r="DH9" s="308" t="s">
        <v>442</v>
      </c>
      <c r="DI9" s="308" t="s">
        <v>391</v>
      </c>
      <c r="DJ9" s="312">
        <v>295</v>
      </c>
      <c r="DK9" s="312">
        <v>2.4500000000000001E-2</v>
      </c>
      <c r="DL9" s="308">
        <v>12038.1</v>
      </c>
      <c r="DM9" s="308" t="s">
        <v>422</v>
      </c>
      <c r="DN9" s="312">
        <v>2E-16</v>
      </c>
      <c r="DO9" s="308" t="s">
        <v>389</v>
      </c>
      <c r="DP9" s="309" t="s">
        <v>467</v>
      </c>
      <c r="DQ9" s="314" t="s">
        <v>472</v>
      </c>
      <c r="DR9" s="310" t="s">
        <v>323</v>
      </c>
      <c r="DS9" s="311">
        <f t="shared" si="11"/>
        <v>0.503</v>
      </c>
      <c r="DT9" s="309" t="s">
        <v>322</v>
      </c>
    </row>
    <row r="10" spans="1:124" ht="15" customHeight="1" thickTop="1" thickBot="1" x14ac:dyDescent="0.3">
      <c r="A10" s="188"/>
      <c r="B10" s="189"/>
      <c r="C10" s="189"/>
      <c r="D10" s="194" t="s">
        <v>35</v>
      </c>
      <c r="E10" s="199" t="s">
        <v>56</v>
      </c>
      <c r="F10" s="195">
        <f t="shared" si="4"/>
        <v>0.11680327868852459</v>
      </c>
      <c r="G10" s="189"/>
      <c r="H10" s="200">
        <f>'Tabula data'!B21*(1-C45)</f>
        <v>2.85</v>
      </c>
      <c r="J10" s="81" t="s">
        <v>53</v>
      </c>
      <c r="K10" s="218">
        <v>0</v>
      </c>
      <c r="L10" s="219">
        <v>1</v>
      </c>
      <c r="M10" s="219" t="s">
        <v>54</v>
      </c>
      <c r="N10" s="220">
        <f>H6</f>
        <v>2.85</v>
      </c>
      <c r="O10" s="221" t="s">
        <v>26</v>
      </c>
      <c r="P10" s="30">
        <f t="shared" si="5"/>
        <v>2</v>
      </c>
      <c r="Q10" s="30">
        <f t="shared" si="6"/>
        <v>5.7</v>
      </c>
      <c r="R10" s="30">
        <f t="shared" si="7"/>
        <v>0</v>
      </c>
      <c r="S10" s="30">
        <f t="shared" si="8"/>
        <v>0</v>
      </c>
      <c r="T10" s="30">
        <f t="shared" si="9"/>
        <v>0</v>
      </c>
      <c r="U10" s="31"/>
      <c r="V10" s="153"/>
      <c r="W10" s="205"/>
      <c r="X10" s="187" t="s">
        <v>58</v>
      </c>
      <c r="Y10" s="187">
        <v>0.02</v>
      </c>
      <c r="Z10" s="187">
        <v>0.6</v>
      </c>
      <c r="AA10" s="187">
        <v>975</v>
      </c>
      <c r="AB10" s="187">
        <v>840</v>
      </c>
      <c r="AC10" s="237">
        <f>Y10/Z10</f>
        <v>3.3333333333333333E-2</v>
      </c>
      <c r="AD10" s="210">
        <f>Y10*AA10*AB10</f>
        <v>16380</v>
      </c>
      <c r="AE10" s="14"/>
      <c r="AF10" s="14"/>
      <c r="AG10" s="14"/>
      <c r="AL10" s="159" t="s">
        <v>319</v>
      </c>
      <c r="AM10" s="81" t="s">
        <v>320</v>
      </c>
      <c r="AN10" s="81" t="s">
        <v>328</v>
      </c>
      <c r="AO10" s="167">
        <f>SUM(T6:T9)</f>
        <v>5508256.8270944748</v>
      </c>
      <c r="AP10" s="81" t="s">
        <v>322</v>
      </c>
      <c r="AQ10" s="167">
        <v>14395560</v>
      </c>
      <c r="AU10" s="168" t="s">
        <v>319</v>
      </c>
      <c r="AV10" s="168" t="s">
        <v>320</v>
      </c>
      <c r="AW10" s="168" t="s">
        <v>328</v>
      </c>
      <c r="AX10" s="169" t="s">
        <v>323</v>
      </c>
      <c r="AY10" s="162">
        <f t="shared" ref="AY10:AY12" si="13">AO10</f>
        <v>5508256.8270944748</v>
      </c>
      <c r="AZ10" s="168" t="s">
        <v>322</v>
      </c>
      <c r="BB10" s="81" t="s">
        <v>393</v>
      </c>
      <c r="BC10" s="167">
        <v>297</v>
      </c>
      <c r="BD10" s="167">
        <v>2.92E-2</v>
      </c>
      <c r="BE10" s="81">
        <v>10162.700000000001</v>
      </c>
      <c r="BF10" s="81" t="s">
        <v>388</v>
      </c>
      <c r="BI10" s="175" t="s">
        <v>319</v>
      </c>
      <c r="BJ10" s="175" t="s">
        <v>320</v>
      </c>
      <c r="BK10" s="175" t="s">
        <v>328</v>
      </c>
      <c r="BL10" s="175" t="s">
        <v>323</v>
      </c>
      <c r="BM10" s="174">
        <f>BC20</f>
        <v>23100000</v>
      </c>
      <c r="BN10" s="175" t="s">
        <v>322</v>
      </c>
      <c r="BP10" s="81" t="s">
        <v>393</v>
      </c>
      <c r="BQ10" s="167">
        <v>292</v>
      </c>
      <c r="BR10" s="167">
        <v>7.2499999999999995E-2</v>
      </c>
      <c r="BS10" s="81">
        <v>4026.39</v>
      </c>
      <c r="BT10" s="81" t="s">
        <v>422</v>
      </c>
      <c r="BU10" s="167">
        <v>2E-16</v>
      </c>
      <c r="BV10" s="81" t="s">
        <v>389</v>
      </c>
      <c r="BX10" s="178"/>
      <c r="BY10" s="178"/>
      <c r="BZ10" s="178"/>
      <c r="CA10" s="178"/>
      <c r="CB10" s="179"/>
      <c r="CC10" s="178"/>
      <c r="CN10" s="81" t="s">
        <v>329</v>
      </c>
      <c r="CO10" s="256">
        <f t="shared" si="0"/>
        <v>13436145.300282264</v>
      </c>
      <c r="CP10" s="256">
        <f t="shared" si="1"/>
        <v>30400000</v>
      </c>
      <c r="CQ10" s="256">
        <f t="shared" si="2"/>
        <v>25400000</v>
      </c>
      <c r="CT10" s="258" t="s">
        <v>442</v>
      </c>
      <c r="CU10" s="258" t="s">
        <v>392</v>
      </c>
      <c r="CV10" s="259">
        <v>291</v>
      </c>
      <c r="CW10" s="259">
        <v>4.2000000000000003E-2</v>
      </c>
      <c r="CX10" s="258">
        <v>6915.88</v>
      </c>
      <c r="CY10" s="258" t="s">
        <v>422</v>
      </c>
      <c r="CZ10" s="167">
        <v>2E-16</v>
      </c>
      <c r="DA10" s="81" t="s">
        <v>389</v>
      </c>
      <c r="DB10" s="260" t="s">
        <v>467</v>
      </c>
      <c r="DC10" s="264" t="s">
        <v>473</v>
      </c>
      <c r="DD10" s="261" t="s">
        <v>323</v>
      </c>
      <c r="DE10" s="262">
        <f t="shared" si="10"/>
        <v>0.54600000000000004</v>
      </c>
      <c r="DF10" s="260" t="s">
        <v>322</v>
      </c>
      <c r="DH10" s="308" t="s">
        <v>442</v>
      </c>
      <c r="DI10" s="308" t="s">
        <v>392</v>
      </c>
      <c r="DJ10" s="312">
        <v>291</v>
      </c>
      <c r="DK10" s="312">
        <v>4.2000000000000003E-2</v>
      </c>
      <c r="DL10" s="308">
        <v>6915.88</v>
      </c>
      <c r="DM10" s="308" t="s">
        <v>422</v>
      </c>
      <c r="DN10" s="312">
        <v>2E-16</v>
      </c>
      <c r="DO10" s="308" t="s">
        <v>389</v>
      </c>
      <c r="DP10" s="309" t="s">
        <v>467</v>
      </c>
      <c r="DQ10" s="314" t="s">
        <v>473</v>
      </c>
      <c r="DR10" s="310" t="s">
        <v>323</v>
      </c>
      <c r="DS10" s="311">
        <f t="shared" si="11"/>
        <v>0.54600000000000004</v>
      </c>
      <c r="DT10" s="309" t="s">
        <v>322</v>
      </c>
    </row>
    <row r="11" spans="1:124" ht="15" customHeight="1" thickTop="1" thickBot="1" x14ac:dyDescent="0.3">
      <c r="A11" s="188"/>
      <c r="B11" s="189"/>
      <c r="C11" s="189"/>
      <c r="D11" s="194" t="s">
        <v>43</v>
      </c>
      <c r="E11" s="199" t="s">
        <v>56</v>
      </c>
      <c r="F11" s="195">
        <f t="shared" si="4"/>
        <v>0.12909836065573771</v>
      </c>
      <c r="G11" s="189"/>
      <c r="H11" s="200">
        <f>'Tabula data'!B22*(1-'Tabula Ref1'!C45)</f>
        <v>3.15</v>
      </c>
      <c r="J11" s="81" t="s">
        <v>57</v>
      </c>
      <c r="K11" s="218">
        <v>0</v>
      </c>
      <c r="L11" s="219">
        <v>1</v>
      </c>
      <c r="M11" s="219" t="s">
        <v>54</v>
      </c>
      <c r="N11" s="220">
        <f>H7</f>
        <v>3.15</v>
      </c>
      <c r="O11" s="221" t="s">
        <v>39</v>
      </c>
      <c r="P11" s="30">
        <f t="shared" si="5"/>
        <v>2</v>
      </c>
      <c r="Q11" s="30">
        <f t="shared" si="6"/>
        <v>6.3</v>
      </c>
      <c r="R11" s="30">
        <f t="shared" si="7"/>
        <v>0</v>
      </c>
      <c r="S11" s="30">
        <f t="shared" si="8"/>
        <v>0</v>
      </c>
      <c r="T11" s="30">
        <f t="shared" si="9"/>
        <v>0</v>
      </c>
      <c r="U11" s="31"/>
      <c r="V11" s="153"/>
      <c r="W11" s="189"/>
      <c r="X11" s="189"/>
      <c r="Y11" s="238"/>
      <c r="Z11" s="238"/>
      <c r="AA11" s="238"/>
      <c r="AB11" s="189"/>
      <c r="AC11" s="236"/>
      <c r="AD11" s="189"/>
      <c r="AE11" s="14"/>
      <c r="AF11" s="14"/>
      <c r="AG11" s="14"/>
      <c r="AL11" s="159" t="s">
        <v>319</v>
      </c>
      <c r="AM11" s="81" t="s">
        <v>320</v>
      </c>
      <c r="AN11" s="81" t="s">
        <v>329</v>
      </c>
      <c r="AO11" s="167">
        <f>SUM(T27)</f>
        <v>13436145.300282264</v>
      </c>
      <c r="AP11" s="81" t="s">
        <v>322</v>
      </c>
      <c r="AQ11" s="167">
        <v>26154150</v>
      </c>
      <c r="AU11" s="168" t="s">
        <v>319</v>
      </c>
      <c r="AV11" s="168" t="s">
        <v>320</v>
      </c>
      <c r="AW11" s="168" t="s">
        <v>329</v>
      </c>
      <c r="AX11" s="169" t="s">
        <v>323</v>
      </c>
      <c r="AY11" s="162">
        <f t="shared" si="13"/>
        <v>13436145.300282264</v>
      </c>
      <c r="AZ11" s="168" t="s">
        <v>322</v>
      </c>
      <c r="BB11" s="81" t="s">
        <v>394</v>
      </c>
      <c r="BC11" s="167">
        <v>0.16</v>
      </c>
      <c r="BD11" s="167">
        <v>1.5399999999999999E-3</v>
      </c>
      <c r="BE11" s="81">
        <v>103.9</v>
      </c>
      <c r="BF11" s="81" t="s">
        <v>388</v>
      </c>
      <c r="BI11" s="175" t="s">
        <v>319</v>
      </c>
      <c r="BJ11" s="175" t="s">
        <v>320</v>
      </c>
      <c r="BK11" s="175" t="s">
        <v>329</v>
      </c>
      <c r="BL11" s="175" t="s">
        <v>323</v>
      </c>
      <c r="BM11" s="174">
        <f>BC21</f>
        <v>30400000</v>
      </c>
      <c r="BN11" s="175" t="s">
        <v>322</v>
      </c>
      <c r="BP11" s="81" t="s">
        <v>394</v>
      </c>
      <c r="BQ11" s="167">
        <v>0.19</v>
      </c>
      <c r="BR11" s="167">
        <v>2.31E-3</v>
      </c>
      <c r="BS11" s="81">
        <v>82.21</v>
      </c>
      <c r="BT11" s="81" t="s">
        <v>422</v>
      </c>
      <c r="BU11" s="167">
        <v>2E-16</v>
      </c>
      <c r="BV11" s="81" t="s">
        <v>389</v>
      </c>
      <c r="BX11" s="178" t="s">
        <v>319</v>
      </c>
      <c r="BY11" s="178" t="s">
        <v>320</v>
      </c>
      <c r="BZ11" s="178" t="s">
        <v>327</v>
      </c>
      <c r="CA11" s="178" t="s">
        <v>323</v>
      </c>
      <c r="CB11" s="179">
        <f>BQ19</f>
        <v>3560000</v>
      </c>
      <c r="CC11" s="178" t="s">
        <v>322</v>
      </c>
      <c r="CN11" s="81" t="s">
        <v>330</v>
      </c>
      <c r="CO11" s="256">
        <f t="shared" si="0"/>
        <v>6879520</v>
      </c>
      <c r="CP11" s="256">
        <f t="shared" si="1"/>
        <v>15600000</v>
      </c>
      <c r="CQ11" s="256">
        <f t="shared" si="2"/>
        <v>0</v>
      </c>
      <c r="CT11" s="258" t="s">
        <v>442</v>
      </c>
      <c r="CU11" s="258" t="s">
        <v>393</v>
      </c>
      <c r="CV11" s="259">
        <v>293</v>
      </c>
      <c r="CW11" s="259">
        <v>2.5899999999999999E-2</v>
      </c>
      <c r="CX11" s="258">
        <v>11305.25</v>
      </c>
      <c r="CY11" s="258" t="s">
        <v>422</v>
      </c>
      <c r="CZ11" s="167">
        <v>2E-16</v>
      </c>
      <c r="DA11" s="81" t="s">
        <v>389</v>
      </c>
      <c r="DB11" s="260" t="s">
        <v>467</v>
      </c>
      <c r="DC11" s="264" t="s">
        <v>474</v>
      </c>
      <c r="DD11" s="261" t="s">
        <v>323</v>
      </c>
      <c r="DE11" s="262">
        <f t="shared" si="10"/>
        <v>0.44400000000000001</v>
      </c>
      <c r="DF11" s="260" t="s">
        <v>322</v>
      </c>
      <c r="DH11" s="308" t="s">
        <v>442</v>
      </c>
      <c r="DI11" s="308" t="s">
        <v>393</v>
      </c>
      <c r="DJ11" s="312">
        <v>293</v>
      </c>
      <c r="DK11" s="312">
        <v>2.5899999999999999E-2</v>
      </c>
      <c r="DL11" s="308">
        <v>11305.25</v>
      </c>
      <c r="DM11" s="308" t="s">
        <v>422</v>
      </c>
      <c r="DN11" s="312">
        <v>2E-16</v>
      </c>
      <c r="DO11" s="308" t="s">
        <v>389</v>
      </c>
      <c r="DP11" s="309" t="s">
        <v>467</v>
      </c>
      <c r="DQ11" s="314" t="s">
        <v>474</v>
      </c>
      <c r="DR11" s="310" t="s">
        <v>323</v>
      </c>
      <c r="DS11" s="311">
        <f t="shared" si="11"/>
        <v>0.44400000000000001</v>
      </c>
      <c r="DT11" s="309" t="s">
        <v>322</v>
      </c>
    </row>
    <row r="12" spans="1:124" ht="15" customHeight="1" thickTop="1" thickBot="1" x14ac:dyDescent="0.3">
      <c r="A12" s="188"/>
      <c r="B12" s="189"/>
      <c r="C12" s="189"/>
      <c r="D12" s="194" t="s">
        <v>48</v>
      </c>
      <c r="E12" s="199" t="s">
        <v>56</v>
      </c>
      <c r="F12" s="195">
        <f t="shared" si="4"/>
        <v>0.1209016393442623</v>
      </c>
      <c r="G12" s="189"/>
      <c r="H12" s="200">
        <f>'Tabula data'!B23*(1-'Tabula Ref1'!C45)</f>
        <v>2.95</v>
      </c>
      <c r="J12" s="81" t="s">
        <v>59</v>
      </c>
      <c r="K12" s="218">
        <v>0</v>
      </c>
      <c r="L12" s="219">
        <v>1</v>
      </c>
      <c r="M12" s="219" t="s">
        <v>54</v>
      </c>
      <c r="N12" s="220">
        <f>H8</f>
        <v>2.95</v>
      </c>
      <c r="O12" s="221" t="s">
        <v>45</v>
      </c>
      <c r="P12" s="30">
        <f t="shared" si="5"/>
        <v>2</v>
      </c>
      <c r="Q12" s="30">
        <f t="shared" si="6"/>
        <v>5.9</v>
      </c>
      <c r="R12" s="30">
        <f t="shared" si="7"/>
        <v>0</v>
      </c>
      <c r="S12" s="30">
        <f t="shared" si="8"/>
        <v>0</v>
      </c>
      <c r="T12" s="30">
        <f t="shared" si="9"/>
        <v>0</v>
      </c>
      <c r="U12" s="31"/>
      <c r="V12" s="153"/>
      <c r="W12" s="226"/>
      <c r="X12" s="226"/>
      <c r="Y12" s="227" t="s">
        <v>4</v>
      </c>
      <c r="Z12" s="227">
        <v>1</v>
      </c>
      <c r="AA12" s="227" t="s">
        <v>5</v>
      </c>
      <c r="AB12" s="226"/>
      <c r="AC12" s="226"/>
      <c r="AD12" s="226"/>
      <c r="AE12" s="14"/>
      <c r="AF12" s="14"/>
      <c r="AG12" s="14"/>
      <c r="AL12" s="159" t="s">
        <v>319</v>
      </c>
      <c r="AM12" s="81" t="s">
        <v>320</v>
      </c>
      <c r="AN12" s="81" t="s">
        <v>330</v>
      </c>
      <c r="AO12" s="167">
        <f>SUM(T14)</f>
        <v>6879520</v>
      </c>
      <c r="AP12" s="81" t="s">
        <v>322</v>
      </c>
      <c r="AQ12" s="167">
        <v>12228720</v>
      </c>
      <c r="AU12" s="168" t="s">
        <v>319</v>
      </c>
      <c r="AV12" s="168" t="s">
        <v>320</v>
      </c>
      <c r="AW12" s="168" t="s">
        <v>330</v>
      </c>
      <c r="AX12" s="169" t="s">
        <v>323</v>
      </c>
      <c r="AY12" s="162">
        <f t="shared" si="13"/>
        <v>6879520</v>
      </c>
      <c r="AZ12" s="168" t="s">
        <v>322</v>
      </c>
      <c r="BB12" s="81" t="s">
        <v>395</v>
      </c>
      <c r="BC12" s="167">
        <v>0.318</v>
      </c>
      <c r="BD12" s="167">
        <v>2.1299999999999999E-3</v>
      </c>
      <c r="BE12" s="81">
        <v>149.15</v>
      </c>
      <c r="BF12" s="81" t="s">
        <v>388</v>
      </c>
      <c r="BI12" s="175" t="s">
        <v>319</v>
      </c>
      <c r="BJ12" s="175" t="s">
        <v>320</v>
      </c>
      <c r="BK12" s="175" t="s">
        <v>330</v>
      </c>
      <c r="BL12" s="175" t="s">
        <v>323</v>
      </c>
      <c r="BM12" s="174">
        <f>BC18</f>
        <v>15600000</v>
      </c>
      <c r="BN12" s="175" t="s">
        <v>322</v>
      </c>
      <c r="BP12" s="81" t="s">
        <v>395</v>
      </c>
      <c r="BQ12" s="167">
        <v>0.38</v>
      </c>
      <c r="BR12" s="167">
        <v>1.3600000000000001E-3</v>
      </c>
      <c r="BS12" s="81">
        <v>278.99</v>
      </c>
      <c r="BT12" s="81" t="s">
        <v>422</v>
      </c>
      <c r="BU12" s="167">
        <v>2E-16</v>
      </c>
      <c r="BV12" s="81" t="s">
        <v>389</v>
      </c>
      <c r="BX12" s="178" t="s">
        <v>319</v>
      </c>
      <c r="BY12" s="178" t="s">
        <v>320</v>
      </c>
      <c r="BZ12" s="178" t="s">
        <v>328</v>
      </c>
      <c r="CA12" s="178" t="s">
        <v>323</v>
      </c>
      <c r="CB12" s="179">
        <f t="shared" ref="CB12:CB13" si="14">BQ20</f>
        <v>32200000</v>
      </c>
      <c r="CC12" s="178" t="s">
        <v>322</v>
      </c>
      <c r="CO12" s="255"/>
      <c r="CP12" s="255"/>
      <c r="CQ12" s="255"/>
      <c r="CT12" s="258" t="s">
        <v>442</v>
      </c>
      <c r="CU12" s="258" t="s">
        <v>444</v>
      </c>
      <c r="CV12" s="259">
        <v>8.3400000000000002E-2</v>
      </c>
      <c r="CW12" s="259">
        <v>3.16E-3</v>
      </c>
      <c r="CX12" s="258">
        <v>26.36</v>
      </c>
      <c r="CY12" s="258" t="s">
        <v>422</v>
      </c>
      <c r="CZ12" s="167">
        <v>2E-16</v>
      </c>
      <c r="DA12" s="81" t="s">
        <v>389</v>
      </c>
      <c r="DB12" s="260" t="s">
        <v>467</v>
      </c>
      <c r="DC12" s="263" t="s">
        <v>475</v>
      </c>
      <c r="DD12" s="261" t="s">
        <v>323</v>
      </c>
      <c r="DE12" s="262">
        <f t="shared" si="10"/>
        <v>0.48399999999999999</v>
      </c>
      <c r="DF12" s="260" t="s">
        <v>322</v>
      </c>
      <c r="DH12" s="308" t="s">
        <v>442</v>
      </c>
      <c r="DI12" s="308" t="s">
        <v>444</v>
      </c>
      <c r="DJ12" s="312">
        <v>8.3400000000000002E-2</v>
      </c>
      <c r="DK12" s="312">
        <v>3.16E-3</v>
      </c>
      <c r="DL12" s="308">
        <v>26.36</v>
      </c>
      <c r="DM12" s="308" t="s">
        <v>422</v>
      </c>
      <c r="DN12" s="312">
        <v>2E-16</v>
      </c>
      <c r="DO12" s="308" t="s">
        <v>389</v>
      </c>
      <c r="DP12" s="309" t="s">
        <v>467</v>
      </c>
      <c r="DQ12" s="313" t="s">
        <v>475</v>
      </c>
      <c r="DR12" s="310" t="s">
        <v>323</v>
      </c>
      <c r="DS12" s="311">
        <f t="shared" si="11"/>
        <v>0.48399999999999999</v>
      </c>
      <c r="DT12" s="309" t="s">
        <v>322</v>
      </c>
    </row>
    <row r="13" spans="1:124" ht="15" customHeight="1" thickTop="1" thickBot="1" x14ac:dyDescent="0.3">
      <c r="A13" s="188"/>
      <c r="B13" s="189"/>
      <c r="C13" s="189"/>
      <c r="D13" s="194" t="s">
        <v>52</v>
      </c>
      <c r="E13" s="199" t="s">
        <v>56</v>
      </c>
      <c r="F13" s="195">
        <f t="shared" si="4"/>
        <v>0.13319672131147542</v>
      </c>
      <c r="G13" s="189"/>
      <c r="H13" s="200">
        <f>'Tabula data'!B24*(1-'Tabula Ref1'!C45)</f>
        <v>3.25</v>
      </c>
      <c r="J13" s="81" t="s">
        <v>60</v>
      </c>
      <c r="K13" s="218">
        <v>0</v>
      </c>
      <c r="L13" s="219">
        <v>1</v>
      </c>
      <c r="M13" s="219" t="s">
        <v>54</v>
      </c>
      <c r="N13" s="220">
        <f>H9</f>
        <v>3.25</v>
      </c>
      <c r="O13" s="221" t="s">
        <v>50</v>
      </c>
      <c r="P13" s="30">
        <f t="shared" si="5"/>
        <v>2</v>
      </c>
      <c r="Q13" s="30">
        <f t="shared" si="6"/>
        <v>6.5</v>
      </c>
      <c r="R13" s="30">
        <f t="shared" si="7"/>
        <v>0</v>
      </c>
      <c r="S13" s="30">
        <f t="shared" si="8"/>
        <v>0</v>
      </c>
      <c r="T13" s="30">
        <f t="shared" si="9"/>
        <v>0</v>
      </c>
      <c r="U13" s="31"/>
      <c r="V13" s="153"/>
      <c r="W13" s="228" t="s">
        <v>64</v>
      </c>
      <c r="X13" s="229"/>
      <c r="Y13" s="230" t="s">
        <v>21</v>
      </c>
      <c r="Z13" s="231">
        <f>1/(1/8+SUM(AC15:AC19)+1/23)</f>
        <v>0.31684206193169995</v>
      </c>
      <c r="AA13" s="229" t="s">
        <v>5</v>
      </c>
      <c r="AB13" s="229"/>
      <c r="AC13" s="229" t="s">
        <v>22</v>
      </c>
      <c r="AD13" s="232">
        <f>SUM(AD15:AD20)</f>
        <v>339176.25</v>
      </c>
      <c r="AE13" s="14" t="s">
        <v>23</v>
      </c>
      <c r="AF13" s="14">
        <f>SUM(AD18:AD19)</f>
        <v>181020.00000000003</v>
      </c>
      <c r="AG13" s="14"/>
      <c r="AO13" s="167"/>
      <c r="AP13" s="81" t="s">
        <v>322</v>
      </c>
      <c r="AQ13" s="167"/>
      <c r="AU13" s="168"/>
      <c r="AV13" s="168"/>
      <c r="AW13" s="168"/>
      <c r="AX13" s="169"/>
      <c r="AZ13" s="168"/>
      <c r="BB13" s="81" t="s">
        <v>396</v>
      </c>
      <c r="BC13" s="167">
        <v>0.26200000000000001</v>
      </c>
      <c r="BD13" s="167">
        <v>8.6800000000000002E-3</v>
      </c>
      <c r="BE13" s="81">
        <v>30.21</v>
      </c>
      <c r="BF13" s="81" t="s">
        <v>388</v>
      </c>
      <c r="BI13" s="175"/>
      <c r="BJ13" s="175"/>
      <c r="BK13" s="175"/>
      <c r="BL13" s="175"/>
      <c r="BM13" s="174"/>
      <c r="BN13" s="175"/>
      <c r="BP13" s="81" t="s">
        <v>396</v>
      </c>
      <c r="BQ13" s="167">
        <v>5.0500000000000003E-2</v>
      </c>
      <c r="BR13" s="167">
        <v>8.2699999999999996E-3</v>
      </c>
      <c r="BS13" s="81">
        <v>6.11</v>
      </c>
      <c r="BT13" s="167">
        <v>1.0999999999999999E-9</v>
      </c>
      <c r="BU13" s="81" t="s">
        <v>389</v>
      </c>
      <c r="BX13" s="178" t="s">
        <v>319</v>
      </c>
      <c r="BY13" s="178" t="s">
        <v>320</v>
      </c>
      <c r="BZ13" s="178" t="s">
        <v>329</v>
      </c>
      <c r="CA13" s="178" t="s">
        <v>323</v>
      </c>
      <c r="CB13" s="179">
        <f t="shared" si="14"/>
        <v>25400000</v>
      </c>
      <c r="CC13" s="178" t="s">
        <v>322</v>
      </c>
      <c r="CN13" s="81" t="s">
        <v>331</v>
      </c>
      <c r="CO13" s="254">
        <f t="shared" si="0"/>
        <v>3.8896079116026903E-2</v>
      </c>
      <c r="CP13" s="254">
        <f t="shared" si="1"/>
        <v>0.11700000000000001</v>
      </c>
      <c r="CQ13" s="254">
        <f t="shared" si="2"/>
        <v>7.0400000000000004E-2</v>
      </c>
      <c r="CT13" s="258" t="s">
        <v>442</v>
      </c>
      <c r="CU13" s="258" t="s">
        <v>341</v>
      </c>
      <c r="CV13" s="259">
        <v>1.41E-2</v>
      </c>
      <c r="CW13" s="259">
        <v>7.7000000000000002E-3</v>
      </c>
      <c r="CX13" s="258">
        <v>1.83</v>
      </c>
      <c r="CY13" s="259">
        <v>6.7000000000000004E-2</v>
      </c>
      <c r="CZ13" s="81" t="s">
        <v>427</v>
      </c>
      <c r="DB13" s="260" t="s">
        <v>467</v>
      </c>
      <c r="DC13" s="265" t="s">
        <v>476</v>
      </c>
      <c r="DD13" s="261" t="s">
        <v>323</v>
      </c>
      <c r="DE13" s="262">
        <f t="shared" si="10"/>
        <v>0.104</v>
      </c>
      <c r="DF13" s="260" t="s">
        <v>322</v>
      </c>
      <c r="DH13" s="308" t="s">
        <v>442</v>
      </c>
      <c r="DI13" s="308" t="s">
        <v>341</v>
      </c>
      <c r="DJ13" s="312">
        <v>1.41E-2</v>
      </c>
      <c r="DK13" s="312">
        <v>7.7000000000000002E-3</v>
      </c>
      <c r="DL13" s="308">
        <v>1.83</v>
      </c>
      <c r="DM13" s="312">
        <v>6.7000000000000004E-2</v>
      </c>
      <c r="DN13" s="308" t="s">
        <v>427</v>
      </c>
      <c r="DP13" s="309" t="s">
        <v>467</v>
      </c>
      <c r="DQ13" s="315" t="s">
        <v>476</v>
      </c>
      <c r="DR13" s="310" t="s">
        <v>323</v>
      </c>
      <c r="DS13" s="311">
        <f t="shared" si="11"/>
        <v>0.104</v>
      </c>
      <c r="DT13" s="309" t="s">
        <v>322</v>
      </c>
    </row>
    <row r="14" spans="1:124" ht="15" customHeight="1" thickTop="1" thickBot="1" x14ac:dyDescent="0.3">
      <c r="A14" s="188"/>
      <c r="B14" s="189"/>
      <c r="C14" s="189"/>
      <c r="D14" s="201" t="s">
        <v>65</v>
      </c>
      <c r="E14" s="202"/>
      <c r="F14" s="202"/>
      <c r="G14" s="202"/>
      <c r="H14" s="203"/>
      <c r="J14" s="81" t="s">
        <v>61</v>
      </c>
      <c r="K14" s="218" t="s">
        <v>62</v>
      </c>
      <c r="L14" s="219">
        <v>1</v>
      </c>
      <c r="M14" s="219" t="s">
        <v>63</v>
      </c>
      <c r="N14" s="220">
        <f>B7</f>
        <v>62</v>
      </c>
      <c r="O14" s="221"/>
      <c r="P14" s="30">
        <f t="shared" si="5"/>
        <v>0.3056768558951965</v>
      </c>
      <c r="Q14" s="30">
        <f t="shared" si="6"/>
        <v>18.951965065502183</v>
      </c>
      <c r="R14" s="30">
        <f t="shared" si="7"/>
        <v>23489785</v>
      </c>
      <c r="S14" s="30">
        <f t="shared" si="8"/>
        <v>378867.5</v>
      </c>
      <c r="T14" s="30">
        <f t="shared" si="9"/>
        <v>6879520</v>
      </c>
      <c r="U14" s="31"/>
      <c r="V14" s="153"/>
      <c r="W14" s="233"/>
      <c r="X14" s="234" t="s">
        <v>27</v>
      </c>
      <c r="Y14" s="234" t="s">
        <v>28</v>
      </c>
      <c r="Z14" s="234" t="s">
        <v>29</v>
      </c>
      <c r="AA14" s="234" t="s">
        <v>30</v>
      </c>
      <c r="AB14" s="234" t="s">
        <v>31</v>
      </c>
      <c r="AC14" s="234" t="s">
        <v>32</v>
      </c>
      <c r="AD14" s="235" t="s">
        <v>33</v>
      </c>
      <c r="AE14" s="14"/>
      <c r="AF14" s="14"/>
      <c r="AG14" s="14"/>
      <c r="AL14" s="159" t="s">
        <v>319</v>
      </c>
      <c r="AM14" s="81" t="s">
        <v>320</v>
      </c>
      <c r="AN14" s="81" t="s">
        <v>331</v>
      </c>
      <c r="AO14" s="81">
        <f>AO4*0.3</f>
        <v>3.8896079116026903E-2</v>
      </c>
      <c r="AP14" s="81" t="s">
        <v>322</v>
      </c>
      <c r="AQ14" s="167">
        <v>6.5890790000000005E-2</v>
      </c>
      <c r="AU14" s="168" t="s">
        <v>319</v>
      </c>
      <c r="AV14" s="168" t="s">
        <v>320</v>
      </c>
      <c r="AW14" s="168" t="s">
        <v>331</v>
      </c>
      <c r="AX14" s="169" t="s">
        <v>323</v>
      </c>
      <c r="AY14" s="162">
        <f>AY4*0.3</f>
        <v>3.8896079116026903E-2</v>
      </c>
      <c r="AZ14" s="168" t="s">
        <v>322</v>
      </c>
      <c r="BB14" s="81" t="s">
        <v>397</v>
      </c>
      <c r="BC14" s="167">
        <v>0.156</v>
      </c>
      <c r="BD14" s="167">
        <v>1.4499999999999999E-3</v>
      </c>
      <c r="BE14" s="81">
        <v>107.8</v>
      </c>
      <c r="BF14" s="81" t="s">
        <v>388</v>
      </c>
      <c r="BI14" s="175" t="s">
        <v>319</v>
      </c>
      <c r="BJ14" s="175" t="s">
        <v>320</v>
      </c>
      <c r="BK14" s="175" t="s">
        <v>331</v>
      </c>
      <c r="BL14" s="175" t="s">
        <v>323</v>
      </c>
      <c r="BM14" s="174">
        <f>BC27</f>
        <v>0.11700000000000001</v>
      </c>
      <c r="BN14" s="175" t="s">
        <v>322</v>
      </c>
      <c r="BP14" s="81" t="s">
        <v>397</v>
      </c>
      <c r="BQ14" s="167">
        <v>0.20300000000000001</v>
      </c>
      <c r="BR14" s="167">
        <v>1.14E-3</v>
      </c>
      <c r="BS14" s="81">
        <v>177.92</v>
      </c>
      <c r="BT14" s="81" t="s">
        <v>422</v>
      </c>
      <c r="BU14" s="167">
        <v>2E-16</v>
      </c>
      <c r="BV14" s="81" t="s">
        <v>389</v>
      </c>
      <c r="BX14" s="178" t="s">
        <v>319</v>
      </c>
      <c r="BY14" s="178" t="s">
        <v>320</v>
      </c>
      <c r="BZ14" s="178" t="s">
        <v>330</v>
      </c>
      <c r="CA14" s="178" t="s">
        <v>323</v>
      </c>
      <c r="CB14" s="179">
        <v>0</v>
      </c>
      <c r="CC14" s="178" t="s">
        <v>322</v>
      </c>
      <c r="CN14" s="81" t="s">
        <v>332</v>
      </c>
      <c r="CO14" s="254">
        <f t="shared" si="0"/>
        <v>8.7005307728079531E-2</v>
      </c>
      <c r="CP14" s="254">
        <f t="shared" si="1"/>
        <v>0.22500000000000001</v>
      </c>
      <c r="CQ14" s="254">
        <f t="shared" si="2"/>
        <v>0.13700000000000001</v>
      </c>
      <c r="CT14" s="258" t="s">
        <v>442</v>
      </c>
      <c r="CU14" s="258" t="s">
        <v>445</v>
      </c>
      <c r="CV14" s="259">
        <v>6.6000000000000003E-2</v>
      </c>
      <c r="CW14" s="259">
        <v>1.64E-3</v>
      </c>
      <c r="CX14" s="258">
        <v>40.28</v>
      </c>
      <c r="CY14" s="258" t="s">
        <v>422</v>
      </c>
      <c r="CZ14" s="167">
        <v>2E-16</v>
      </c>
      <c r="DA14" s="81" t="s">
        <v>389</v>
      </c>
      <c r="DB14" s="260" t="s">
        <v>467</v>
      </c>
      <c r="DC14" s="265" t="s">
        <v>477</v>
      </c>
      <c r="DD14" s="261" t="s">
        <v>323</v>
      </c>
      <c r="DE14" s="262">
        <f t="shared" si="10"/>
        <v>0.80900000000000005</v>
      </c>
      <c r="DF14" s="260" t="s">
        <v>322</v>
      </c>
      <c r="DH14" s="308" t="s">
        <v>442</v>
      </c>
      <c r="DI14" s="308" t="s">
        <v>445</v>
      </c>
      <c r="DJ14" s="312">
        <v>6.6000000000000003E-2</v>
      </c>
      <c r="DK14" s="312">
        <v>1.64E-3</v>
      </c>
      <c r="DL14" s="308">
        <v>40.28</v>
      </c>
      <c r="DM14" s="308" t="s">
        <v>422</v>
      </c>
      <c r="DN14" s="312">
        <v>2E-16</v>
      </c>
      <c r="DO14" s="308" t="s">
        <v>389</v>
      </c>
      <c r="DP14" s="309" t="s">
        <v>467</v>
      </c>
      <c r="DQ14" s="315" t="s">
        <v>477</v>
      </c>
      <c r="DR14" s="310" t="s">
        <v>323</v>
      </c>
      <c r="DS14" s="311">
        <f t="shared" si="11"/>
        <v>0.80900000000000005</v>
      </c>
      <c r="DT14" s="309" t="s">
        <v>322</v>
      </c>
    </row>
    <row r="15" spans="1:124" ht="15" customHeight="1" thickTop="1" thickBot="1" x14ac:dyDescent="0.3">
      <c r="A15" s="188"/>
      <c r="B15" s="189"/>
      <c r="C15" s="189"/>
      <c r="D15" s="204"/>
      <c r="E15" s="189"/>
      <c r="F15" s="189"/>
      <c r="G15" s="189"/>
      <c r="H15" s="190"/>
      <c r="J15" s="81" t="s">
        <v>66</v>
      </c>
      <c r="K15" s="218">
        <v>0</v>
      </c>
      <c r="L15" s="219">
        <v>1</v>
      </c>
      <c r="M15" s="219" t="s">
        <v>20</v>
      </c>
      <c r="N15" s="222">
        <v>0</v>
      </c>
      <c r="O15" s="221"/>
      <c r="P15" s="30">
        <f t="shared" si="5"/>
        <v>0.3127301569316186</v>
      </c>
      <c r="Q15" s="30">
        <f t="shared" si="6"/>
        <v>0</v>
      </c>
      <c r="R15" s="30">
        <f>VLOOKUP(M15,$W$5:$AD$391,8,0)*N25</f>
        <v>4476427.1999999993</v>
      </c>
      <c r="S15" s="30">
        <f>R15/N25</f>
        <v>56951.999999999993</v>
      </c>
      <c r="T15" s="30">
        <f>VLOOKUP(M15,$W$5:$AF$391,10,0)*N25</f>
        <v>1287468</v>
      </c>
      <c r="U15" s="31"/>
      <c r="V15" s="153"/>
      <c r="W15" s="188"/>
      <c r="X15" s="189" t="s">
        <v>271</v>
      </c>
      <c r="Y15" s="189">
        <v>0.1</v>
      </c>
      <c r="Z15" s="189">
        <v>1.1000000000000001</v>
      </c>
      <c r="AA15" s="189">
        <v>1850</v>
      </c>
      <c r="AB15" s="199">
        <v>840</v>
      </c>
      <c r="AC15" s="236">
        <f>Y15/Z15</f>
        <v>9.0909090909090912E-2</v>
      </c>
      <c r="AD15" s="190">
        <f>AA15*AB15*Y15</f>
        <v>155400</v>
      </c>
      <c r="AE15" s="14"/>
      <c r="AF15" s="14"/>
      <c r="AG15" s="14"/>
      <c r="AL15" s="159" t="s">
        <v>319</v>
      </c>
      <c r="AM15" s="81" t="s">
        <v>320</v>
      </c>
      <c r="AN15" s="81" t="s">
        <v>332</v>
      </c>
      <c r="AO15" s="81">
        <f>AO5*0.3</f>
        <v>8.7005307728079531E-2</v>
      </c>
      <c r="AP15" s="81" t="s">
        <v>322</v>
      </c>
      <c r="AQ15" s="167">
        <v>0.1612856</v>
      </c>
      <c r="AU15" s="168" t="s">
        <v>319</v>
      </c>
      <c r="AV15" s="168" t="s">
        <v>320</v>
      </c>
      <c r="AW15" s="168" t="s">
        <v>332</v>
      </c>
      <c r="AX15" s="169" t="s">
        <v>323</v>
      </c>
      <c r="AY15" s="162">
        <f>AY5*0.3</f>
        <v>8.7005307728079531E-2</v>
      </c>
      <c r="AZ15" s="168" t="s">
        <v>322</v>
      </c>
      <c r="BB15" s="81" t="s">
        <v>398</v>
      </c>
      <c r="BC15" s="167">
        <v>9.35E-2</v>
      </c>
      <c r="BD15" s="167">
        <v>1.6000000000000001E-3</v>
      </c>
      <c r="BE15" s="81">
        <v>58.4</v>
      </c>
      <c r="BF15" s="81" t="s">
        <v>388</v>
      </c>
      <c r="BI15" s="175" t="s">
        <v>319</v>
      </c>
      <c r="BJ15" s="175" t="s">
        <v>320</v>
      </c>
      <c r="BK15" s="175" t="s">
        <v>332</v>
      </c>
      <c r="BL15" s="175" t="s">
        <v>323</v>
      </c>
      <c r="BM15" s="174">
        <f>BC28</f>
        <v>0.22500000000000001</v>
      </c>
      <c r="BN15" s="175" t="s">
        <v>322</v>
      </c>
      <c r="BP15" s="81" t="s">
        <v>398</v>
      </c>
      <c r="BQ15" s="167">
        <v>0.11799999999999999</v>
      </c>
      <c r="BR15" s="167">
        <v>5.9500000000000004E-4</v>
      </c>
      <c r="BS15" s="81">
        <v>198</v>
      </c>
      <c r="BT15" s="81" t="s">
        <v>422</v>
      </c>
      <c r="BU15" s="167">
        <v>2E-16</v>
      </c>
      <c r="BV15" s="81" t="s">
        <v>389</v>
      </c>
      <c r="BX15" s="178"/>
      <c r="BY15" s="178"/>
      <c r="BZ15" s="178"/>
      <c r="CA15" s="178"/>
      <c r="CB15" s="179"/>
      <c r="CC15" s="178"/>
      <c r="CN15" s="81" t="s">
        <v>333</v>
      </c>
      <c r="CO15" s="254">
        <f t="shared" si="0"/>
        <v>0.71559473627387593</v>
      </c>
      <c r="CP15" s="254">
        <f t="shared" si="1"/>
        <v>0.46500000000000002</v>
      </c>
      <c r="CQ15" s="254">
        <f t="shared" si="2"/>
        <v>0.76900000000000002</v>
      </c>
      <c r="CT15" s="258" t="s">
        <v>442</v>
      </c>
      <c r="CU15" s="258" t="s">
        <v>446</v>
      </c>
      <c r="CV15" s="259">
        <v>5.6800000000000003E-2</v>
      </c>
      <c r="CW15" s="259">
        <v>1.7700000000000001E-3</v>
      </c>
      <c r="CX15" s="258">
        <v>32.159999999999997</v>
      </c>
      <c r="CY15" s="258" t="s">
        <v>422</v>
      </c>
      <c r="CZ15" s="167">
        <v>2E-16</v>
      </c>
      <c r="DA15" s="81" t="s">
        <v>389</v>
      </c>
      <c r="DB15" s="260" t="s">
        <v>467</v>
      </c>
      <c r="DC15" s="265" t="s">
        <v>478</v>
      </c>
      <c r="DD15" s="261" t="s">
        <v>323</v>
      </c>
      <c r="DE15" s="262">
        <f t="shared" si="10"/>
        <v>8.4500000000000006E-2</v>
      </c>
      <c r="DF15" s="260" t="s">
        <v>322</v>
      </c>
      <c r="DH15" s="308" t="s">
        <v>442</v>
      </c>
      <c r="DI15" s="308" t="s">
        <v>446</v>
      </c>
      <c r="DJ15" s="312">
        <v>5.6800000000000003E-2</v>
      </c>
      <c r="DK15" s="312">
        <v>1.7700000000000001E-3</v>
      </c>
      <c r="DL15" s="308">
        <v>32.159999999999997</v>
      </c>
      <c r="DM15" s="308" t="s">
        <v>422</v>
      </c>
      <c r="DN15" s="312">
        <v>2E-16</v>
      </c>
      <c r="DO15" s="308" t="s">
        <v>389</v>
      </c>
      <c r="DP15" s="309" t="s">
        <v>467</v>
      </c>
      <c r="DQ15" s="315" t="s">
        <v>478</v>
      </c>
      <c r="DR15" s="310" t="s">
        <v>323</v>
      </c>
      <c r="DS15" s="311">
        <f t="shared" si="11"/>
        <v>8.4500000000000006E-2</v>
      </c>
      <c r="DT15" s="309" t="s">
        <v>322</v>
      </c>
    </row>
    <row r="16" spans="1:124" ht="15" customHeight="1" thickTop="1" thickBot="1" x14ac:dyDescent="0.3">
      <c r="A16" s="205"/>
      <c r="B16" s="187"/>
      <c r="C16" s="187"/>
      <c r="D16" s="194" t="s">
        <v>69</v>
      </c>
      <c r="E16" s="189"/>
      <c r="F16" s="206">
        <f>B4/B26</f>
        <v>1.8014791747761778</v>
      </c>
      <c r="G16" s="199" t="s">
        <v>70</v>
      </c>
      <c r="H16" s="190"/>
      <c r="J16" s="81" t="s">
        <v>67</v>
      </c>
      <c r="K16" s="218">
        <v>0</v>
      </c>
      <c r="L16" s="219">
        <v>1</v>
      </c>
      <c r="M16" s="219" t="s">
        <v>68</v>
      </c>
      <c r="N16" s="220">
        <f>'Tabula data'!B20</f>
        <v>9.5</v>
      </c>
      <c r="O16" s="221"/>
      <c r="P16" s="30">
        <f t="shared" si="5"/>
        <v>4</v>
      </c>
      <c r="Q16" s="30">
        <f t="shared" si="6"/>
        <v>38</v>
      </c>
      <c r="R16" s="30">
        <f t="shared" ref="R16:R27" si="15">VLOOKUP(M16,$W$5:$AD$391,8,0)*N16</f>
        <v>346940</v>
      </c>
      <c r="S16" s="30">
        <f t="shared" ref="S16:S27" si="16">R16/N16</f>
        <v>36520</v>
      </c>
      <c r="T16" s="30">
        <f t="shared" ref="T16:T27" si="17">VLOOKUP(M16,$W$5:$AF$391,10,0)*N16</f>
        <v>0</v>
      </c>
      <c r="U16" s="31"/>
      <c r="V16" s="153"/>
      <c r="W16" s="188"/>
      <c r="X16" s="189" t="s">
        <v>272</v>
      </c>
      <c r="Y16" s="189">
        <v>0</v>
      </c>
      <c r="Z16" s="189">
        <v>1</v>
      </c>
      <c r="AA16" s="189">
        <v>1800</v>
      </c>
      <c r="AB16" s="189">
        <v>1000</v>
      </c>
      <c r="AC16" s="236">
        <v>0</v>
      </c>
      <c r="AD16" s="190">
        <f>Y16*AA16*AB16</f>
        <v>0</v>
      </c>
      <c r="AE16" s="14"/>
      <c r="AF16" s="14"/>
      <c r="AG16" s="14"/>
      <c r="AL16" s="159" t="s">
        <v>319</v>
      </c>
      <c r="AM16" s="81" t="s">
        <v>320</v>
      </c>
      <c r="AN16" s="81" t="s">
        <v>333</v>
      </c>
      <c r="AO16" s="81">
        <f>AO6*0.3+0.7</f>
        <v>0.71559473627387593</v>
      </c>
      <c r="AP16" s="81" t="s">
        <v>322</v>
      </c>
      <c r="AQ16" s="167">
        <v>0.64236059999999995</v>
      </c>
      <c r="AU16" s="168" t="s">
        <v>319</v>
      </c>
      <c r="AV16" s="168" t="s">
        <v>320</v>
      </c>
      <c r="AW16" s="168" t="s">
        <v>333</v>
      </c>
      <c r="AX16" s="169" t="s">
        <v>323</v>
      </c>
      <c r="AY16" s="162">
        <f>AY6*0.3+0.7</f>
        <v>0.71559473627387593</v>
      </c>
      <c r="AZ16" s="168" t="s">
        <v>322</v>
      </c>
      <c r="BB16" s="81" t="s">
        <v>308</v>
      </c>
      <c r="BC16" s="167">
        <v>13100000</v>
      </c>
      <c r="BD16" s="167">
        <v>252000</v>
      </c>
      <c r="BE16" s="81">
        <v>51.84</v>
      </c>
      <c r="BF16" s="81" t="s">
        <v>388</v>
      </c>
      <c r="BI16" s="175" t="s">
        <v>319</v>
      </c>
      <c r="BJ16" s="175" t="s">
        <v>320</v>
      </c>
      <c r="BK16" s="175" t="s">
        <v>333</v>
      </c>
      <c r="BL16" s="175" t="s">
        <v>323</v>
      </c>
      <c r="BM16" s="174">
        <f>BC29</f>
        <v>0.46500000000000002</v>
      </c>
      <c r="BN16" s="175" t="s">
        <v>322</v>
      </c>
      <c r="BP16" s="81" t="s">
        <v>308</v>
      </c>
      <c r="BQ16" s="167">
        <v>812000000</v>
      </c>
      <c r="BR16" s="167">
        <v>25300000</v>
      </c>
      <c r="BS16" s="81">
        <v>32.119999999999997</v>
      </c>
      <c r="BT16" s="81" t="s">
        <v>422</v>
      </c>
      <c r="BU16" s="167">
        <v>2E-16</v>
      </c>
      <c r="BV16" s="81" t="s">
        <v>389</v>
      </c>
      <c r="BX16" s="178" t="s">
        <v>319</v>
      </c>
      <c r="BY16" s="178" t="s">
        <v>320</v>
      </c>
      <c r="BZ16" s="178" t="s">
        <v>331</v>
      </c>
      <c r="CA16" s="178" t="s">
        <v>323</v>
      </c>
      <c r="CB16" s="177">
        <f>BQ27</f>
        <v>7.0400000000000004E-2</v>
      </c>
      <c r="CC16" s="178" t="s">
        <v>322</v>
      </c>
      <c r="CN16" s="81" t="s">
        <v>334</v>
      </c>
      <c r="CO16" s="254">
        <f t="shared" si="0"/>
        <v>7.9251938441008821E-2</v>
      </c>
      <c r="CP16" s="254">
        <f t="shared" si="1"/>
        <v>0.11</v>
      </c>
      <c r="CQ16" s="254">
        <f t="shared" si="2"/>
        <v>7.2499999999999995E-2</v>
      </c>
      <c r="CT16" s="258" t="s">
        <v>442</v>
      </c>
      <c r="CU16" s="258" t="s">
        <v>447</v>
      </c>
      <c r="CV16" s="259">
        <v>0.503</v>
      </c>
      <c r="CW16" s="259">
        <v>1.2699999999999999E-2</v>
      </c>
      <c r="CX16" s="258">
        <v>39.74</v>
      </c>
      <c r="CY16" s="258" t="s">
        <v>422</v>
      </c>
      <c r="CZ16" s="167">
        <v>2E-16</v>
      </c>
      <c r="DA16" s="81" t="s">
        <v>389</v>
      </c>
      <c r="DB16" s="260" t="s">
        <v>467</v>
      </c>
      <c r="DC16" s="265" t="s">
        <v>479</v>
      </c>
      <c r="DD16" s="261" t="s">
        <v>323</v>
      </c>
      <c r="DE16" s="262">
        <f t="shared" si="10"/>
        <v>0.153</v>
      </c>
      <c r="DF16" s="260" t="s">
        <v>322</v>
      </c>
      <c r="DH16" s="308" t="s">
        <v>442</v>
      </c>
      <c r="DI16" s="308" t="s">
        <v>447</v>
      </c>
      <c r="DJ16" s="312">
        <v>0.503</v>
      </c>
      <c r="DK16" s="312">
        <v>1.2699999999999999E-2</v>
      </c>
      <c r="DL16" s="308">
        <v>39.74</v>
      </c>
      <c r="DM16" s="308" t="s">
        <v>422</v>
      </c>
      <c r="DN16" s="312">
        <v>2E-16</v>
      </c>
      <c r="DO16" s="308" t="s">
        <v>389</v>
      </c>
      <c r="DP16" s="309" t="s">
        <v>467</v>
      </c>
      <c r="DQ16" s="315" t="s">
        <v>479</v>
      </c>
      <c r="DR16" s="310" t="s">
        <v>323</v>
      </c>
      <c r="DS16" s="311">
        <f t="shared" si="11"/>
        <v>0.153</v>
      </c>
      <c r="DT16" s="309" t="s">
        <v>322</v>
      </c>
    </row>
    <row r="17" spans="1:124" ht="15" customHeight="1" thickTop="1" thickBot="1" x14ac:dyDescent="0.3">
      <c r="A17" s="191" t="s">
        <v>73</v>
      </c>
      <c r="B17" s="192">
        <v>0</v>
      </c>
      <c r="C17" s="202" t="s">
        <v>9</v>
      </c>
      <c r="D17" s="194" t="s">
        <v>74</v>
      </c>
      <c r="E17" s="189"/>
      <c r="F17" s="206">
        <f>B26/B23</f>
        <v>1.5264408793820556</v>
      </c>
      <c r="G17" s="199"/>
      <c r="H17" s="190"/>
      <c r="J17" s="81" t="s">
        <v>71</v>
      </c>
      <c r="K17" s="218">
        <v>0</v>
      </c>
      <c r="L17" s="219">
        <v>2</v>
      </c>
      <c r="M17" s="219" t="s">
        <v>25</v>
      </c>
      <c r="N17" s="220">
        <f>'Tabula data'!B10*'Tabula Ref1'!C42/2*(1-'Tabula Ref1'!C43)</f>
        <v>26.085502079619726</v>
      </c>
      <c r="O17" s="221" t="s">
        <v>26</v>
      </c>
      <c r="P17" s="30">
        <f t="shared" si="5"/>
        <v>0.31684206193169995</v>
      </c>
      <c r="Q17" s="30">
        <f t="shared" si="6"/>
        <v>8.2649842654303605</v>
      </c>
      <c r="R17" s="30">
        <f t="shared" si="15"/>
        <v>8847582.7747326195</v>
      </c>
      <c r="S17" s="30">
        <f t="shared" si="16"/>
        <v>339176.25</v>
      </c>
      <c r="T17" s="30">
        <f t="shared" si="17"/>
        <v>4721997.5864527635</v>
      </c>
      <c r="U17" s="31"/>
      <c r="V17" s="153"/>
      <c r="W17" s="188"/>
      <c r="X17" s="189" t="s">
        <v>273</v>
      </c>
      <c r="Y17" s="189">
        <v>6.25E-2</v>
      </c>
      <c r="Z17" s="189">
        <v>2.4E-2</v>
      </c>
      <c r="AA17" s="189">
        <v>30</v>
      </c>
      <c r="AB17" s="189">
        <v>1470</v>
      </c>
      <c r="AC17" s="236">
        <f>Y17/Z17</f>
        <v>2.6041666666666665</v>
      </c>
      <c r="AD17" s="190">
        <f>Y17*AA17*AB17</f>
        <v>2756.25</v>
      </c>
      <c r="AE17" s="149" t="s">
        <v>274</v>
      </c>
      <c r="AF17" s="14"/>
      <c r="AG17" s="14"/>
      <c r="AL17" s="159" t="s">
        <v>319</v>
      </c>
      <c r="AM17" s="81" t="s">
        <v>320</v>
      </c>
      <c r="AN17" s="81" t="s">
        <v>334</v>
      </c>
      <c r="AO17" s="81">
        <f>AO7*0.3</f>
        <v>7.9251938441008821E-2</v>
      </c>
      <c r="AP17" s="81" t="s">
        <v>322</v>
      </c>
      <c r="AQ17" s="167">
        <v>6.4977720000000003E-2</v>
      </c>
      <c r="AU17" s="168" t="s">
        <v>319</v>
      </c>
      <c r="AV17" s="168" t="s">
        <v>320</v>
      </c>
      <c r="AW17" s="168" t="s">
        <v>334</v>
      </c>
      <c r="AX17" s="169" t="s">
        <v>323</v>
      </c>
      <c r="AY17" s="162">
        <f>AY7*0.3</f>
        <v>7.9251938441008821E-2</v>
      </c>
      <c r="AZ17" s="168" t="s">
        <v>322</v>
      </c>
      <c r="BI17" s="175" t="s">
        <v>319</v>
      </c>
      <c r="BJ17" s="175" t="s">
        <v>320</v>
      </c>
      <c r="BK17" s="175" t="s">
        <v>334</v>
      </c>
      <c r="BL17" s="175" t="s">
        <v>323</v>
      </c>
      <c r="BM17" s="174">
        <f>BC30</f>
        <v>0.11</v>
      </c>
      <c r="BN17" s="175" t="s">
        <v>322</v>
      </c>
      <c r="BX17" s="178" t="s">
        <v>319</v>
      </c>
      <c r="BY17" s="178" t="s">
        <v>320</v>
      </c>
      <c r="BZ17" s="178" t="s">
        <v>332</v>
      </c>
      <c r="CA17" s="178" t="s">
        <v>323</v>
      </c>
      <c r="CB17" s="177">
        <f t="shared" ref="CB17:CB19" si="18">BQ28</f>
        <v>0.13700000000000001</v>
      </c>
      <c r="CC17" s="178" t="s">
        <v>322</v>
      </c>
      <c r="CO17" s="255"/>
      <c r="CP17" s="255"/>
      <c r="CQ17" s="255"/>
      <c r="CT17" s="258" t="s">
        <v>442</v>
      </c>
      <c r="CU17" s="258" t="s">
        <v>342</v>
      </c>
      <c r="CV17" s="259">
        <v>0.54600000000000004</v>
      </c>
      <c r="CW17" s="259">
        <v>3.2099999999999997E-2</v>
      </c>
      <c r="CX17" s="258">
        <v>17.02</v>
      </c>
      <c r="CY17" s="258" t="s">
        <v>422</v>
      </c>
      <c r="CZ17" s="167">
        <v>2E-16</v>
      </c>
      <c r="DA17" s="81" t="s">
        <v>389</v>
      </c>
      <c r="DB17" s="260" t="s">
        <v>467</v>
      </c>
      <c r="DC17" s="265" t="s">
        <v>480</v>
      </c>
      <c r="DD17" s="261" t="s">
        <v>323</v>
      </c>
      <c r="DE17" s="262">
        <f t="shared" si="10"/>
        <v>0.17399999999999999</v>
      </c>
      <c r="DF17" s="260" t="s">
        <v>322</v>
      </c>
      <c r="DH17" s="308" t="s">
        <v>442</v>
      </c>
      <c r="DI17" s="308" t="s">
        <v>342</v>
      </c>
      <c r="DJ17" s="312">
        <v>0.54600000000000004</v>
      </c>
      <c r="DK17" s="312">
        <v>3.2099999999999997E-2</v>
      </c>
      <c r="DL17" s="308">
        <v>17.02</v>
      </c>
      <c r="DM17" s="308" t="s">
        <v>422</v>
      </c>
      <c r="DN17" s="312">
        <v>2E-16</v>
      </c>
      <c r="DO17" s="308" t="s">
        <v>389</v>
      </c>
      <c r="DP17" s="309" t="s">
        <v>467</v>
      </c>
      <c r="DQ17" s="315" t="s">
        <v>480</v>
      </c>
      <c r="DR17" s="310" t="s">
        <v>323</v>
      </c>
      <c r="DS17" s="311">
        <f t="shared" si="11"/>
        <v>0.17399999999999999</v>
      </c>
      <c r="DT17" s="309" t="s">
        <v>322</v>
      </c>
    </row>
    <row r="18" spans="1:124" ht="15" customHeight="1" thickTop="1" thickBot="1" x14ac:dyDescent="0.3">
      <c r="A18" s="188" t="s">
        <v>77</v>
      </c>
      <c r="B18" s="189">
        <v>0</v>
      </c>
      <c r="C18" s="189"/>
      <c r="D18" s="194" t="s">
        <v>78</v>
      </c>
      <c r="E18" s="189"/>
      <c r="F18" s="206">
        <f>B26/B6</f>
        <v>1.5264408793820556</v>
      </c>
      <c r="G18" s="199"/>
      <c r="H18" s="190"/>
      <c r="J18" s="81" t="s">
        <v>75</v>
      </c>
      <c r="K18" s="218">
        <v>0</v>
      </c>
      <c r="L18" s="219">
        <v>2</v>
      </c>
      <c r="M18" s="219" t="s">
        <v>25</v>
      </c>
      <c r="N18" s="220">
        <f>'Tabula data'!B10*(1-'Tabula Ref1'!C42)/2*(1-'Tabula Ref1'!C44)</f>
        <v>0</v>
      </c>
      <c r="O18" s="221" t="s">
        <v>39</v>
      </c>
      <c r="P18" s="30">
        <f t="shared" si="5"/>
        <v>0.31684206193169995</v>
      </c>
      <c r="Q18" s="30">
        <f t="shared" si="6"/>
        <v>0</v>
      </c>
      <c r="R18" s="30">
        <f t="shared" si="15"/>
        <v>0</v>
      </c>
      <c r="S18" s="30" t="e">
        <f t="shared" si="16"/>
        <v>#DIV/0!</v>
      </c>
      <c r="T18" s="30">
        <f t="shared" si="17"/>
        <v>0</v>
      </c>
      <c r="U18" s="31"/>
      <c r="V18" s="153"/>
      <c r="W18" s="188"/>
      <c r="X18" s="199" t="s">
        <v>275</v>
      </c>
      <c r="Y18" s="189">
        <v>0.14000000000000001</v>
      </c>
      <c r="Z18" s="189">
        <v>0.54</v>
      </c>
      <c r="AA18" s="189">
        <v>1400</v>
      </c>
      <c r="AB18" s="199">
        <v>840</v>
      </c>
      <c r="AC18" s="236">
        <f>Y18/Z18</f>
        <v>0.25925925925925924</v>
      </c>
      <c r="AD18" s="190">
        <f>Y18*AA18*AB18</f>
        <v>164640.00000000003</v>
      </c>
      <c r="AE18" s="14" t="s">
        <v>276</v>
      </c>
      <c r="AF18" s="14"/>
      <c r="AG18" s="14"/>
      <c r="AP18" s="81" t="s">
        <v>322</v>
      </c>
      <c r="AQ18" s="167"/>
      <c r="AU18" s="168"/>
      <c r="AV18" s="168"/>
      <c r="AW18" s="168"/>
      <c r="AX18" s="169"/>
      <c r="AZ18" s="168"/>
      <c r="BB18" s="81" t="s">
        <v>304</v>
      </c>
      <c r="BC18" s="167">
        <v>15600000</v>
      </c>
      <c r="BD18" s="167">
        <v>67000</v>
      </c>
      <c r="BE18" s="81">
        <v>232.84</v>
      </c>
      <c r="BF18" s="81" t="s">
        <v>388</v>
      </c>
      <c r="BI18" s="175"/>
      <c r="BJ18" s="175"/>
      <c r="BK18" s="175"/>
      <c r="BL18" s="175"/>
      <c r="BM18" s="174"/>
      <c r="BN18" s="175"/>
      <c r="BP18" s="81" t="s">
        <v>304</v>
      </c>
      <c r="BQ18" s="167">
        <v>15000000</v>
      </c>
      <c r="BR18" s="167">
        <v>733000</v>
      </c>
      <c r="BS18" s="81">
        <v>20.420000000000002</v>
      </c>
      <c r="BT18" s="81" t="s">
        <v>422</v>
      </c>
      <c r="BU18" s="167">
        <v>2E-16</v>
      </c>
      <c r="BV18" s="81" t="s">
        <v>389</v>
      </c>
      <c r="BX18" s="178" t="s">
        <v>319</v>
      </c>
      <c r="BY18" s="178" t="s">
        <v>320</v>
      </c>
      <c r="BZ18" s="178" t="s">
        <v>333</v>
      </c>
      <c r="CA18" s="178" t="s">
        <v>323</v>
      </c>
      <c r="CB18" s="177">
        <f t="shared" si="18"/>
        <v>0.76900000000000002</v>
      </c>
      <c r="CC18" s="178" t="s">
        <v>322</v>
      </c>
      <c r="CN18" s="81" t="s">
        <v>335</v>
      </c>
      <c r="CO18" s="257">
        <f t="shared" si="0"/>
        <v>112.16148637549965</v>
      </c>
      <c r="CP18" s="257">
        <f t="shared" si="1"/>
        <v>637</v>
      </c>
      <c r="CQ18" s="257">
        <f t="shared" si="2"/>
        <v>278</v>
      </c>
      <c r="CT18" s="258" t="s">
        <v>442</v>
      </c>
      <c r="CU18" s="258" t="s">
        <v>448</v>
      </c>
      <c r="CV18" s="259">
        <v>0.44400000000000001</v>
      </c>
      <c r="CW18" s="259">
        <v>6.8999999999999999E-3</v>
      </c>
      <c r="CX18" s="258">
        <v>64.349999999999994</v>
      </c>
      <c r="CY18" s="258" t="s">
        <v>422</v>
      </c>
      <c r="CZ18" s="167">
        <v>2E-16</v>
      </c>
      <c r="DA18" s="81" t="s">
        <v>389</v>
      </c>
      <c r="DB18" s="260" t="s">
        <v>467</v>
      </c>
      <c r="DC18" s="265" t="s">
        <v>481</v>
      </c>
      <c r="DD18" s="261" t="s">
        <v>323</v>
      </c>
      <c r="DE18" s="262">
        <f t="shared" si="10"/>
        <v>0.122</v>
      </c>
      <c r="DF18" s="260" t="s">
        <v>322</v>
      </c>
      <c r="DH18" s="308" t="s">
        <v>442</v>
      </c>
      <c r="DI18" s="308" t="s">
        <v>448</v>
      </c>
      <c r="DJ18" s="312">
        <v>0.44400000000000001</v>
      </c>
      <c r="DK18" s="312">
        <v>6.8999999999999999E-3</v>
      </c>
      <c r="DL18" s="308">
        <v>64.349999999999994</v>
      </c>
      <c r="DM18" s="308" t="s">
        <v>422</v>
      </c>
      <c r="DN18" s="312">
        <v>2E-16</v>
      </c>
      <c r="DO18" s="308" t="s">
        <v>389</v>
      </c>
      <c r="DP18" s="309" t="s">
        <v>467</v>
      </c>
      <c r="DQ18" s="315" t="s">
        <v>481</v>
      </c>
      <c r="DR18" s="310" t="s">
        <v>323</v>
      </c>
      <c r="DS18" s="311">
        <f t="shared" si="11"/>
        <v>0.122</v>
      </c>
      <c r="DT18" s="309" t="s">
        <v>322</v>
      </c>
    </row>
    <row r="19" spans="1:124" ht="15" customHeight="1" thickTop="1" thickBot="1" x14ac:dyDescent="0.3">
      <c r="A19" s="188" t="s">
        <v>81</v>
      </c>
      <c r="B19" s="197">
        <f>B17-B18</f>
        <v>0</v>
      </c>
      <c r="C19" s="189"/>
      <c r="D19" s="204"/>
      <c r="E19" s="199"/>
      <c r="F19" s="199"/>
      <c r="G19" s="199"/>
      <c r="H19" s="198"/>
      <c r="J19" s="81" t="s">
        <v>79</v>
      </c>
      <c r="K19" s="218">
        <v>0</v>
      </c>
      <c r="L19" s="219">
        <v>2</v>
      </c>
      <c r="M19" s="219" t="s">
        <v>25</v>
      </c>
      <c r="N19" s="220">
        <f>'Tabula data'!B10*'Tabula Ref1'!C42/2*(1-'Tabula Ref1'!C43)</f>
        <v>26.085502079619726</v>
      </c>
      <c r="O19" s="221" t="s">
        <v>45</v>
      </c>
      <c r="P19" s="30">
        <f t="shared" si="5"/>
        <v>0.31684206193169995</v>
      </c>
      <c r="Q19" s="30">
        <f t="shared" si="6"/>
        <v>8.2649842654303605</v>
      </c>
      <c r="R19" s="30">
        <f t="shared" si="15"/>
        <v>8847582.7747326195</v>
      </c>
      <c r="S19" s="30">
        <f t="shared" si="16"/>
        <v>339176.25</v>
      </c>
      <c r="T19" s="30">
        <f t="shared" si="17"/>
        <v>4721997.5864527635</v>
      </c>
      <c r="U19" s="31"/>
      <c r="V19" s="153"/>
      <c r="W19" s="205"/>
      <c r="X19" s="187" t="s">
        <v>277</v>
      </c>
      <c r="Y19" s="187">
        <v>0.02</v>
      </c>
      <c r="Z19" s="187">
        <v>0.6</v>
      </c>
      <c r="AA19" s="187">
        <v>975</v>
      </c>
      <c r="AB19" s="187">
        <v>840</v>
      </c>
      <c r="AC19" s="237">
        <f>Y19/Z19</f>
        <v>3.3333333333333333E-2</v>
      </c>
      <c r="AD19" s="210">
        <f>Y19*AA19*AB19</f>
        <v>16380</v>
      </c>
      <c r="AE19" s="14"/>
      <c r="AF19" s="14"/>
      <c r="AG19" s="14"/>
      <c r="AL19" s="159" t="s">
        <v>319</v>
      </c>
      <c r="AM19" s="81" t="s">
        <v>320</v>
      </c>
      <c r="AN19" s="81" t="s">
        <v>335</v>
      </c>
      <c r="AO19" s="85">
        <f>SUM(N6:N9)*(1/(SUM(AC18:AC19)*0.5+1/8))</f>
        <v>112.16148637549965</v>
      </c>
      <c r="AP19" s="81" t="s">
        <v>322</v>
      </c>
      <c r="AQ19" s="167">
        <v>298.59179999999998</v>
      </c>
      <c r="AU19" s="168" t="s">
        <v>319</v>
      </c>
      <c r="AV19" s="168" t="s">
        <v>320</v>
      </c>
      <c r="AW19" s="168" t="s">
        <v>335</v>
      </c>
      <c r="AX19" s="169" t="s">
        <v>323</v>
      </c>
      <c r="AY19" s="162">
        <f>AO19</f>
        <v>112.16148637549965</v>
      </c>
      <c r="AZ19" s="168" t="s">
        <v>322</v>
      </c>
      <c r="BB19" s="81" t="s">
        <v>399</v>
      </c>
      <c r="BC19" s="167">
        <v>2950000</v>
      </c>
      <c r="BD19" s="167">
        <v>42900</v>
      </c>
      <c r="BE19" s="81">
        <v>68.739999999999995</v>
      </c>
      <c r="BF19" s="81" t="s">
        <v>388</v>
      </c>
      <c r="BI19" s="175" t="s">
        <v>319</v>
      </c>
      <c r="BJ19" s="175" t="s">
        <v>320</v>
      </c>
      <c r="BK19" s="175" t="s">
        <v>335</v>
      </c>
      <c r="BL19" s="175" t="s">
        <v>323</v>
      </c>
      <c r="BM19" s="181">
        <f>BC32</f>
        <v>637</v>
      </c>
      <c r="BN19" s="175" t="s">
        <v>322</v>
      </c>
      <c r="BP19" s="81" t="s">
        <v>399</v>
      </c>
      <c r="BQ19" s="167">
        <v>3560000</v>
      </c>
      <c r="BR19" s="167">
        <v>405000</v>
      </c>
      <c r="BS19" s="81">
        <v>8.81</v>
      </c>
      <c r="BT19" s="81" t="s">
        <v>422</v>
      </c>
      <c r="BU19" s="167">
        <v>2E-16</v>
      </c>
      <c r="BV19" s="81" t="s">
        <v>389</v>
      </c>
      <c r="BX19" s="178" t="s">
        <v>319</v>
      </c>
      <c r="BY19" s="178" t="s">
        <v>320</v>
      </c>
      <c r="BZ19" s="178" t="s">
        <v>334</v>
      </c>
      <c r="CA19" s="178" t="s">
        <v>323</v>
      </c>
      <c r="CB19" s="177">
        <f t="shared" si="18"/>
        <v>7.2499999999999995E-2</v>
      </c>
      <c r="CC19" s="178" t="s">
        <v>322</v>
      </c>
      <c r="CN19" s="81" t="s">
        <v>336</v>
      </c>
      <c r="CO19" s="257">
        <f t="shared" si="0"/>
        <v>257.82178217821786</v>
      </c>
      <c r="CP19" s="257">
        <f t="shared" si="1"/>
        <v>795</v>
      </c>
      <c r="CQ19" s="257">
        <f t="shared" si="2"/>
        <v>215</v>
      </c>
      <c r="CT19" s="258" t="s">
        <v>442</v>
      </c>
      <c r="CU19" s="258" t="s">
        <v>449</v>
      </c>
      <c r="CV19" s="259">
        <v>0.48399999999999999</v>
      </c>
      <c r="CW19" s="259">
        <v>7.9299999999999995E-3</v>
      </c>
      <c r="CX19" s="258">
        <v>61.04</v>
      </c>
      <c r="CY19" s="258" t="s">
        <v>422</v>
      </c>
      <c r="CZ19" s="167">
        <v>2E-16</v>
      </c>
      <c r="DA19" s="81" t="s">
        <v>389</v>
      </c>
      <c r="DB19" s="260" t="s">
        <v>467</v>
      </c>
      <c r="DC19" s="263" t="s">
        <v>482</v>
      </c>
      <c r="DD19" s="261" t="s">
        <v>323</v>
      </c>
      <c r="DE19" s="262">
        <f t="shared" si="10"/>
        <v>0.14599999999999999</v>
      </c>
      <c r="DF19" s="260" t="s">
        <v>322</v>
      </c>
      <c r="DH19" s="308" t="s">
        <v>442</v>
      </c>
      <c r="DI19" s="308" t="s">
        <v>449</v>
      </c>
      <c r="DJ19" s="312">
        <v>0.48399999999999999</v>
      </c>
      <c r="DK19" s="312">
        <v>7.9299999999999995E-3</v>
      </c>
      <c r="DL19" s="308">
        <v>61.04</v>
      </c>
      <c r="DM19" s="308" t="s">
        <v>422</v>
      </c>
      <c r="DN19" s="312">
        <v>2E-16</v>
      </c>
      <c r="DO19" s="308" t="s">
        <v>389</v>
      </c>
      <c r="DP19" s="309" t="s">
        <v>467</v>
      </c>
      <c r="DQ19" s="313" t="s">
        <v>482</v>
      </c>
      <c r="DR19" s="310" t="s">
        <v>323</v>
      </c>
      <c r="DS19" s="311">
        <f t="shared" si="11"/>
        <v>0.14599999999999999</v>
      </c>
      <c r="DT19" s="309" t="s">
        <v>322</v>
      </c>
    </row>
    <row r="20" spans="1:124" ht="15" customHeight="1" thickTop="1" thickBot="1" x14ac:dyDescent="0.3">
      <c r="A20" s="188"/>
      <c r="B20" s="189"/>
      <c r="C20" s="189"/>
      <c r="D20" s="194" t="s">
        <v>83</v>
      </c>
      <c r="E20" s="199"/>
      <c r="F20" s="207">
        <f>G4/B23</f>
        <v>0.14497920380273319</v>
      </c>
      <c r="G20" s="199"/>
      <c r="H20" s="190"/>
      <c r="J20" s="81" t="s">
        <v>82</v>
      </c>
      <c r="K20" s="218">
        <v>0</v>
      </c>
      <c r="L20" s="219">
        <v>2</v>
      </c>
      <c r="M20" s="219" t="s">
        <v>25</v>
      </c>
      <c r="N20" s="220">
        <f>'Tabula data'!B10*(1-'Tabula Ref1'!C42)/2*(1-'Tabula Ref1'!C44)</f>
        <v>0</v>
      </c>
      <c r="O20" s="221" t="s">
        <v>50</v>
      </c>
      <c r="P20" s="30">
        <f t="shared" si="5"/>
        <v>0.31684206193169995</v>
      </c>
      <c r="Q20" s="30">
        <f t="shared" si="6"/>
        <v>0</v>
      </c>
      <c r="R20" s="30">
        <f t="shared" si="15"/>
        <v>0</v>
      </c>
      <c r="S20" s="30" t="e">
        <f t="shared" si="16"/>
        <v>#DIV/0!</v>
      </c>
      <c r="T20" s="30">
        <f t="shared" si="17"/>
        <v>0</v>
      </c>
      <c r="U20" s="31"/>
      <c r="V20" s="153"/>
      <c r="W20" s="226"/>
      <c r="X20" s="226"/>
      <c r="Y20" s="226"/>
      <c r="Z20" s="226"/>
      <c r="AA20" s="226"/>
      <c r="AB20" s="226"/>
      <c r="AC20" s="226"/>
      <c r="AD20" s="226"/>
      <c r="AE20" s="14"/>
      <c r="AF20" s="14"/>
      <c r="AG20" s="14"/>
      <c r="AL20" s="159" t="s">
        <v>319</v>
      </c>
      <c r="AM20" s="81" t="s">
        <v>320</v>
      </c>
      <c r="AN20" s="81" t="s">
        <v>336</v>
      </c>
      <c r="AO20" s="85">
        <f>SUM(N14)*1/(0.5*SUM(AC42:AC43)+1/6)</f>
        <v>257.82178217821786</v>
      </c>
      <c r="AP20" s="81" t="s">
        <v>322</v>
      </c>
      <c r="AQ20" s="167">
        <v>278.86439999999999</v>
      </c>
      <c r="AU20" s="168" t="s">
        <v>319</v>
      </c>
      <c r="AV20" s="168" t="s">
        <v>320</v>
      </c>
      <c r="AW20" s="168" t="s">
        <v>336</v>
      </c>
      <c r="AX20" s="169" t="s">
        <v>323</v>
      </c>
      <c r="AY20" s="162">
        <f t="shared" ref="AY20:AY24" si="19">AO20</f>
        <v>257.82178217821786</v>
      </c>
      <c r="AZ20" s="168" t="s">
        <v>322</v>
      </c>
      <c r="BB20" s="81" t="s">
        <v>301</v>
      </c>
      <c r="BC20" s="167">
        <v>23100000</v>
      </c>
      <c r="BD20" s="167">
        <v>232000</v>
      </c>
      <c r="BE20" s="81">
        <v>99.92</v>
      </c>
      <c r="BF20" s="81" t="s">
        <v>388</v>
      </c>
      <c r="BI20" s="175" t="s">
        <v>319</v>
      </c>
      <c r="BJ20" s="175" t="s">
        <v>320</v>
      </c>
      <c r="BK20" s="175" t="s">
        <v>336</v>
      </c>
      <c r="BL20" s="175" t="s">
        <v>323</v>
      </c>
      <c r="BM20" s="181">
        <f>BC33</f>
        <v>795</v>
      </c>
      <c r="BN20" s="175" t="s">
        <v>322</v>
      </c>
      <c r="BP20" s="81" t="s">
        <v>301</v>
      </c>
      <c r="BQ20" s="167">
        <v>32200000</v>
      </c>
      <c r="BR20" s="167">
        <v>1890000</v>
      </c>
      <c r="BS20" s="81">
        <v>17.04</v>
      </c>
      <c r="BT20" s="81" t="s">
        <v>422</v>
      </c>
      <c r="BU20" s="167">
        <v>2E-16</v>
      </c>
      <c r="BV20" s="81" t="s">
        <v>389</v>
      </c>
      <c r="BX20" s="178"/>
      <c r="BY20" s="178"/>
      <c r="BZ20" s="178"/>
      <c r="CA20" s="178"/>
      <c r="CB20" s="177"/>
      <c r="CC20" s="178"/>
      <c r="CN20" s="81" t="s">
        <v>337</v>
      </c>
      <c r="CO20" s="257">
        <f t="shared" si="0"/>
        <v>472.73842669510202</v>
      </c>
      <c r="CP20" s="257">
        <f t="shared" si="1"/>
        <v>1310</v>
      </c>
      <c r="CQ20" s="257">
        <f t="shared" si="2"/>
        <v>457</v>
      </c>
      <c r="CT20" s="258" t="s">
        <v>442</v>
      </c>
      <c r="CU20" s="258" t="s">
        <v>450</v>
      </c>
      <c r="CV20" s="259">
        <v>0.104</v>
      </c>
      <c r="CW20" s="259">
        <v>4.4200000000000003E-2</v>
      </c>
      <c r="CX20" s="258">
        <v>2.36</v>
      </c>
      <c r="CY20" s="258">
        <v>1.7999999999999999E-2</v>
      </c>
      <c r="CZ20" s="81" t="s">
        <v>434</v>
      </c>
      <c r="DB20" s="260" t="s">
        <v>467</v>
      </c>
      <c r="DC20" s="264" t="s">
        <v>483</v>
      </c>
      <c r="DD20" s="261" t="s">
        <v>323</v>
      </c>
      <c r="DE20" s="262">
        <f t="shared" si="10"/>
        <v>0.157</v>
      </c>
      <c r="DF20" s="260" t="s">
        <v>322</v>
      </c>
      <c r="DH20" s="308" t="s">
        <v>442</v>
      </c>
      <c r="DI20" s="308" t="s">
        <v>450</v>
      </c>
      <c r="DJ20" s="312">
        <v>0.104</v>
      </c>
      <c r="DK20" s="312">
        <v>4.4200000000000003E-2</v>
      </c>
      <c r="DL20" s="308">
        <v>2.36</v>
      </c>
      <c r="DM20" s="308">
        <v>1.7999999999999999E-2</v>
      </c>
      <c r="DN20" s="308" t="s">
        <v>434</v>
      </c>
      <c r="DP20" s="309" t="s">
        <v>467</v>
      </c>
      <c r="DQ20" s="314" t="s">
        <v>483</v>
      </c>
      <c r="DR20" s="310" t="s">
        <v>323</v>
      </c>
      <c r="DS20" s="311">
        <f t="shared" si="11"/>
        <v>0.157</v>
      </c>
      <c r="DT20" s="309" t="s">
        <v>322</v>
      </c>
    </row>
    <row r="21" spans="1:124" ht="15" customHeight="1" thickTop="1" thickBot="1" x14ac:dyDescent="0.3">
      <c r="A21" s="188"/>
      <c r="B21" s="189"/>
      <c r="C21" s="189"/>
      <c r="D21" s="194" t="s">
        <v>86</v>
      </c>
      <c r="E21" s="199"/>
      <c r="F21" s="207">
        <f>G4/B6</f>
        <v>0.14497920380273319</v>
      </c>
      <c r="G21" s="199"/>
      <c r="H21" s="190"/>
      <c r="J21" s="81" t="s">
        <v>84</v>
      </c>
      <c r="K21" s="218">
        <v>0</v>
      </c>
      <c r="L21" s="219">
        <v>2</v>
      </c>
      <c r="M21" s="219" t="s">
        <v>54</v>
      </c>
      <c r="N21" s="220">
        <f>H10</f>
        <v>2.85</v>
      </c>
      <c r="O21" s="221" t="s">
        <v>26</v>
      </c>
      <c r="P21" s="30">
        <f t="shared" si="5"/>
        <v>2</v>
      </c>
      <c r="Q21" s="30">
        <f t="shared" si="6"/>
        <v>5.7</v>
      </c>
      <c r="R21" s="30">
        <f t="shared" si="15"/>
        <v>0</v>
      </c>
      <c r="S21" s="30">
        <f t="shared" si="16"/>
        <v>0</v>
      </c>
      <c r="T21" s="30">
        <f t="shared" si="17"/>
        <v>0</v>
      </c>
      <c r="U21" s="31"/>
      <c r="V21" s="153"/>
      <c r="W21" s="228" t="s">
        <v>85</v>
      </c>
      <c r="X21" s="229"/>
      <c r="Y21" s="230" t="s">
        <v>21</v>
      </c>
      <c r="Z21" s="231">
        <f>(1/(1/8+SUM(AC23:AC25)+1/8))</f>
        <v>1.7363344051446945</v>
      </c>
      <c r="AA21" s="229" t="s">
        <v>5</v>
      </c>
      <c r="AB21" s="229"/>
      <c r="AC21" s="229" t="s">
        <v>22</v>
      </c>
      <c r="AD21" s="232">
        <f>SUM(AD23:AD26)</f>
        <v>197400.00000000003</v>
      </c>
      <c r="AE21" s="14" t="s">
        <v>23</v>
      </c>
      <c r="AF21" s="14">
        <f>SUM(AD23:AD25)</f>
        <v>197400.00000000003</v>
      </c>
      <c r="AG21" s="14"/>
      <c r="AL21" s="159" t="s">
        <v>319</v>
      </c>
      <c r="AM21" s="81" t="s">
        <v>320</v>
      </c>
      <c r="AN21" s="81" t="s">
        <v>337</v>
      </c>
      <c r="AO21" s="85">
        <f>4*Z21*N27</f>
        <v>472.73842669510202</v>
      </c>
      <c r="AP21" s="81" t="s">
        <v>322</v>
      </c>
      <c r="AQ21" s="167">
        <v>721.00049999999999</v>
      </c>
      <c r="AU21" s="168" t="s">
        <v>319</v>
      </c>
      <c r="AV21" s="168" t="s">
        <v>320</v>
      </c>
      <c r="AW21" s="168" t="s">
        <v>337</v>
      </c>
      <c r="AX21" s="169" t="s">
        <v>323</v>
      </c>
      <c r="AY21" s="162">
        <f t="shared" si="19"/>
        <v>472.73842669510202</v>
      </c>
      <c r="AZ21" s="168" t="s">
        <v>322</v>
      </c>
      <c r="BB21" s="81" t="s">
        <v>303</v>
      </c>
      <c r="BC21" s="167">
        <v>30400000</v>
      </c>
      <c r="BD21" s="167">
        <v>78800</v>
      </c>
      <c r="BE21" s="81">
        <v>386.04</v>
      </c>
      <c r="BF21" s="81" t="s">
        <v>388</v>
      </c>
      <c r="BI21" s="175" t="s">
        <v>319</v>
      </c>
      <c r="BJ21" s="175" t="s">
        <v>320</v>
      </c>
      <c r="BK21" s="175" t="s">
        <v>337</v>
      </c>
      <c r="BL21" s="175" t="s">
        <v>323</v>
      </c>
      <c r="BM21" s="181">
        <f>BC34</f>
        <v>1310</v>
      </c>
      <c r="BN21" s="175" t="s">
        <v>322</v>
      </c>
      <c r="BP21" s="81" t="s">
        <v>303</v>
      </c>
      <c r="BQ21" s="167">
        <v>25400000</v>
      </c>
      <c r="BR21" s="167">
        <v>316000</v>
      </c>
      <c r="BS21" s="81">
        <v>80.53</v>
      </c>
      <c r="BT21" s="81" t="s">
        <v>422</v>
      </c>
      <c r="BU21" s="167">
        <v>2E-16</v>
      </c>
      <c r="BV21" s="81" t="s">
        <v>389</v>
      </c>
      <c r="BX21" s="178" t="s">
        <v>319</v>
      </c>
      <c r="BY21" s="178" t="s">
        <v>320</v>
      </c>
      <c r="BZ21" s="178" t="s">
        <v>335</v>
      </c>
      <c r="CA21" s="178" t="s">
        <v>323</v>
      </c>
      <c r="CB21" s="180">
        <f>BQ32</f>
        <v>278</v>
      </c>
      <c r="CC21" s="178" t="s">
        <v>322</v>
      </c>
      <c r="CD21" s="167">
        <f>BR32</f>
        <v>2.25</v>
      </c>
      <c r="CN21" s="81" t="s">
        <v>338</v>
      </c>
      <c r="CO21" s="257">
        <f t="shared" si="0"/>
        <v>47.085048484848478</v>
      </c>
      <c r="CP21" s="257">
        <f t="shared" si="1"/>
        <v>253</v>
      </c>
      <c r="CQ21" s="257">
        <f t="shared" si="2"/>
        <v>272</v>
      </c>
      <c r="CT21" s="258" t="s">
        <v>442</v>
      </c>
      <c r="CU21" s="258" t="s">
        <v>343</v>
      </c>
      <c r="CV21" s="259">
        <v>0.80900000000000005</v>
      </c>
      <c r="CW21" s="259">
        <v>7.2099999999999997E-2</v>
      </c>
      <c r="CX21" s="258">
        <v>11.21</v>
      </c>
      <c r="CY21" s="258" t="s">
        <v>422</v>
      </c>
      <c r="CZ21" s="167">
        <v>2E-16</v>
      </c>
      <c r="DA21" s="81" t="s">
        <v>389</v>
      </c>
      <c r="DB21" s="260" t="s">
        <v>467</v>
      </c>
      <c r="DC21" s="264" t="s">
        <v>484</v>
      </c>
      <c r="DD21" s="261" t="s">
        <v>323</v>
      </c>
      <c r="DE21" s="262">
        <f t="shared" si="10"/>
        <v>0.113</v>
      </c>
      <c r="DF21" s="260" t="s">
        <v>322</v>
      </c>
      <c r="DH21" s="308" t="s">
        <v>442</v>
      </c>
      <c r="DI21" s="308" t="s">
        <v>343</v>
      </c>
      <c r="DJ21" s="312">
        <v>0.80900000000000005</v>
      </c>
      <c r="DK21" s="312">
        <v>7.2099999999999997E-2</v>
      </c>
      <c r="DL21" s="308">
        <v>11.21</v>
      </c>
      <c r="DM21" s="308" t="s">
        <v>422</v>
      </c>
      <c r="DN21" s="312">
        <v>2E-16</v>
      </c>
      <c r="DO21" s="308" t="s">
        <v>389</v>
      </c>
      <c r="DP21" s="309" t="s">
        <v>467</v>
      </c>
      <c r="DQ21" s="314" t="s">
        <v>484</v>
      </c>
      <c r="DR21" s="310" t="s">
        <v>323</v>
      </c>
      <c r="DS21" s="311">
        <f t="shared" si="11"/>
        <v>0.113</v>
      </c>
      <c r="DT21" s="309" t="s">
        <v>322</v>
      </c>
    </row>
    <row r="22" spans="1:124" ht="15" customHeight="1" thickTop="1" thickBot="1" x14ac:dyDescent="0.3">
      <c r="A22" s="205"/>
      <c r="B22" s="187"/>
      <c r="C22" s="187"/>
      <c r="D22" s="188" t="s">
        <v>88</v>
      </c>
      <c r="E22" s="189"/>
      <c r="F22" s="195">
        <f>G4/B26</f>
        <v>9.497859089139743E-2</v>
      </c>
      <c r="G22" s="189"/>
      <c r="H22" s="190"/>
      <c r="J22" s="81" t="s">
        <v>87</v>
      </c>
      <c r="K22" s="218">
        <v>0</v>
      </c>
      <c r="L22" s="219">
        <v>2</v>
      </c>
      <c r="M22" s="219" t="s">
        <v>54</v>
      </c>
      <c r="N22" s="220">
        <f>H11</f>
        <v>3.15</v>
      </c>
      <c r="O22" s="221" t="s">
        <v>39</v>
      </c>
      <c r="P22" s="30">
        <f t="shared" si="5"/>
        <v>2</v>
      </c>
      <c r="Q22" s="30">
        <f t="shared" si="6"/>
        <v>6.3</v>
      </c>
      <c r="R22" s="30">
        <f t="shared" si="15"/>
        <v>0</v>
      </c>
      <c r="S22" s="30">
        <f t="shared" si="16"/>
        <v>0</v>
      </c>
      <c r="T22" s="30">
        <f t="shared" si="17"/>
        <v>0</v>
      </c>
      <c r="U22" s="31"/>
      <c r="V22" s="153"/>
      <c r="W22" s="233"/>
      <c r="X22" s="234" t="s">
        <v>27</v>
      </c>
      <c r="Y22" s="234" t="s">
        <v>28</v>
      </c>
      <c r="Z22" s="234" t="s">
        <v>29</v>
      </c>
      <c r="AA22" s="234" t="s">
        <v>30</v>
      </c>
      <c r="AB22" s="234" t="s">
        <v>31</v>
      </c>
      <c r="AC22" s="234" t="s">
        <v>32</v>
      </c>
      <c r="AD22" s="235" t="s">
        <v>33</v>
      </c>
      <c r="AE22" s="14"/>
      <c r="AF22" s="14"/>
      <c r="AG22" s="14"/>
      <c r="AL22" s="159" t="s">
        <v>319</v>
      </c>
      <c r="AM22" s="81" t="s">
        <v>320</v>
      </c>
      <c r="AN22" s="81" t="s">
        <v>338</v>
      </c>
      <c r="AO22" s="85">
        <f>'Verwarming Tabula 2zone'!B60+SUM(Q10:Q13)</f>
        <v>47.085048484848478</v>
      </c>
      <c r="AP22" s="81" t="s">
        <v>322</v>
      </c>
      <c r="AQ22" s="167">
        <v>110.5333</v>
      </c>
      <c r="AU22" s="168" t="s">
        <v>319</v>
      </c>
      <c r="AV22" s="168" t="s">
        <v>320</v>
      </c>
      <c r="AW22" s="168" t="s">
        <v>338</v>
      </c>
      <c r="AX22" s="169" t="s">
        <v>323</v>
      </c>
      <c r="AY22" s="162">
        <f t="shared" si="19"/>
        <v>47.085048484848478</v>
      </c>
      <c r="AZ22" s="168" t="s">
        <v>322</v>
      </c>
      <c r="BB22" s="81" t="s">
        <v>400</v>
      </c>
      <c r="BC22" s="167">
        <v>-5.92</v>
      </c>
      <c r="BD22" s="167">
        <v>5.1700000000000003E-2</v>
      </c>
      <c r="BE22" s="81">
        <v>-114.57</v>
      </c>
      <c r="BF22" s="81" t="s">
        <v>388</v>
      </c>
      <c r="BI22" s="175" t="s">
        <v>319</v>
      </c>
      <c r="BJ22" s="175" t="s">
        <v>320</v>
      </c>
      <c r="BK22" s="175" t="s">
        <v>338</v>
      </c>
      <c r="BL22" s="175" t="s">
        <v>323</v>
      </c>
      <c r="BM22" s="181">
        <f>BC35</f>
        <v>253</v>
      </c>
      <c r="BN22" s="175" t="s">
        <v>322</v>
      </c>
      <c r="BP22" s="81" t="s">
        <v>400</v>
      </c>
      <c r="BQ22" s="167">
        <v>-6.08</v>
      </c>
      <c r="BR22" s="167">
        <v>0.23</v>
      </c>
      <c r="BS22" s="81">
        <v>-26.41</v>
      </c>
      <c r="BT22" s="81" t="s">
        <v>422</v>
      </c>
      <c r="BU22" s="167">
        <v>2E-16</v>
      </c>
      <c r="BV22" s="81" t="s">
        <v>389</v>
      </c>
      <c r="BX22" s="178" t="s">
        <v>319</v>
      </c>
      <c r="BY22" s="178" t="s">
        <v>320</v>
      </c>
      <c r="BZ22" s="178" t="s">
        <v>336</v>
      </c>
      <c r="CA22" s="178" t="s">
        <v>323</v>
      </c>
      <c r="CB22" s="180">
        <f t="shared" ref="CB22:CB24" si="20">BQ33</f>
        <v>215</v>
      </c>
      <c r="CC22" s="178" t="s">
        <v>322</v>
      </c>
      <c r="CD22" s="167">
        <f t="shared" ref="CD22:CD24" si="21">BR33</f>
        <v>1.54</v>
      </c>
      <c r="CN22" s="81" t="s">
        <v>339</v>
      </c>
      <c r="CO22" s="257">
        <f t="shared" si="0"/>
        <v>10.547859514674997</v>
      </c>
      <c r="CP22" s="257">
        <f t="shared" si="1"/>
        <v>217.39130434782609</v>
      </c>
      <c r="CQ22" s="257">
        <f t="shared" si="2"/>
        <v>326.79738562091507</v>
      </c>
      <c r="CT22" s="258" t="s">
        <v>442</v>
      </c>
      <c r="CU22" s="258" t="s">
        <v>451</v>
      </c>
      <c r="CV22" s="259">
        <v>8.4500000000000006E-2</v>
      </c>
      <c r="CW22" s="259">
        <v>1.61E-2</v>
      </c>
      <c r="CX22" s="258">
        <v>5.26</v>
      </c>
      <c r="CY22" s="259">
        <v>1.4999999999999999E-7</v>
      </c>
      <c r="CZ22" s="81" t="s">
        <v>389</v>
      </c>
      <c r="DB22" s="260" t="s">
        <v>467</v>
      </c>
      <c r="DC22" s="264" t="s">
        <v>485</v>
      </c>
      <c r="DD22" s="261" t="s">
        <v>323</v>
      </c>
      <c r="DE22" s="262">
        <f t="shared" si="10"/>
        <v>5.5199999999999995E-10</v>
      </c>
      <c r="DF22" s="260" t="s">
        <v>322</v>
      </c>
      <c r="DH22" s="308" t="s">
        <v>442</v>
      </c>
      <c r="DI22" s="308" t="s">
        <v>451</v>
      </c>
      <c r="DJ22" s="312">
        <v>8.4500000000000006E-2</v>
      </c>
      <c r="DK22" s="312">
        <v>1.61E-2</v>
      </c>
      <c r="DL22" s="308">
        <v>5.26</v>
      </c>
      <c r="DM22" s="312">
        <v>1.4999999999999999E-7</v>
      </c>
      <c r="DN22" s="308" t="s">
        <v>389</v>
      </c>
      <c r="DP22" s="309" t="s">
        <v>467</v>
      </c>
      <c r="DQ22" s="314" t="s">
        <v>485</v>
      </c>
      <c r="DR22" s="310" t="s">
        <v>323</v>
      </c>
      <c r="DS22" s="311">
        <f t="shared" si="11"/>
        <v>5.5199999999999995E-10</v>
      </c>
      <c r="DT22" s="309" t="s">
        <v>322</v>
      </c>
    </row>
    <row r="23" spans="1:124" ht="15" customHeight="1" thickTop="1" thickBot="1" x14ac:dyDescent="0.3">
      <c r="A23" s="191" t="s">
        <v>91</v>
      </c>
      <c r="B23" s="192">
        <f>B17+B6</f>
        <v>168.3</v>
      </c>
      <c r="C23" s="202" t="s">
        <v>9</v>
      </c>
      <c r="D23" s="188"/>
      <c r="E23" s="189"/>
      <c r="F23" s="189"/>
      <c r="G23" s="189"/>
      <c r="H23" s="190"/>
      <c r="J23" s="81" t="s">
        <v>89</v>
      </c>
      <c r="K23" s="218">
        <v>0</v>
      </c>
      <c r="L23" s="219">
        <v>2</v>
      </c>
      <c r="M23" s="219" t="s">
        <v>54</v>
      </c>
      <c r="N23" s="220">
        <f>H12</f>
        <v>2.95</v>
      </c>
      <c r="O23" s="221" t="s">
        <v>45</v>
      </c>
      <c r="P23" s="30">
        <f t="shared" si="5"/>
        <v>2</v>
      </c>
      <c r="Q23" s="30">
        <f t="shared" si="6"/>
        <v>5.9</v>
      </c>
      <c r="R23" s="30">
        <f t="shared" si="15"/>
        <v>0</v>
      </c>
      <c r="S23" s="30">
        <f t="shared" si="16"/>
        <v>0</v>
      </c>
      <c r="T23" s="30">
        <f t="shared" si="17"/>
        <v>0</v>
      </c>
      <c r="U23" s="31"/>
      <c r="V23" s="153"/>
      <c r="W23" s="188"/>
      <c r="X23" s="189" t="s">
        <v>90</v>
      </c>
      <c r="Y23" s="189">
        <v>0.02</v>
      </c>
      <c r="Z23" s="189">
        <v>0.6</v>
      </c>
      <c r="AA23" s="189">
        <v>975</v>
      </c>
      <c r="AB23" s="189">
        <v>840</v>
      </c>
      <c r="AC23" s="236">
        <f>Y23/Z23</f>
        <v>3.3333333333333333E-2</v>
      </c>
      <c r="AD23" s="190">
        <f>Y23*AA23*AB23</f>
        <v>16380</v>
      </c>
      <c r="AE23" s="14"/>
      <c r="AF23" s="14"/>
      <c r="AG23" s="14"/>
      <c r="AL23" s="159" t="s">
        <v>319</v>
      </c>
      <c r="AM23" s="81" t="s">
        <v>320</v>
      </c>
      <c r="AN23" s="81" t="s">
        <v>339</v>
      </c>
      <c r="AO23" s="85">
        <f>SUM(N6:N9)*1/(SUM(AC15:AC17)+0.5*SUM(AC18:AC19)+1/23)</f>
        <v>10.547859514674997</v>
      </c>
      <c r="AP23" s="81" t="s">
        <v>322</v>
      </c>
      <c r="AQ23" s="81">
        <f>1/0.01496205</f>
        <v>66.83576114235683</v>
      </c>
      <c r="AU23" s="168" t="s">
        <v>319</v>
      </c>
      <c r="AV23" s="168" t="s">
        <v>320</v>
      </c>
      <c r="AW23" s="168" t="s">
        <v>339</v>
      </c>
      <c r="AX23" s="169" t="s">
        <v>323</v>
      </c>
      <c r="AY23" s="162">
        <f t="shared" si="19"/>
        <v>10.547859514674997</v>
      </c>
      <c r="AZ23" s="168" t="s">
        <v>322</v>
      </c>
      <c r="BB23" s="81" t="s">
        <v>401</v>
      </c>
      <c r="BC23" s="167">
        <v>-13.3</v>
      </c>
      <c r="BD23" s="167">
        <v>65</v>
      </c>
      <c r="BE23" s="81">
        <v>-0.2</v>
      </c>
      <c r="BF23" s="81">
        <v>0.84</v>
      </c>
      <c r="BI23" s="175" t="s">
        <v>319</v>
      </c>
      <c r="BJ23" s="175" t="s">
        <v>320</v>
      </c>
      <c r="BK23" s="175" t="s">
        <v>339</v>
      </c>
      <c r="BL23" s="175" t="s">
        <v>323</v>
      </c>
      <c r="BM23" s="181">
        <f>1/BC41</f>
        <v>217.39130434782609</v>
      </c>
      <c r="BN23" s="175" t="s">
        <v>322</v>
      </c>
      <c r="BP23" s="81" t="s">
        <v>401</v>
      </c>
      <c r="BQ23" s="167">
        <v>-27.7</v>
      </c>
      <c r="BR23" s="167">
        <v>2.08</v>
      </c>
      <c r="BS23" s="81">
        <v>-13.34</v>
      </c>
      <c r="BT23" s="81" t="s">
        <v>422</v>
      </c>
      <c r="BU23" s="167">
        <v>2E-16</v>
      </c>
      <c r="BV23" s="81" t="s">
        <v>389</v>
      </c>
      <c r="BX23" s="178" t="s">
        <v>319</v>
      </c>
      <c r="BY23" s="178" t="s">
        <v>320</v>
      </c>
      <c r="BZ23" s="178" t="s">
        <v>337</v>
      </c>
      <c r="CA23" s="178" t="s">
        <v>323</v>
      </c>
      <c r="CB23" s="180">
        <f t="shared" si="20"/>
        <v>457</v>
      </c>
      <c r="CC23" s="178" t="s">
        <v>322</v>
      </c>
      <c r="CD23" s="167">
        <f t="shared" si="21"/>
        <v>3.7</v>
      </c>
      <c r="CN23" s="81" t="s">
        <v>340</v>
      </c>
      <c r="CO23" s="257">
        <f t="shared" si="0"/>
        <v>20.015372790161415</v>
      </c>
      <c r="CP23" s="257">
        <f t="shared" si="1"/>
        <v>81.900000000000006</v>
      </c>
      <c r="CQ23" s="257">
        <f t="shared" si="2"/>
        <v>75.900000000000006</v>
      </c>
      <c r="CT23" s="258" t="s">
        <v>442</v>
      </c>
      <c r="CU23" s="258" t="s">
        <v>452</v>
      </c>
      <c r="CV23" s="259">
        <v>0.153</v>
      </c>
      <c r="CW23" s="259">
        <v>2.1999999999999999E-2</v>
      </c>
      <c r="CX23" s="258">
        <v>6.94</v>
      </c>
      <c r="CY23" s="259">
        <v>4.1999999999999999E-12</v>
      </c>
      <c r="CZ23" s="81" t="s">
        <v>389</v>
      </c>
      <c r="DB23" s="260" t="s">
        <v>467</v>
      </c>
      <c r="DC23" s="263" t="s">
        <v>486</v>
      </c>
      <c r="DD23" s="261" t="s">
        <v>323</v>
      </c>
      <c r="DE23" s="262">
        <f t="shared" si="10"/>
        <v>9.3600000000000003E-2</v>
      </c>
      <c r="DF23" s="260" t="s">
        <v>322</v>
      </c>
      <c r="DH23" s="308" t="s">
        <v>442</v>
      </c>
      <c r="DI23" s="308" t="s">
        <v>452</v>
      </c>
      <c r="DJ23" s="312">
        <v>0.153</v>
      </c>
      <c r="DK23" s="312">
        <v>2.1999999999999999E-2</v>
      </c>
      <c r="DL23" s="308">
        <v>6.94</v>
      </c>
      <c r="DM23" s="312">
        <v>4.1999999999999999E-12</v>
      </c>
      <c r="DN23" s="308" t="s">
        <v>389</v>
      </c>
      <c r="DP23" s="309" t="s">
        <v>467</v>
      </c>
      <c r="DQ23" s="313" t="s">
        <v>486</v>
      </c>
      <c r="DR23" s="310" t="s">
        <v>323</v>
      </c>
      <c r="DS23" s="311">
        <f t="shared" si="11"/>
        <v>9.3600000000000003E-2</v>
      </c>
      <c r="DT23" s="309" t="s">
        <v>322</v>
      </c>
    </row>
    <row r="24" spans="1:124" ht="15" customHeight="1" thickTop="1" thickBot="1" x14ac:dyDescent="0.3">
      <c r="A24" s="188" t="s">
        <v>94</v>
      </c>
      <c r="B24" s="208">
        <f>B23/B6</f>
        <v>1</v>
      </c>
      <c r="C24" s="189"/>
      <c r="D24" s="188" t="s">
        <v>95</v>
      </c>
      <c r="E24" s="189"/>
      <c r="F24" s="208">
        <f>B8/B6</f>
        <v>0.63161021984551402</v>
      </c>
      <c r="G24" s="189"/>
      <c r="H24" s="190"/>
      <c r="J24" s="81" t="s">
        <v>92</v>
      </c>
      <c r="K24" s="218">
        <v>0</v>
      </c>
      <c r="L24" s="219">
        <v>2</v>
      </c>
      <c r="M24" s="219" t="s">
        <v>54</v>
      </c>
      <c r="N24" s="220">
        <f>H13</f>
        <v>3.25</v>
      </c>
      <c r="O24" s="221" t="s">
        <v>50</v>
      </c>
      <c r="P24" s="30">
        <f t="shared" si="5"/>
        <v>2</v>
      </c>
      <c r="Q24" s="30">
        <f t="shared" si="6"/>
        <v>6.5</v>
      </c>
      <c r="R24" s="30">
        <f t="shared" si="15"/>
        <v>0</v>
      </c>
      <c r="S24" s="30">
        <f t="shared" si="16"/>
        <v>0</v>
      </c>
      <c r="T24" s="30">
        <f t="shared" si="17"/>
        <v>0</v>
      </c>
      <c r="U24" s="31"/>
      <c r="V24" s="153"/>
      <c r="W24" s="188"/>
      <c r="X24" s="189" t="s">
        <v>93</v>
      </c>
      <c r="Y24" s="189">
        <v>0.14000000000000001</v>
      </c>
      <c r="Z24" s="189">
        <v>0.54</v>
      </c>
      <c r="AA24" s="189">
        <v>1400</v>
      </c>
      <c r="AB24" s="189">
        <v>840</v>
      </c>
      <c r="AC24" s="236">
        <f>Y24/Z24</f>
        <v>0.25925925925925924</v>
      </c>
      <c r="AD24" s="190">
        <f>Y24*AA24*AB24</f>
        <v>164640.00000000003</v>
      </c>
      <c r="AE24" s="14"/>
      <c r="AF24" s="14"/>
      <c r="AG24" s="14"/>
      <c r="AL24" s="159" t="s">
        <v>319</v>
      </c>
      <c r="AM24" s="81" t="s">
        <v>320</v>
      </c>
      <c r="AN24" s="81" t="s">
        <v>340</v>
      </c>
      <c r="AO24" s="85">
        <f>SUM(N14)*1/(SUM(AC44:AC46)+0.5*SUM(AC42:AC43))</f>
        <v>20.015372790161415</v>
      </c>
      <c r="AP24" s="81" t="s">
        <v>322</v>
      </c>
      <c r="AQ24" s="167">
        <v>43.800190000000001</v>
      </c>
      <c r="AU24" s="168" t="s">
        <v>319</v>
      </c>
      <c r="AV24" s="168" t="s">
        <v>320</v>
      </c>
      <c r="AW24" s="168" t="s">
        <v>340</v>
      </c>
      <c r="AX24" s="169" t="s">
        <v>323</v>
      </c>
      <c r="AY24" s="162">
        <f t="shared" si="19"/>
        <v>20.015372790161415</v>
      </c>
      <c r="AZ24" s="168" t="s">
        <v>322</v>
      </c>
      <c r="BB24" s="81" t="s">
        <v>402</v>
      </c>
      <c r="BC24" s="167">
        <v>-15.6</v>
      </c>
      <c r="BD24" s="167">
        <v>83.5</v>
      </c>
      <c r="BE24" s="81">
        <v>-0.19</v>
      </c>
      <c r="BF24" s="81">
        <v>0.85</v>
      </c>
      <c r="BI24" s="175" t="s">
        <v>319</v>
      </c>
      <c r="BJ24" s="175" t="s">
        <v>320</v>
      </c>
      <c r="BK24" s="175" t="s">
        <v>340</v>
      </c>
      <c r="BL24" s="175" t="s">
        <v>323</v>
      </c>
      <c r="BM24" s="181">
        <f>BC44</f>
        <v>81.900000000000006</v>
      </c>
      <c r="BN24" s="175" t="s">
        <v>322</v>
      </c>
      <c r="BP24" s="81" t="s">
        <v>402</v>
      </c>
      <c r="BQ24" s="167">
        <v>-23.8</v>
      </c>
      <c r="BR24" s="167">
        <v>9</v>
      </c>
      <c r="BS24" s="81">
        <v>-2.65</v>
      </c>
      <c r="BT24" s="81">
        <v>8.0999999999999996E-3</v>
      </c>
      <c r="BU24" s="81" t="s">
        <v>425</v>
      </c>
      <c r="BX24" s="178" t="s">
        <v>319</v>
      </c>
      <c r="BY24" s="178" t="s">
        <v>320</v>
      </c>
      <c r="BZ24" s="178" t="s">
        <v>338</v>
      </c>
      <c r="CA24" s="178" t="s">
        <v>323</v>
      </c>
      <c r="CB24" s="180">
        <f t="shared" si="20"/>
        <v>272</v>
      </c>
      <c r="CC24" s="178" t="s">
        <v>322</v>
      </c>
      <c r="CD24" s="167">
        <f t="shared" si="21"/>
        <v>18.2</v>
      </c>
      <c r="CO24" s="255"/>
      <c r="CP24" s="255"/>
      <c r="CQ24" s="255"/>
      <c r="CT24" s="258" t="s">
        <v>442</v>
      </c>
      <c r="CU24" s="258" t="s">
        <v>453</v>
      </c>
      <c r="CV24" s="259">
        <v>0.17399999999999999</v>
      </c>
      <c r="CW24" s="259">
        <v>4.4299999999999999E-3</v>
      </c>
      <c r="CX24" s="258">
        <v>39.25</v>
      </c>
      <c r="CY24" s="258" t="s">
        <v>422</v>
      </c>
      <c r="CZ24" s="167">
        <v>2E-16</v>
      </c>
      <c r="DA24" s="81" t="s">
        <v>389</v>
      </c>
      <c r="DB24" s="260" t="s">
        <v>467</v>
      </c>
      <c r="DC24" s="261" t="s">
        <v>487</v>
      </c>
      <c r="DD24" s="261" t="s">
        <v>323</v>
      </c>
      <c r="DE24" s="262">
        <f t="shared" si="10"/>
        <v>8.3000000000000004E-2</v>
      </c>
      <c r="DF24" s="260" t="s">
        <v>322</v>
      </c>
      <c r="DH24" s="308" t="s">
        <v>442</v>
      </c>
      <c r="DI24" s="308" t="s">
        <v>453</v>
      </c>
      <c r="DJ24" s="312">
        <v>0.17399999999999999</v>
      </c>
      <c r="DK24" s="312">
        <v>4.4299999999999999E-3</v>
      </c>
      <c r="DL24" s="308">
        <v>39.25</v>
      </c>
      <c r="DM24" s="308" t="s">
        <v>422</v>
      </c>
      <c r="DN24" s="312">
        <v>2E-16</v>
      </c>
      <c r="DO24" s="308" t="s">
        <v>389</v>
      </c>
      <c r="DP24" s="309" t="s">
        <v>467</v>
      </c>
      <c r="DQ24" s="310" t="s">
        <v>487</v>
      </c>
      <c r="DR24" s="310" t="s">
        <v>323</v>
      </c>
      <c r="DS24" s="311">
        <f t="shared" si="11"/>
        <v>8.3000000000000004E-2</v>
      </c>
      <c r="DT24" s="309" t="s">
        <v>322</v>
      </c>
    </row>
    <row r="25" spans="1:124" ht="15" customHeight="1" thickTop="1" thickBot="1" x14ac:dyDescent="0.3">
      <c r="A25" s="205"/>
      <c r="B25" s="187"/>
      <c r="C25" s="187"/>
      <c r="D25" s="188"/>
      <c r="E25" s="189"/>
      <c r="F25" s="189"/>
      <c r="G25" s="189"/>
      <c r="H25" s="190"/>
      <c r="J25" s="81" t="s">
        <v>96</v>
      </c>
      <c r="K25" s="218">
        <v>0</v>
      </c>
      <c r="L25" s="219">
        <v>2</v>
      </c>
      <c r="M25" s="219" t="s">
        <v>20</v>
      </c>
      <c r="N25" s="220">
        <f>'Tabula data'!B7</f>
        <v>78.599999999999994</v>
      </c>
      <c r="O25" s="221" t="s">
        <v>97</v>
      </c>
      <c r="P25" s="30">
        <f t="shared" si="5"/>
        <v>0.3127301569316186</v>
      </c>
      <c r="Q25" s="30">
        <f t="shared" si="6"/>
        <v>24.580590334825221</v>
      </c>
      <c r="R25" s="30">
        <f t="shared" si="15"/>
        <v>4476427.1999999993</v>
      </c>
      <c r="S25" s="30">
        <f t="shared" si="16"/>
        <v>56951.999999999993</v>
      </c>
      <c r="T25" s="30">
        <f t="shared" si="17"/>
        <v>1287468</v>
      </c>
      <c r="U25" s="31"/>
      <c r="V25" s="153"/>
      <c r="W25" s="205"/>
      <c r="X25" s="187" t="s">
        <v>90</v>
      </c>
      <c r="Y25" s="187">
        <v>0.02</v>
      </c>
      <c r="Z25" s="187">
        <v>0.6</v>
      </c>
      <c r="AA25" s="187">
        <v>975</v>
      </c>
      <c r="AB25" s="187">
        <v>840</v>
      </c>
      <c r="AC25" s="237">
        <f>Y25/Z25</f>
        <v>3.3333333333333333E-2</v>
      </c>
      <c r="AD25" s="210">
        <f>Y25*AA25*AB25</f>
        <v>16380</v>
      </c>
      <c r="AE25" s="14"/>
      <c r="AF25" s="14"/>
      <c r="AG25" s="14"/>
      <c r="AP25" s="81" t="s">
        <v>322</v>
      </c>
      <c r="AU25" s="168"/>
      <c r="AV25" s="168"/>
      <c r="AW25" s="168"/>
      <c r="AX25" s="169"/>
      <c r="AZ25" s="168"/>
      <c r="BB25" s="81" t="s">
        <v>403</v>
      </c>
      <c r="BC25" s="167">
        <v>-11.3</v>
      </c>
      <c r="BD25" s="167">
        <v>53</v>
      </c>
      <c r="BE25" s="81">
        <v>-0.21</v>
      </c>
      <c r="BF25" s="81">
        <v>0.83</v>
      </c>
      <c r="BI25" s="175"/>
      <c r="BJ25" s="175"/>
      <c r="BK25" s="175"/>
      <c r="BL25" s="175"/>
      <c r="BM25" s="174"/>
      <c r="BN25" s="175"/>
      <c r="BP25" s="81" t="s">
        <v>403</v>
      </c>
      <c r="BQ25" s="167">
        <v>-16.399999999999999</v>
      </c>
      <c r="BR25" s="167">
        <v>1.69</v>
      </c>
      <c r="BS25" s="81">
        <v>-9.69</v>
      </c>
      <c r="BT25" s="81" t="s">
        <v>422</v>
      </c>
      <c r="BU25" s="167">
        <v>2E-16</v>
      </c>
      <c r="BV25" s="81" t="s">
        <v>389</v>
      </c>
      <c r="BX25" s="178" t="s">
        <v>319</v>
      </c>
      <c r="BY25" s="178" t="s">
        <v>320</v>
      </c>
      <c r="BZ25" s="178" t="s">
        <v>339</v>
      </c>
      <c r="CA25" s="178" t="s">
        <v>323</v>
      </c>
      <c r="CB25" s="180">
        <f>1/BQ41</f>
        <v>326.79738562091507</v>
      </c>
      <c r="CC25" s="178" t="s">
        <v>322</v>
      </c>
      <c r="CD25" s="167">
        <f>CB25/50</f>
        <v>6.5359477124183014</v>
      </c>
      <c r="CN25" s="81" t="s">
        <v>341</v>
      </c>
      <c r="CO25" s="254">
        <f t="shared" si="0"/>
        <v>0.40653709003909116</v>
      </c>
      <c r="CP25" s="254">
        <f t="shared" si="1"/>
        <v>0.44900000000000001</v>
      </c>
      <c r="CQ25" s="254">
        <f t="shared" si="2"/>
        <v>0.46800000000000003</v>
      </c>
      <c r="CT25" s="258" t="s">
        <v>442</v>
      </c>
      <c r="CU25" s="258" t="s">
        <v>454</v>
      </c>
      <c r="CV25" s="259">
        <v>0.122</v>
      </c>
      <c r="CW25" s="259">
        <v>1.0500000000000001E-2</v>
      </c>
      <c r="CX25" s="258">
        <v>11.55</v>
      </c>
      <c r="CY25" s="258" t="s">
        <v>422</v>
      </c>
      <c r="CZ25" s="167">
        <v>2E-16</v>
      </c>
      <c r="DA25" s="81" t="s">
        <v>389</v>
      </c>
      <c r="DD25" s="261"/>
      <c r="DH25" s="308" t="s">
        <v>442</v>
      </c>
      <c r="DI25" s="308" t="s">
        <v>454</v>
      </c>
      <c r="DJ25" s="312">
        <v>0.122</v>
      </c>
      <c r="DK25" s="312">
        <v>1.0500000000000001E-2</v>
      </c>
      <c r="DL25" s="308">
        <v>11.55</v>
      </c>
      <c r="DM25" s="308" t="s">
        <v>422</v>
      </c>
      <c r="DN25" s="312">
        <v>2E-16</v>
      </c>
      <c r="DO25" s="308" t="s">
        <v>389</v>
      </c>
      <c r="DR25" s="310"/>
    </row>
    <row r="26" spans="1:124" ht="15" customHeight="1" thickTop="1" thickBot="1" x14ac:dyDescent="0.3">
      <c r="A26" s="191" t="s">
        <v>100</v>
      </c>
      <c r="B26" s="209">
        <f>'Tabula data'!B6</f>
        <v>256.89999999999998</v>
      </c>
      <c r="C26" s="203" t="s">
        <v>9</v>
      </c>
      <c r="D26" s="188"/>
      <c r="E26" s="189"/>
      <c r="F26" s="189"/>
      <c r="G26" s="189"/>
      <c r="H26" s="190"/>
      <c r="J26" s="81" t="s">
        <v>98</v>
      </c>
      <c r="K26" s="218">
        <v>1</v>
      </c>
      <c r="L26" s="219">
        <v>2</v>
      </c>
      <c r="M26" s="219" t="s">
        <v>99</v>
      </c>
      <c r="N26" s="220">
        <f>N14</f>
        <v>62</v>
      </c>
      <c r="O26" s="221"/>
      <c r="P26" s="30">
        <f t="shared" si="5"/>
        <v>1.4911242603550294</v>
      </c>
      <c r="Q26" s="30">
        <f t="shared" si="6"/>
        <v>92.449704142011825</v>
      </c>
      <c r="R26" s="30">
        <f t="shared" si="15"/>
        <v>28355700</v>
      </c>
      <c r="S26" s="30">
        <f t="shared" si="16"/>
        <v>457350</v>
      </c>
      <c r="T26" s="30">
        <f t="shared" si="17"/>
        <v>28355700</v>
      </c>
      <c r="U26" s="31"/>
      <c r="V26" s="153"/>
      <c r="W26" s="226"/>
      <c r="X26" s="226"/>
      <c r="Y26" s="226"/>
      <c r="Z26" s="226"/>
      <c r="AA26" s="226"/>
      <c r="AB26" s="226"/>
      <c r="AC26" s="226"/>
      <c r="AD26" s="226"/>
      <c r="AE26" s="14"/>
      <c r="AF26" s="14"/>
      <c r="AG26" s="14"/>
      <c r="AL26" s="159" t="s">
        <v>319</v>
      </c>
      <c r="AM26" s="81" t="s">
        <v>320</v>
      </c>
      <c r="AN26" s="81" t="s">
        <v>341</v>
      </c>
      <c r="AO26" s="81">
        <f>SUM(N17:N20,N25)/SUM(N$17:N$25,N$28,N$26)</f>
        <v>0.40653709003909116</v>
      </c>
      <c r="AP26" s="81" t="s">
        <v>322</v>
      </c>
      <c r="AQ26" s="167">
        <v>0.44339849999999997</v>
      </c>
      <c r="AU26" s="168" t="s">
        <v>319</v>
      </c>
      <c r="AV26" s="168" t="s">
        <v>320</v>
      </c>
      <c r="AW26" s="168" t="s">
        <v>341</v>
      </c>
      <c r="AX26" s="169" t="s">
        <v>323</v>
      </c>
      <c r="AY26" s="162">
        <f>AO26</f>
        <v>0.40653709003909116</v>
      </c>
      <c r="AZ26" s="168" t="s">
        <v>322</v>
      </c>
      <c r="BB26" s="81" t="s">
        <v>404</v>
      </c>
      <c r="BC26" s="167">
        <v>-14.8</v>
      </c>
      <c r="BD26" s="167">
        <v>69.3</v>
      </c>
      <c r="BE26" s="81">
        <v>-0.21</v>
      </c>
      <c r="BF26" s="81">
        <v>0.83</v>
      </c>
      <c r="BI26" s="175" t="s">
        <v>319</v>
      </c>
      <c r="BJ26" s="175" t="s">
        <v>320</v>
      </c>
      <c r="BK26" s="175" t="s">
        <v>341</v>
      </c>
      <c r="BL26" s="175" t="s">
        <v>323</v>
      </c>
      <c r="BM26" s="174">
        <f>BC54</f>
        <v>0.44900000000000001</v>
      </c>
      <c r="BN26" s="175" t="s">
        <v>322</v>
      </c>
      <c r="BP26" s="81" t="s">
        <v>404</v>
      </c>
      <c r="BQ26" s="167">
        <v>-21.6</v>
      </c>
      <c r="BR26" s="167">
        <v>1.83E-2</v>
      </c>
      <c r="BS26" s="81">
        <v>-1183.33</v>
      </c>
      <c r="BT26" s="81" t="s">
        <v>422</v>
      </c>
      <c r="BU26" s="167">
        <v>2E-16</v>
      </c>
      <c r="BV26" s="81" t="s">
        <v>389</v>
      </c>
      <c r="BX26" s="178" t="s">
        <v>319</v>
      </c>
      <c r="BY26" s="178" t="s">
        <v>320</v>
      </c>
      <c r="BZ26" s="178" t="s">
        <v>340</v>
      </c>
      <c r="CA26" s="178" t="s">
        <v>323</v>
      </c>
      <c r="CB26" s="180">
        <f>BQ44</f>
        <v>75.900000000000006</v>
      </c>
      <c r="CC26" s="178" t="s">
        <v>322</v>
      </c>
      <c r="CN26" s="81" t="s">
        <v>342</v>
      </c>
      <c r="CO26" s="254">
        <f t="shared" si="0"/>
        <v>0.36279211046036619</v>
      </c>
      <c r="CP26" s="254">
        <f t="shared" si="1"/>
        <v>0.111</v>
      </c>
      <c r="CQ26" s="254">
        <f t="shared" si="2"/>
        <v>0.14099999999999999</v>
      </c>
      <c r="CT26" s="258" t="s">
        <v>442</v>
      </c>
      <c r="CU26" s="258" t="s">
        <v>455</v>
      </c>
      <c r="CV26" s="259">
        <v>0.14599999999999999</v>
      </c>
      <c r="CW26" s="259">
        <v>2.31E-3</v>
      </c>
      <c r="CX26" s="258">
        <v>63</v>
      </c>
      <c r="CY26" s="258" t="s">
        <v>422</v>
      </c>
      <c r="CZ26" s="167">
        <v>2E-16</v>
      </c>
      <c r="DA26" s="81" t="s">
        <v>389</v>
      </c>
      <c r="DC26" s="261"/>
      <c r="DD26" s="261"/>
      <c r="DE26" s="262"/>
      <c r="DH26" s="308" t="s">
        <v>442</v>
      </c>
      <c r="DI26" s="308" t="s">
        <v>455</v>
      </c>
      <c r="DJ26" s="312">
        <v>0.14599999999999999</v>
      </c>
      <c r="DK26" s="312">
        <v>2.31E-3</v>
      </c>
      <c r="DL26" s="308">
        <v>63</v>
      </c>
      <c r="DM26" s="308" t="s">
        <v>422</v>
      </c>
      <c r="DN26" s="312">
        <v>2E-16</v>
      </c>
      <c r="DO26" s="308" t="s">
        <v>389</v>
      </c>
      <c r="DQ26" s="310"/>
      <c r="DR26" s="310"/>
      <c r="DS26" s="311"/>
    </row>
    <row r="27" spans="1:124" ht="15" customHeight="1" thickTop="1" thickBot="1" x14ac:dyDescent="0.3">
      <c r="A27" s="188"/>
      <c r="B27" s="208">
        <f>SUM(N6:N25)</f>
        <v>257.09999999999997</v>
      </c>
      <c r="C27" s="190" t="s">
        <v>9</v>
      </c>
      <c r="D27" s="188"/>
      <c r="E27" s="189"/>
      <c r="F27" s="189"/>
      <c r="G27" s="189"/>
      <c r="H27" s="190"/>
      <c r="J27" s="81" t="s">
        <v>101</v>
      </c>
      <c r="K27" s="218">
        <v>1</v>
      </c>
      <c r="L27" s="219">
        <v>1</v>
      </c>
      <c r="M27" s="219" t="s">
        <v>85</v>
      </c>
      <c r="N27" s="220">
        <f>SUM(N6:N9)+N30/2</f>
        <v>68.065579028785521</v>
      </c>
      <c r="O27" s="221"/>
      <c r="P27" s="30">
        <f t="shared" si="5"/>
        <v>1.7363344051446945</v>
      </c>
      <c r="Q27" s="30">
        <f t="shared" si="6"/>
        <v>118.18460667377551</v>
      </c>
      <c r="R27" s="30">
        <f t="shared" si="15"/>
        <v>13436145.300282264</v>
      </c>
      <c r="S27" s="30">
        <f t="shared" si="16"/>
        <v>197400.00000000003</v>
      </c>
      <c r="T27" s="30">
        <f t="shared" si="17"/>
        <v>13436145.300282264</v>
      </c>
      <c r="U27" s="31"/>
      <c r="V27" s="153"/>
      <c r="W27" s="228" t="s">
        <v>99</v>
      </c>
      <c r="X27" s="229"/>
      <c r="Y27" s="230" t="s">
        <v>21</v>
      </c>
      <c r="Z27" s="231">
        <f>1/(1/10+SUM(AC29:AC32)+1/6)</f>
        <v>1.4911242603550294</v>
      </c>
      <c r="AA27" s="229" t="s">
        <v>5</v>
      </c>
      <c r="AB27" s="229"/>
      <c r="AC27" s="229" t="s">
        <v>22</v>
      </c>
      <c r="AD27" s="232">
        <f>SUM(AD29:AD33)</f>
        <v>457350</v>
      </c>
      <c r="AE27" s="14" t="s">
        <v>23</v>
      </c>
      <c r="AF27" s="14">
        <f>SUM(AD29:AD32)</f>
        <v>457350</v>
      </c>
      <c r="AG27" s="14"/>
      <c r="AL27" s="159" t="s">
        <v>319</v>
      </c>
      <c r="AM27" s="81" t="s">
        <v>320</v>
      </c>
      <c r="AN27" s="81" t="s">
        <v>342</v>
      </c>
      <c r="AO27" s="81">
        <f>SUM(N28)/SUM(N$17:N$25,N$28,N$26)</f>
        <v>0.36279211046036619</v>
      </c>
      <c r="AP27" s="81" t="s">
        <v>322</v>
      </c>
      <c r="AQ27" s="167">
        <v>0.14522370000000001</v>
      </c>
      <c r="AU27" s="168" t="s">
        <v>319</v>
      </c>
      <c r="AV27" s="168" t="s">
        <v>320</v>
      </c>
      <c r="AW27" s="168" t="s">
        <v>342</v>
      </c>
      <c r="AX27" s="169" t="s">
        <v>323</v>
      </c>
      <c r="AY27" s="162">
        <f t="shared" ref="AY27:AY28" si="22">AO27</f>
        <v>0.36279211046036619</v>
      </c>
      <c r="AZ27" s="168" t="s">
        <v>322</v>
      </c>
      <c r="BB27" s="81" t="s">
        <v>405</v>
      </c>
      <c r="BC27" s="167">
        <v>0.11700000000000001</v>
      </c>
      <c r="BD27" s="167">
        <v>5.5000000000000003E-4</v>
      </c>
      <c r="BE27" s="81">
        <v>212.4</v>
      </c>
      <c r="BF27" s="81" t="s">
        <v>388</v>
      </c>
      <c r="BI27" s="175" t="s">
        <v>319</v>
      </c>
      <c r="BJ27" s="175" t="s">
        <v>320</v>
      </c>
      <c r="BK27" s="175" t="s">
        <v>342</v>
      </c>
      <c r="BL27" s="175" t="s">
        <v>323</v>
      </c>
      <c r="BM27" s="174">
        <f>BC55</f>
        <v>0.111</v>
      </c>
      <c r="BN27" s="175" t="s">
        <v>322</v>
      </c>
      <c r="BP27" s="81" t="s">
        <v>405</v>
      </c>
      <c r="BQ27" s="167">
        <v>7.0400000000000004E-2</v>
      </c>
      <c r="BR27" s="167">
        <v>1.0300000000000001E-3</v>
      </c>
      <c r="BS27" s="81">
        <v>68.37</v>
      </c>
      <c r="BT27" s="81" t="s">
        <v>422</v>
      </c>
      <c r="BU27" s="167">
        <v>2E-16</v>
      </c>
      <c r="BV27" s="81" t="s">
        <v>389</v>
      </c>
      <c r="BX27" s="178"/>
      <c r="BY27" s="178"/>
      <c r="BZ27" s="178"/>
      <c r="CA27" s="178"/>
      <c r="CB27" s="177"/>
      <c r="CC27" s="178"/>
      <c r="CN27" s="81" t="s">
        <v>343</v>
      </c>
      <c r="CO27" s="254">
        <f t="shared" si="0"/>
        <v>3.7927004769631019E-2</v>
      </c>
      <c r="CP27" s="254">
        <f t="shared" si="1"/>
        <v>0.255</v>
      </c>
      <c r="CQ27" s="254">
        <f t="shared" si="2"/>
        <v>0.108</v>
      </c>
      <c r="CT27" s="258" t="s">
        <v>442</v>
      </c>
      <c r="CU27" s="258" t="s">
        <v>456</v>
      </c>
      <c r="CV27" s="259">
        <v>0.157</v>
      </c>
      <c r="CW27" s="259">
        <v>2.5799999999999998E-3</v>
      </c>
      <c r="CX27" s="258">
        <v>61.07</v>
      </c>
      <c r="CY27" s="258" t="s">
        <v>422</v>
      </c>
      <c r="CZ27" s="167">
        <v>2E-16</v>
      </c>
      <c r="DA27" s="81" t="s">
        <v>389</v>
      </c>
      <c r="DB27" s="260" t="s">
        <v>467</v>
      </c>
      <c r="DC27" s="261" t="s">
        <v>330</v>
      </c>
      <c r="DD27" s="261" t="s">
        <v>323</v>
      </c>
      <c r="DE27" s="262">
        <f>CV33</f>
        <v>5790000</v>
      </c>
      <c r="DF27" s="260" t="s">
        <v>322</v>
      </c>
      <c r="DH27" s="308" t="s">
        <v>442</v>
      </c>
      <c r="DI27" s="308" t="s">
        <v>456</v>
      </c>
      <c r="DJ27" s="312">
        <v>0.157</v>
      </c>
      <c r="DK27" s="312">
        <v>2.5799999999999998E-3</v>
      </c>
      <c r="DL27" s="308">
        <v>61.07</v>
      </c>
      <c r="DM27" s="308" t="s">
        <v>422</v>
      </c>
      <c r="DN27" s="312">
        <v>2E-16</v>
      </c>
      <c r="DO27" s="308" t="s">
        <v>389</v>
      </c>
      <c r="DP27" s="309" t="s">
        <v>467</v>
      </c>
      <c r="DQ27" s="310" t="s">
        <v>330</v>
      </c>
      <c r="DR27" s="310" t="s">
        <v>323</v>
      </c>
      <c r="DS27" s="311">
        <f>DJ33</f>
        <v>5790000</v>
      </c>
      <c r="DT27" s="309" t="s">
        <v>322</v>
      </c>
    </row>
    <row r="28" spans="1:124" ht="15" customHeight="1" thickTop="1" thickBot="1" x14ac:dyDescent="0.3">
      <c r="A28" s="188"/>
      <c r="B28" s="189"/>
      <c r="C28" s="190"/>
      <c r="D28" s="188"/>
      <c r="E28" s="189"/>
      <c r="F28" s="189"/>
      <c r="G28" s="189"/>
      <c r="H28" s="190"/>
      <c r="J28" s="81" t="s">
        <v>102</v>
      </c>
      <c r="K28" s="218">
        <v>2</v>
      </c>
      <c r="L28" s="219">
        <v>2</v>
      </c>
      <c r="M28" s="219" t="s">
        <v>85</v>
      </c>
      <c r="N28" s="220">
        <f>SUM(N17:N20)+N31/2</f>
        <v>116.69953307677261</v>
      </c>
      <c r="O28" s="221"/>
      <c r="P28" s="30">
        <f>VLOOKUP(M28,$W$5:$Z$391,4,0)</f>
        <v>1.7363344051446945</v>
      </c>
      <c r="Q28" s="30">
        <f>P28*N28</f>
        <v>202.62941434552158</v>
      </c>
      <c r="R28" s="30">
        <f>VLOOKUP(M28,$W$5:$AD$391,8,0)*N28</f>
        <v>23036487.829354916</v>
      </c>
      <c r="S28" s="30">
        <f>R28/N28</f>
        <v>197400.00000000003</v>
      </c>
      <c r="T28" s="30">
        <f>VLOOKUP(M28,$W$5:$AF$391,10,0)*N28</f>
        <v>23036487.829354916</v>
      </c>
      <c r="U28" s="31"/>
      <c r="W28" s="233"/>
      <c r="X28" s="234" t="s">
        <v>27</v>
      </c>
      <c r="Y28" s="234" t="s">
        <v>28</v>
      </c>
      <c r="Z28" s="234" t="s">
        <v>29</v>
      </c>
      <c r="AA28" s="234" t="s">
        <v>30</v>
      </c>
      <c r="AB28" s="234" t="s">
        <v>31</v>
      </c>
      <c r="AC28" s="234" t="s">
        <v>32</v>
      </c>
      <c r="AD28" s="235" t="s">
        <v>33</v>
      </c>
      <c r="AE28" s="14"/>
      <c r="AF28" s="14"/>
      <c r="AG28" s="14"/>
      <c r="AL28" s="159" t="s">
        <v>319</v>
      </c>
      <c r="AM28" s="81" t="s">
        <v>320</v>
      </c>
      <c r="AN28" s="81" t="s">
        <v>343</v>
      </c>
      <c r="AO28" s="81">
        <f>SUM(N21:N24)/SUM(N$17:N$25,N$28,N$26)</f>
        <v>3.7927004769631019E-2</v>
      </c>
      <c r="AP28" s="81" t="s">
        <v>322</v>
      </c>
      <c r="AQ28" s="167">
        <v>0.13569049999999999</v>
      </c>
      <c r="AU28" s="168" t="s">
        <v>319</v>
      </c>
      <c r="AV28" s="168" t="s">
        <v>320</v>
      </c>
      <c r="AW28" s="168" t="s">
        <v>343</v>
      </c>
      <c r="AX28" s="169" t="s">
        <v>323</v>
      </c>
      <c r="AY28" s="162">
        <f t="shared" si="22"/>
        <v>3.7927004769631019E-2</v>
      </c>
      <c r="AZ28" s="168" t="s">
        <v>322</v>
      </c>
      <c r="BB28" s="81" t="s">
        <v>406</v>
      </c>
      <c r="BC28" s="167">
        <v>0.22500000000000001</v>
      </c>
      <c r="BD28" s="167">
        <v>9.9500000000000001E-4</v>
      </c>
      <c r="BE28" s="81">
        <v>225.89</v>
      </c>
      <c r="BF28" s="81" t="s">
        <v>388</v>
      </c>
      <c r="BI28" s="175" t="s">
        <v>319</v>
      </c>
      <c r="BJ28" s="175" t="s">
        <v>320</v>
      </c>
      <c r="BK28" s="175" t="s">
        <v>343</v>
      </c>
      <c r="BL28" s="175" t="s">
        <v>323</v>
      </c>
      <c r="BM28" s="174">
        <f>BC56</f>
        <v>0.255</v>
      </c>
      <c r="BN28" s="175" t="s">
        <v>322</v>
      </c>
      <c r="BP28" s="81" t="s">
        <v>406</v>
      </c>
      <c r="BQ28" s="167">
        <v>0.13700000000000001</v>
      </c>
      <c r="BR28" s="167">
        <v>1.8699999999999999E-3</v>
      </c>
      <c r="BS28" s="81">
        <v>73.45</v>
      </c>
      <c r="BT28" s="81" t="s">
        <v>422</v>
      </c>
      <c r="BU28" s="167">
        <v>2E-16</v>
      </c>
      <c r="BV28" s="81" t="s">
        <v>389</v>
      </c>
      <c r="BX28" s="178" t="s">
        <v>319</v>
      </c>
      <c r="BY28" s="178" t="s">
        <v>320</v>
      </c>
      <c r="BZ28" s="178" t="s">
        <v>341</v>
      </c>
      <c r="CA28" s="178" t="s">
        <v>323</v>
      </c>
      <c r="CB28" s="177">
        <f>BQ53</f>
        <v>0.46800000000000003</v>
      </c>
      <c r="CC28" s="178" t="s">
        <v>322</v>
      </c>
      <c r="CO28" s="255"/>
      <c r="CP28" s="255"/>
      <c r="CQ28" s="255"/>
      <c r="CT28" s="258" t="s">
        <v>442</v>
      </c>
      <c r="CU28" s="258" t="s">
        <v>457</v>
      </c>
      <c r="CV28" s="259">
        <v>0.113</v>
      </c>
      <c r="CW28" s="259">
        <v>3.3600000000000001E-3</v>
      </c>
      <c r="CX28" s="258">
        <v>33.799999999999997</v>
      </c>
      <c r="CY28" s="258" t="s">
        <v>422</v>
      </c>
      <c r="CZ28" s="167">
        <v>2E-16</v>
      </c>
      <c r="DA28" s="81" t="s">
        <v>389</v>
      </c>
      <c r="DB28" s="260" t="s">
        <v>467</v>
      </c>
      <c r="DC28" s="264" t="s">
        <v>327</v>
      </c>
      <c r="DD28" s="261" t="s">
        <v>323</v>
      </c>
      <c r="DE28" s="262">
        <f t="shared" ref="DE28:DE30" si="23">CV34</f>
        <v>1060000</v>
      </c>
      <c r="DF28" s="260" t="s">
        <v>322</v>
      </c>
      <c r="DH28" s="308" t="s">
        <v>442</v>
      </c>
      <c r="DI28" s="308" t="s">
        <v>457</v>
      </c>
      <c r="DJ28" s="312">
        <v>0.113</v>
      </c>
      <c r="DK28" s="312">
        <v>3.3600000000000001E-3</v>
      </c>
      <c r="DL28" s="308">
        <v>33.799999999999997</v>
      </c>
      <c r="DM28" s="308" t="s">
        <v>422</v>
      </c>
      <c r="DN28" s="312">
        <v>2E-16</v>
      </c>
      <c r="DO28" s="308" t="s">
        <v>389</v>
      </c>
      <c r="DP28" s="309" t="s">
        <v>467</v>
      </c>
      <c r="DQ28" s="314" t="s">
        <v>327</v>
      </c>
      <c r="DR28" s="310" t="s">
        <v>323</v>
      </c>
      <c r="DS28" s="311">
        <f t="shared" ref="DS28:DS30" si="24">DJ34</f>
        <v>1060000</v>
      </c>
      <c r="DT28" s="309" t="s">
        <v>322</v>
      </c>
    </row>
    <row r="29" spans="1:124" ht="15" customHeight="1" thickTop="1" thickBot="1" x14ac:dyDescent="0.3">
      <c r="A29" s="188"/>
      <c r="B29" s="189"/>
      <c r="C29" s="190"/>
      <c r="D29" s="188"/>
      <c r="E29" s="189"/>
      <c r="F29" s="189"/>
      <c r="G29" s="189"/>
      <c r="H29" s="190"/>
      <c r="K29" s="218">
        <v>2</v>
      </c>
      <c r="L29" s="219">
        <v>2</v>
      </c>
      <c r="M29" s="219" t="s">
        <v>99</v>
      </c>
      <c r="N29" s="220">
        <f>B8-B7</f>
        <v>44.300000000000011</v>
      </c>
      <c r="O29" s="221"/>
      <c r="P29" s="30">
        <f t="shared" ref="P29:P31" si="25">VLOOKUP(M29,$W$5:$Z$391,4,0)</f>
        <v>1.4911242603550294</v>
      </c>
      <c r="Q29" s="30">
        <f t="shared" ref="Q29:Q31" si="26">P29*N29</f>
        <v>66.056804733727816</v>
      </c>
      <c r="R29" s="30">
        <f t="shared" ref="R29:R31" si="27">VLOOKUP(M29,$W$5:$AD$391,8,0)*N29</f>
        <v>20260605.000000004</v>
      </c>
      <c r="S29" s="30">
        <f t="shared" ref="S29:S31" si="28">R29/N29</f>
        <v>457349.99999999994</v>
      </c>
      <c r="T29" s="30">
        <f t="shared" ref="T29:T31" si="29">VLOOKUP(M29,$W$5:$AF$391,10,0)*N29</f>
        <v>20260605.000000004</v>
      </c>
      <c r="W29" s="239"/>
      <c r="X29" s="240" t="s">
        <v>103</v>
      </c>
      <c r="Y29" s="240">
        <v>0.02</v>
      </c>
      <c r="Z29" s="240">
        <v>0.18</v>
      </c>
      <c r="AA29" s="240">
        <v>550</v>
      </c>
      <c r="AB29" s="240">
        <v>1880</v>
      </c>
      <c r="AC29" s="241">
        <f>Y29/Z29</f>
        <v>0.11111111111111112</v>
      </c>
      <c r="AD29" s="242">
        <f>Y29*AA29*AB29</f>
        <v>20680</v>
      </c>
      <c r="AE29" s="14" t="s">
        <v>104</v>
      </c>
      <c r="AF29" s="14"/>
      <c r="AG29" s="14"/>
      <c r="AP29" s="81" t="s">
        <v>322</v>
      </c>
      <c r="AU29" s="168"/>
      <c r="AV29" s="168"/>
      <c r="AW29" s="168"/>
      <c r="AX29" s="169"/>
      <c r="AZ29" s="168"/>
      <c r="BB29" s="81" t="s">
        <v>407</v>
      </c>
      <c r="BC29" s="167">
        <v>0.46500000000000002</v>
      </c>
      <c r="BD29" s="167">
        <v>2.8900000000000002E-3</v>
      </c>
      <c r="BE29" s="81">
        <v>161.16999999999999</v>
      </c>
      <c r="BF29" s="81" t="s">
        <v>388</v>
      </c>
      <c r="BI29" s="175"/>
      <c r="BJ29" s="175"/>
      <c r="BK29" s="175"/>
      <c r="BL29" s="175"/>
      <c r="BM29" s="174"/>
      <c r="BN29" s="175"/>
      <c r="BP29" s="81" t="s">
        <v>407</v>
      </c>
      <c r="BQ29" s="167">
        <v>0.76900000000000002</v>
      </c>
      <c r="BR29" s="167">
        <v>3.4299999999999997E-2</v>
      </c>
      <c r="BS29" s="81">
        <v>22.44</v>
      </c>
      <c r="BT29" s="81" t="s">
        <v>422</v>
      </c>
      <c r="BU29" s="167">
        <v>2E-16</v>
      </c>
      <c r="BV29" s="81" t="s">
        <v>389</v>
      </c>
      <c r="BX29" s="178" t="s">
        <v>319</v>
      </c>
      <c r="BY29" s="178" t="s">
        <v>320</v>
      </c>
      <c r="BZ29" s="178" t="s">
        <v>342</v>
      </c>
      <c r="CA29" s="178" t="s">
        <v>323</v>
      </c>
      <c r="CB29" s="177">
        <f t="shared" ref="CB29:CB30" si="30">BQ54</f>
        <v>0.14099999999999999</v>
      </c>
      <c r="CC29" s="178" t="s">
        <v>322</v>
      </c>
      <c r="CN29" s="81" t="s">
        <v>344</v>
      </c>
      <c r="CO29" s="256">
        <f t="shared" si="0"/>
        <v>1538247.9853594769</v>
      </c>
      <c r="CP29" s="256">
        <f t="shared" si="1"/>
        <v>858000</v>
      </c>
      <c r="CQ29" s="256">
        <f t="shared" si="2"/>
        <v>752000</v>
      </c>
      <c r="CT29" s="258" t="s">
        <v>442</v>
      </c>
      <c r="CU29" s="258" t="s">
        <v>360</v>
      </c>
      <c r="CV29" s="259">
        <v>5.5199999999999995E-10</v>
      </c>
      <c r="CW29" s="259">
        <v>3.1500000000000001E-9</v>
      </c>
      <c r="CX29" s="258">
        <v>0.18</v>
      </c>
      <c r="CY29" s="258">
        <v>0.86099999999999999</v>
      </c>
      <c r="DB29" s="260" t="s">
        <v>467</v>
      </c>
      <c r="DC29" s="264" t="s">
        <v>328</v>
      </c>
      <c r="DD29" s="261" t="s">
        <v>323</v>
      </c>
      <c r="DE29" s="262">
        <f t="shared" si="23"/>
        <v>4390000</v>
      </c>
      <c r="DF29" s="260" t="s">
        <v>322</v>
      </c>
      <c r="DH29" s="308" t="s">
        <v>442</v>
      </c>
      <c r="DI29" s="308" t="s">
        <v>360</v>
      </c>
      <c r="DJ29" s="312">
        <v>5.5199999999999995E-10</v>
      </c>
      <c r="DK29" s="312">
        <v>3.1500000000000001E-9</v>
      </c>
      <c r="DL29" s="308">
        <v>0.18</v>
      </c>
      <c r="DM29" s="308">
        <v>0.86099999999999999</v>
      </c>
      <c r="DP29" s="309" t="s">
        <v>467</v>
      </c>
      <c r="DQ29" s="314" t="s">
        <v>328</v>
      </c>
      <c r="DR29" s="310" t="s">
        <v>323</v>
      </c>
      <c r="DS29" s="311">
        <f t="shared" si="24"/>
        <v>4390000</v>
      </c>
      <c r="DT29" s="309" t="s">
        <v>322</v>
      </c>
    </row>
    <row r="30" spans="1:124" ht="15" customHeight="1" thickTop="1" thickBot="1" x14ac:dyDescent="0.3">
      <c r="A30" s="205"/>
      <c r="B30" s="187"/>
      <c r="C30" s="210"/>
      <c r="D30" s="205"/>
      <c r="E30" s="187"/>
      <c r="F30" s="187"/>
      <c r="G30" s="187"/>
      <c r="H30" s="210"/>
      <c r="K30" s="218" t="s">
        <v>511</v>
      </c>
      <c r="L30" s="219">
        <v>1</v>
      </c>
      <c r="M30" s="219" t="s">
        <v>512</v>
      </c>
      <c r="N30" s="220">
        <f>'Tabula data'!B$19*C$43</f>
        <v>75.273166376049957</v>
      </c>
      <c r="O30" s="221"/>
      <c r="P30" s="30">
        <f t="shared" si="25"/>
        <v>1.8430034129692836</v>
      </c>
      <c r="Q30" s="30">
        <f t="shared" si="26"/>
        <v>138.72870253606479</v>
      </c>
      <c r="R30" s="30">
        <f t="shared" si="27"/>
        <v>13625948.577392565</v>
      </c>
      <c r="S30" s="30">
        <f t="shared" si="28"/>
        <v>181020.00000000003</v>
      </c>
      <c r="T30" s="30">
        <f t="shared" si="29"/>
        <v>13625948.577392565</v>
      </c>
      <c r="W30" s="188"/>
      <c r="X30" s="189" t="s">
        <v>129</v>
      </c>
      <c r="Y30" s="189">
        <v>0.08</v>
      </c>
      <c r="Z30" s="189">
        <v>0.6</v>
      </c>
      <c r="AA30" s="189">
        <v>1100</v>
      </c>
      <c r="AB30" s="189">
        <v>860</v>
      </c>
      <c r="AC30" s="236">
        <f>Y30/Z30</f>
        <v>0.13333333333333333</v>
      </c>
      <c r="AD30" s="190">
        <f>Y30*AA30*AB30</f>
        <v>75680</v>
      </c>
      <c r="AE30" s="14"/>
      <c r="AF30" s="14"/>
      <c r="AG30" s="14"/>
      <c r="AL30" s="159" t="s">
        <v>319</v>
      </c>
      <c r="AM30" s="81" t="s">
        <v>320</v>
      </c>
      <c r="AN30" s="81" t="s">
        <v>344</v>
      </c>
      <c r="AO30" s="167">
        <f>B35*1.04*1012*5</f>
        <v>1538247.9853594769</v>
      </c>
      <c r="AP30" s="81" t="s">
        <v>322</v>
      </c>
      <c r="AQ30" s="167">
        <v>1612741</v>
      </c>
      <c r="AU30" s="168" t="s">
        <v>319</v>
      </c>
      <c r="AV30" s="168" t="s">
        <v>320</v>
      </c>
      <c r="AW30" s="168" t="s">
        <v>344</v>
      </c>
      <c r="AX30" s="169" t="s">
        <v>323</v>
      </c>
      <c r="AY30" s="162">
        <f>AO30</f>
        <v>1538247.9853594769</v>
      </c>
      <c r="AZ30" s="168" t="s">
        <v>322</v>
      </c>
      <c r="BB30" s="81" t="s">
        <v>408</v>
      </c>
      <c r="BC30" s="167">
        <v>0.11</v>
      </c>
      <c r="BD30" s="167">
        <v>6.3400000000000001E-4</v>
      </c>
      <c r="BE30" s="81">
        <v>173.77</v>
      </c>
      <c r="BF30" s="81" t="s">
        <v>388</v>
      </c>
      <c r="BI30" s="175" t="s">
        <v>319</v>
      </c>
      <c r="BJ30" s="175" t="s">
        <v>320</v>
      </c>
      <c r="BK30" s="175" t="s">
        <v>344</v>
      </c>
      <c r="BL30" s="175" t="s">
        <v>323</v>
      </c>
      <c r="BM30" s="174">
        <f>BC59</f>
        <v>858000</v>
      </c>
      <c r="BN30" s="175" t="s">
        <v>322</v>
      </c>
      <c r="BP30" s="81" t="s">
        <v>408</v>
      </c>
      <c r="BQ30" s="167">
        <v>7.2499999999999995E-2</v>
      </c>
      <c r="BR30" s="167">
        <v>7.0500000000000001E-4</v>
      </c>
      <c r="BS30" s="81">
        <v>102.71</v>
      </c>
      <c r="BT30" s="81" t="s">
        <v>422</v>
      </c>
      <c r="BU30" s="167">
        <v>2E-16</v>
      </c>
      <c r="BV30" s="81" t="s">
        <v>389</v>
      </c>
      <c r="BX30" s="178" t="s">
        <v>319</v>
      </c>
      <c r="BY30" s="178" t="s">
        <v>320</v>
      </c>
      <c r="BZ30" s="178" t="s">
        <v>343</v>
      </c>
      <c r="CA30" s="178" t="s">
        <v>323</v>
      </c>
      <c r="CB30" s="177">
        <f t="shared" si="30"/>
        <v>0.108</v>
      </c>
      <c r="CC30" s="178" t="s">
        <v>322</v>
      </c>
      <c r="CN30" s="81" t="s">
        <v>345</v>
      </c>
      <c r="CO30" s="256">
        <f t="shared" si="0"/>
        <v>10731463.172905527</v>
      </c>
      <c r="CP30" s="256">
        <f t="shared" si="1"/>
        <v>2990000</v>
      </c>
      <c r="CQ30" s="256">
        <f t="shared" si="2"/>
        <v>8650000</v>
      </c>
      <c r="CT30" s="258" t="s">
        <v>442</v>
      </c>
      <c r="CU30" s="258" t="s">
        <v>458</v>
      </c>
      <c r="CV30" s="259">
        <v>9.3600000000000003E-2</v>
      </c>
      <c r="CW30" s="259">
        <v>1.8799999999999999E-3</v>
      </c>
      <c r="CX30" s="258">
        <v>49.92</v>
      </c>
      <c r="CY30" s="258" t="s">
        <v>422</v>
      </c>
      <c r="CZ30" s="167">
        <v>2E-16</v>
      </c>
      <c r="DA30" s="81" t="s">
        <v>389</v>
      </c>
      <c r="DB30" s="260" t="s">
        <v>467</v>
      </c>
      <c r="DC30" s="264" t="s">
        <v>329</v>
      </c>
      <c r="DD30" s="261" t="s">
        <v>323</v>
      </c>
      <c r="DE30" s="262">
        <f t="shared" si="23"/>
        <v>18500000</v>
      </c>
      <c r="DF30" s="260" t="s">
        <v>322</v>
      </c>
      <c r="DH30" s="308" t="s">
        <v>442</v>
      </c>
      <c r="DI30" s="308" t="s">
        <v>458</v>
      </c>
      <c r="DJ30" s="312">
        <v>9.3600000000000003E-2</v>
      </c>
      <c r="DK30" s="312">
        <v>1.8799999999999999E-3</v>
      </c>
      <c r="DL30" s="308">
        <v>49.92</v>
      </c>
      <c r="DM30" s="308" t="s">
        <v>422</v>
      </c>
      <c r="DN30" s="312">
        <v>2E-16</v>
      </c>
      <c r="DO30" s="308" t="s">
        <v>389</v>
      </c>
      <c r="DP30" s="309" t="s">
        <v>467</v>
      </c>
      <c r="DQ30" s="314" t="s">
        <v>329</v>
      </c>
      <c r="DR30" s="310" t="s">
        <v>323</v>
      </c>
      <c r="DS30" s="311">
        <f t="shared" si="24"/>
        <v>18500000</v>
      </c>
      <c r="DT30" s="309" t="s">
        <v>322</v>
      </c>
    </row>
    <row r="31" spans="1:124" ht="15" customHeight="1" thickTop="1" thickBot="1" x14ac:dyDescent="0.3">
      <c r="K31" s="223" t="s">
        <v>511</v>
      </c>
      <c r="L31" s="224">
        <v>2</v>
      </c>
      <c r="M31" s="224" t="s">
        <v>512</v>
      </c>
      <c r="N31" s="220">
        <f>'Tabula data'!B$19*(1-C$43)</f>
        <v>129.05705783506633</v>
      </c>
      <c r="O31" s="225"/>
      <c r="P31" s="30">
        <f t="shared" si="25"/>
        <v>1.8430034129692836</v>
      </c>
      <c r="Q31" s="30">
        <f t="shared" si="26"/>
        <v>237.85259805780146</v>
      </c>
      <c r="R31" s="30">
        <f t="shared" si="27"/>
        <v>23361908.609303713</v>
      </c>
      <c r="S31" s="30">
        <f t="shared" si="28"/>
        <v>181020.00000000003</v>
      </c>
      <c r="T31" s="30">
        <f t="shared" si="29"/>
        <v>23361908.609303713</v>
      </c>
      <c r="W31" s="188"/>
      <c r="X31" s="189" t="s">
        <v>278</v>
      </c>
      <c r="Y31" s="189">
        <v>0.2</v>
      </c>
      <c r="Z31" s="189">
        <v>1.4</v>
      </c>
      <c r="AA31" s="189">
        <v>2100</v>
      </c>
      <c r="AB31" s="189">
        <v>840</v>
      </c>
      <c r="AC31" s="236">
        <f>Y31/Z31</f>
        <v>0.14285714285714288</v>
      </c>
      <c r="AD31" s="190">
        <f>Y31*AA31*AB31</f>
        <v>352800</v>
      </c>
      <c r="AE31" s="14"/>
      <c r="AF31" s="14"/>
      <c r="AG31" s="14"/>
      <c r="AL31" s="159" t="s">
        <v>319</v>
      </c>
      <c r="AM31" s="81" t="s">
        <v>320</v>
      </c>
      <c r="AN31" s="81" t="s">
        <v>345</v>
      </c>
      <c r="AO31" s="167">
        <f>T25+SUM(T17:T20)</f>
        <v>10731463.172905527</v>
      </c>
      <c r="AP31" s="81" t="s">
        <v>322</v>
      </c>
      <c r="AQ31" s="167">
        <v>6867267</v>
      </c>
      <c r="AU31" s="168" t="s">
        <v>319</v>
      </c>
      <c r="AV31" s="168" t="s">
        <v>320</v>
      </c>
      <c r="AW31" s="168" t="s">
        <v>345</v>
      </c>
      <c r="AX31" s="169" t="s">
        <v>323</v>
      </c>
      <c r="AY31" s="162">
        <f t="shared" ref="AY31:AY35" si="31">AO31</f>
        <v>10731463.172905527</v>
      </c>
      <c r="AZ31" s="168" t="s">
        <v>322</v>
      </c>
      <c r="BB31" s="81" t="s">
        <v>409</v>
      </c>
      <c r="BC31" s="167">
        <v>7.3400000000000007E-2</v>
      </c>
      <c r="BD31" s="167">
        <v>4.9700000000000005E-4</v>
      </c>
      <c r="BE31" s="81">
        <v>147.68</v>
      </c>
      <c r="BF31" s="81" t="s">
        <v>388</v>
      </c>
      <c r="BI31" s="175" t="s">
        <v>319</v>
      </c>
      <c r="BJ31" s="175" t="s">
        <v>320</v>
      </c>
      <c r="BK31" s="175" t="s">
        <v>345</v>
      </c>
      <c r="BL31" s="175" t="s">
        <v>323</v>
      </c>
      <c r="BM31" s="174">
        <f>BC60</f>
        <v>2990000</v>
      </c>
      <c r="BN31" s="175" t="s">
        <v>322</v>
      </c>
      <c r="BP31" s="81" t="s">
        <v>409</v>
      </c>
      <c r="BQ31" s="167">
        <v>4.4299999999999999E-2</v>
      </c>
      <c r="BR31" s="167">
        <v>3.0499999999999999E-4</v>
      </c>
      <c r="BS31" s="81">
        <v>145.31</v>
      </c>
      <c r="BT31" s="81" t="s">
        <v>422</v>
      </c>
      <c r="BU31" s="167">
        <v>2E-16</v>
      </c>
      <c r="BV31" s="81" t="s">
        <v>389</v>
      </c>
      <c r="BX31" s="178"/>
      <c r="BY31" s="178"/>
      <c r="BZ31" s="178"/>
      <c r="CA31" s="178"/>
      <c r="CB31" s="177"/>
      <c r="CC31" s="178"/>
      <c r="CN31" s="81" t="s">
        <v>346</v>
      </c>
      <c r="CO31" s="256">
        <f t="shared" si="0"/>
        <v>23036487.829354916</v>
      </c>
      <c r="CP31" s="256">
        <f t="shared" si="1"/>
        <v>5280000</v>
      </c>
      <c r="CQ31" s="256">
        <f t="shared" si="2"/>
        <v>17100000</v>
      </c>
      <c r="CT31" s="258" t="s">
        <v>442</v>
      </c>
      <c r="CU31" s="258" t="s">
        <v>459</v>
      </c>
      <c r="CV31" s="259">
        <v>8.3000000000000004E-2</v>
      </c>
      <c r="CW31" s="259">
        <v>1.9499999999999999E-3</v>
      </c>
      <c r="CX31" s="258">
        <v>42.6</v>
      </c>
      <c r="CY31" s="258" t="s">
        <v>422</v>
      </c>
      <c r="CZ31" s="167">
        <v>2E-16</v>
      </c>
      <c r="DA31" s="81" t="s">
        <v>389</v>
      </c>
      <c r="DD31" s="261"/>
      <c r="DH31" s="308" t="s">
        <v>442</v>
      </c>
      <c r="DI31" s="308" t="s">
        <v>459</v>
      </c>
      <c r="DJ31" s="312">
        <v>8.3000000000000004E-2</v>
      </c>
      <c r="DK31" s="312">
        <v>1.9499999999999999E-3</v>
      </c>
      <c r="DL31" s="308">
        <v>42.6</v>
      </c>
      <c r="DM31" s="308" t="s">
        <v>422</v>
      </c>
      <c r="DN31" s="312">
        <v>2E-16</v>
      </c>
      <c r="DO31" s="308" t="s">
        <v>389</v>
      </c>
      <c r="DR31" s="310"/>
    </row>
    <row r="32" spans="1:124" ht="15" customHeight="1" thickTop="1" thickBot="1" x14ac:dyDescent="0.3">
      <c r="K32" s="218"/>
      <c r="L32" s="219"/>
      <c r="M32" s="219"/>
      <c r="N32" s="220"/>
      <c r="O32" s="221"/>
      <c r="P32" s="81"/>
      <c r="Q32" s="81"/>
      <c r="W32" s="205"/>
      <c r="X32" s="187" t="s">
        <v>80</v>
      </c>
      <c r="Y32" s="187">
        <v>0.01</v>
      </c>
      <c r="Z32" s="187">
        <v>0.6</v>
      </c>
      <c r="AA32" s="187">
        <v>975</v>
      </c>
      <c r="AB32" s="187">
        <v>840</v>
      </c>
      <c r="AC32" s="237">
        <f>Y32/Z32</f>
        <v>1.6666666666666666E-2</v>
      </c>
      <c r="AD32" s="210">
        <f>Y32*AA32*AB32</f>
        <v>8190</v>
      </c>
      <c r="AE32" s="14"/>
      <c r="AF32" s="14"/>
      <c r="AG32" s="14"/>
      <c r="AL32" s="159" t="s">
        <v>319</v>
      </c>
      <c r="AM32" s="81" t="s">
        <v>320</v>
      </c>
      <c r="AN32" s="81" t="s">
        <v>346</v>
      </c>
      <c r="AO32" s="167">
        <f>SUM(T28)</f>
        <v>23036487.829354916</v>
      </c>
      <c r="AP32" s="81" t="s">
        <v>322</v>
      </c>
      <c r="AQ32" s="167">
        <v>4590824</v>
      </c>
      <c r="AU32" s="168" t="s">
        <v>319</v>
      </c>
      <c r="AV32" s="168" t="s">
        <v>320</v>
      </c>
      <c r="AW32" s="168" t="s">
        <v>346</v>
      </c>
      <c r="AX32" s="169" t="s">
        <v>323</v>
      </c>
      <c r="AY32" s="162">
        <f t="shared" si="31"/>
        <v>23036487.829354916</v>
      </c>
      <c r="AZ32" s="168" t="s">
        <v>322</v>
      </c>
      <c r="BB32" s="81" t="s">
        <v>410</v>
      </c>
      <c r="BC32" s="167">
        <v>637</v>
      </c>
      <c r="BD32" s="167">
        <v>4.58</v>
      </c>
      <c r="BE32" s="81">
        <v>139.22</v>
      </c>
      <c r="BF32" s="81" t="s">
        <v>388</v>
      </c>
      <c r="BI32" s="175" t="s">
        <v>319</v>
      </c>
      <c r="BJ32" s="175" t="s">
        <v>320</v>
      </c>
      <c r="BK32" s="175" t="s">
        <v>346</v>
      </c>
      <c r="BL32" s="175" t="s">
        <v>323</v>
      </c>
      <c r="BM32" s="174">
        <f>BC61</f>
        <v>5280000</v>
      </c>
      <c r="BN32" s="175" t="s">
        <v>322</v>
      </c>
      <c r="BP32" s="81" t="s">
        <v>410</v>
      </c>
      <c r="BQ32" s="167">
        <v>278</v>
      </c>
      <c r="BR32" s="167">
        <v>2.25</v>
      </c>
      <c r="BS32" s="81">
        <v>123.56</v>
      </c>
      <c r="BT32" s="81" t="s">
        <v>422</v>
      </c>
      <c r="BU32" s="167">
        <v>2E-16</v>
      </c>
      <c r="BV32" s="81" t="s">
        <v>389</v>
      </c>
      <c r="BX32" s="178" t="s">
        <v>319</v>
      </c>
      <c r="BY32" s="178" t="s">
        <v>320</v>
      </c>
      <c r="BZ32" s="178" t="s">
        <v>344</v>
      </c>
      <c r="CA32" s="178" t="s">
        <v>323</v>
      </c>
      <c r="CB32" s="177">
        <f>BQ58</f>
        <v>752000</v>
      </c>
      <c r="CC32" s="178" t="s">
        <v>322</v>
      </c>
      <c r="CN32" s="81" t="s">
        <v>347</v>
      </c>
      <c r="CO32" s="254">
        <f t="shared" si="0"/>
        <v>0.12196112701172734</v>
      </c>
      <c r="CP32" s="254">
        <f t="shared" si="1"/>
        <v>0.38</v>
      </c>
      <c r="CQ32" s="254">
        <f t="shared" si="2"/>
        <v>0.23</v>
      </c>
      <c r="CT32" s="258" t="s">
        <v>442</v>
      </c>
      <c r="CU32" s="258" t="s">
        <v>308</v>
      </c>
      <c r="CV32" s="259">
        <v>600000000</v>
      </c>
      <c r="CW32" s="259">
        <v>31200000</v>
      </c>
      <c r="CX32" s="258">
        <v>19.239999999999998</v>
      </c>
      <c r="CY32" s="258" t="s">
        <v>422</v>
      </c>
      <c r="CZ32" s="167">
        <v>2E-16</v>
      </c>
      <c r="DA32" s="81" t="s">
        <v>389</v>
      </c>
      <c r="DB32" s="260" t="s">
        <v>467</v>
      </c>
      <c r="DC32" s="264" t="s">
        <v>335</v>
      </c>
      <c r="DD32" s="261" t="s">
        <v>323</v>
      </c>
      <c r="DE32" s="262">
        <f>CV47</f>
        <v>48.9</v>
      </c>
      <c r="DF32" s="260" t="s">
        <v>322</v>
      </c>
      <c r="DH32" s="308" t="s">
        <v>442</v>
      </c>
      <c r="DI32" s="308" t="s">
        <v>308</v>
      </c>
      <c r="DJ32" s="312">
        <v>600000000</v>
      </c>
      <c r="DK32" s="312">
        <v>31200000</v>
      </c>
      <c r="DL32" s="308">
        <v>19.239999999999998</v>
      </c>
      <c r="DM32" s="308" t="s">
        <v>422</v>
      </c>
      <c r="DN32" s="312">
        <v>2E-16</v>
      </c>
      <c r="DO32" s="308" t="s">
        <v>389</v>
      </c>
      <c r="DP32" s="309" t="s">
        <v>467</v>
      </c>
      <c r="DQ32" s="314" t="s">
        <v>335</v>
      </c>
      <c r="DR32" s="310" t="s">
        <v>323</v>
      </c>
      <c r="DS32" s="311">
        <f>DJ47</f>
        <v>48.9</v>
      </c>
      <c r="DT32" s="309" t="s">
        <v>322</v>
      </c>
    </row>
    <row r="33" spans="1:124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7" t="s">
        <v>112</v>
      </c>
      <c r="F33" s="317"/>
      <c r="G33" s="72" t="s">
        <v>113</v>
      </c>
      <c r="K33" s="223"/>
      <c r="L33" s="224"/>
      <c r="M33" s="224"/>
      <c r="N33" s="224"/>
      <c r="O33" s="225"/>
      <c r="P33" s="81"/>
      <c r="Q33" s="81"/>
      <c r="W33" s="189"/>
      <c r="X33" s="189"/>
      <c r="Y33" s="189"/>
      <c r="Z33" s="189"/>
      <c r="AA33" s="189"/>
      <c r="AB33" s="189"/>
      <c r="AC33" s="236"/>
      <c r="AD33" s="189"/>
      <c r="AE33" s="14"/>
      <c r="AF33" s="14"/>
      <c r="AG33" s="14"/>
      <c r="AL33" s="159" t="s">
        <v>319</v>
      </c>
      <c r="AM33" s="81" t="s">
        <v>320</v>
      </c>
      <c r="AN33" s="81" t="s">
        <v>347</v>
      </c>
      <c r="AO33" s="81">
        <f>AO26*0.3</f>
        <v>0.12196112701172734</v>
      </c>
      <c r="AP33" s="81" t="s">
        <v>322</v>
      </c>
      <c r="AQ33" s="167">
        <v>0.1616958</v>
      </c>
      <c r="AU33" s="168" t="s">
        <v>319</v>
      </c>
      <c r="AV33" s="168" t="s">
        <v>320</v>
      </c>
      <c r="AW33" s="168" t="s">
        <v>347</v>
      </c>
      <c r="AX33" s="169" t="s">
        <v>323</v>
      </c>
      <c r="AY33" s="162">
        <f t="shared" si="31"/>
        <v>0.12196112701172734</v>
      </c>
      <c r="AZ33" s="168" t="s">
        <v>322</v>
      </c>
      <c r="BB33" s="81" t="s">
        <v>411</v>
      </c>
      <c r="BC33" s="167">
        <v>795</v>
      </c>
      <c r="BD33" s="167">
        <v>5.28</v>
      </c>
      <c r="BE33" s="81">
        <v>150.51</v>
      </c>
      <c r="BF33" s="81" t="s">
        <v>388</v>
      </c>
      <c r="BI33" s="175" t="s">
        <v>319</v>
      </c>
      <c r="BJ33" s="175" t="s">
        <v>320</v>
      </c>
      <c r="BK33" s="175" t="s">
        <v>347</v>
      </c>
      <c r="BL33" s="175" t="s">
        <v>323</v>
      </c>
      <c r="BM33" s="174">
        <f>BC66</f>
        <v>0.38</v>
      </c>
      <c r="BN33" s="175" t="s">
        <v>322</v>
      </c>
      <c r="BP33" s="81" t="s">
        <v>411</v>
      </c>
      <c r="BQ33" s="167">
        <v>215</v>
      </c>
      <c r="BR33" s="167">
        <v>1.54</v>
      </c>
      <c r="BS33" s="81">
        <v>139.77000000000001</v>
      </c>
      <c r="BT33" s="81" t="s">
        <v>422</v>
      </c>
      <c r="BU33" s="167">
        <v>2E-16</v>
      </c>
      <c r="BV33" s="81" t="s">
        <v>389</v>
      </c>
      <c r="BX33" s="178" t="s">
        <v>319</v>
      </c>
      <c r="BY33" s="178" t="s">
        <v>320</v>
      </c>
      <c r="BZ33" s="178" t="s">
        <v>345</v>
      </c>
      <c r="CA33" s="178" t="s">
        <v>323</v>
      </c>
      <c r="CB33" s="177">
        <f t="shared" ref="CB33:CB34" si="32">BQ59</f>
        <v>8650000</v>
      </c>
      <c r="CC33" s="178" t="s">
        <v>322</v>
      </c>
      <c r="CN33" s="81" t="s">
        <v>348</v>
      </c>
      <c r="CO33" s="254">
        <f t="shared" si="0"/>
        <v>0.10883763313810986</v>
      </c>
      <c r="CP33" s="254">
        <f t="shared" si="1"/>
        <v>7.2800000000000004E-2</v>
      </c>
      <c r="CQ33" s="254">
        <f t="shared" si="2"/>
        <v>4.8599999999999997E-2</v>
      </c>
      <c r="CT33" s="258" t="s">
        <v>442</v>
      </c>
      <c r="CU33" s="258" t="s">
        <v>304</v>
      </c>
      <c r="CV33" s="259">
        <v>5790000</v>
      </c>
      <c r="CW33" s="259">
        <v>69800</v>
      </c>
      <c r="CX33" s="258">
        <v>82.95</v>
      </c>
      <c r="CY33" s="258" t="s">
        <v>422</v>
      </c>
      <c r="CZ33" s="167">
        <v>2E-16</v>
      </c>
      <c r="DA33" s="81" t="s">
        <v>389</v>
      </c>
      <c r="DB33" s="260" t="s">
        <v>467</v>
      </c>
      <c r="DC33" s="264" t="s">
        <v>336</v>
      </c>
      <c r="DD33" s="261" t="s">
        <v>323</v>
      </c>
      <c r="DE33" s="262">
        <f t="shared" ref="DE33:DE35" si="33">CV48</f>
        <v>84.6</v>
      </c>
      <c r="DF33" s="260" t="s">
        <v>322</v>
      </c>
      <c r="DH33" s="308" t="s">
        <v>442</v>
      </c>
      <c r="DI33" s="308" t="s">
        <v>304</v>
      </c>
      <c r="DJ33" s="312">
        <v>5790000</v>
      </c>
      <c r="DK33" s="312">
        <v>69800</v>
      </c>
      <c r="DL33" s="308">
        <v>82.95</v>
      </c>
      <c r="DM33" s="308" t="s">
        <v>422</v>
      </c>
      <c r="DN33" s="312">
        <v>2E-16</v>
      </c>
      <c r="DO33" s="308" t="s">
        <v>389</v>
      </c>
      <c r="DP33" s="309" t="s">
        <v>467</v>
      </c>
      <c r="DQ33" s="314" t="s">
        <v>336</v>
      </c>
      <c r="DR33" s="310" t="s">
        <v>323</v>
      </c>
      <c r="DS33" s="311">
        <f t="shared" ref="DS33:DS35" si="34">DJ48</f>
        <v>84.6</v>
      </c>
      <c r="DT33" s="309" t="s">
        <v>322</v>
      </c>
    </row>
    <row r="34" spans="1:124" ht="15" customHeight="1" thickTop="1" thickBot="1" x14ac:dyDescent="0.3">
      <c r="A34" s="73">
        <v>1</v>
      </c>
      <c r="B34" s="74">
        <f>B7*'Tabula data'!B16</f>
        <v>170.49079025549614</v>
      </c>
      <c r="C34" s="73"/>
      <c r="D34" s="73" t="s">
        <v>42</v>
      </c>
      <c r="E34" s="318">
        <v>21</v>
      </c>
      <c r="F34" s="318"/>
      <c r="G34" s="76">
        <f>VLOOKUP(D34,A6:B22,2,0)</f>
        <v>62</v>
      </c>
      <c r="K34" s="81"/>
      <c r="L34" s="81"/>
      <c r="M34" s="81"/>
      <c r="P34" s="69" t="s">
        <v>106</v>
      </c>
      <c r="Q34" s="70">
        <f>SUM(Q6:Q13)+0.5*Q14+SUM(Q16:Q25)</f>
        <v>147.02772718313472</v>
      </c>
      <c r="R34" s="69" t="s">
        <v>107</v>
      </c>
      <c r="W34" s="226"/>
      <c r="X34" s="226"/>
      <c r="Y34" s="227" t="s">
        <v>437</v>
      </c>
      <c r="Z34" s="227">
        <v>2.8</v>
      </c>
      <c r="AA34" s="227" t="s">
        <v>5</v>
      </c>
      <c r="AB34" s="226"/>
      <c r="AC34" s="226"/>
      <c r="AD34" s="226"/>
      <c r="AE34" s="14"/>
      <c r="AF34" s="14"/>
      <c r="AG34" s="14"/>
      <c r="AL34" s="159" t="s">
        <v>319</v>
      </c>
      <c r="AM34" s="81" t="s">
        <v>320</v>
      </c>
      <c r="AN34" s="81" t="s">
        <v>348</v>
      </c>
      <c r="AO34" s="81">
        <f>AO27*0.3</f>
        <v>0.10883763313810986</v>
      </c>
      <c r="AP34" s="81" t="s">
        <v>322</v>
      </c>
      <c r="AQ34" s="81" t="s">
        <v>349</v>
      </c>
      <c r="AU34" s="168" t="s">
        <v>319</v>
      </c>
      <c r="AV34" s="168" t="s">
        <v>320</v>
      </c>
      <c r="AW34" s="168" t="s">
        <v>348</v>
      </c>
      <c r="AX34" s="169" t="s">
        <v>323</v>
      </c>
      <c r="AY34" s="162">
        <f t="shared" si="31"/>
        <v>0.10883763313810986</v>
      </c>
      <c r="AZ34" s="168" t="s">
        <v>322</v>
      </c>
      <c r="BB34" s="81" t="s">
        <v>295</v>
      </c>
      <c r="BC34" s="167">
        <v>1310</v>
      </c>
      <c r="BD34" s="167">
        <v>8.17</v>
      </c>
      <c r="BE34" s="81">
        <v>160.79</v>
      </c>
      <c r="BF34" s="81" t="s">
        <v>388</v>
      </c>
      <c r="BI34" s="175" t="s">
        <v>319</v>
      </c>
      <c r="BJ34" s="175" t="s">
        <v>320</v>
      </c>
      <c r="BK34" s="175" t="s">
        <v>348</v>
      </c>
      <c r="BL34" s="175" t="s">
        <v>323</v>
      </c>
      <c r="BM34" s="174">
        <f>BC67</f>
        <v>7.2800000000000004E-2</v>
      </c>
      <c r="BN34" s="175" t="s">
        <v>322</v>
      </c>
      <c r="BP34" s="81" t="s">
        <v>295</v>
      </c>
      <c r="BQ34" s="167">
        <v>457</v>
      </c>
      <c r="BR34" s="167">
        <v>3.7</v>
      </c>
      <c r="BS34" s="81">
        <v>123.52</v>
      </c>
      <c r="BT34" s="81" t="s">
        <v>422</v>
      </c>
      <c r="BU34" s="167">
        <v>2E-16</v>
      </c>
      <c r="BV34" s="81" t="s">
        <v>389</v>
      </c>
      <c r="BX34" s="178" t="s">
        <v>319</v>
      </c>
      <c r="BY34" s="178" t="s">
        <v>320</v>
      </c>
      <c r="BZ34" s="178" t="s">
        <v>346</v>
      </c>
      <c r="CA34" s="178" t="s">
        <v>323</v>
      </c>
      <c r="CB34" s="177">
        <f t="shared" si="32"/>
        <v>17100000</v>
      </c>
      <c r="CC34" s="178" t="s">
        <v>322</v>
      </c>
      <c r="CN34" s="81" t="s">
        <v>350</v>
      </c>
      <c r="CO34" s="254">
        <f t="shared" si="0"/>
        <v>0.71137810143088931</v>
      </c>
      <c r="CP34" s="254">
        <f t="shared" si="1"/>
        <v>0.41799999999999998</v>
      </c>
      <c r="CQ34" s="254">
        <f t="shared" si="2"/>
        <v>0.63200000000000001</v>
      </c>
      <c r="CT34" s="258" t="s">
        <v>442</v>
      </c>
      <c r="CU34" s="258" t="s">
        <v>399</v>
      </c>
      <c r="CV34" s="259">
        <v>1060000</v>
      </c>
      <c r="CW34" s="259">
        <v>8030</v>
      </c>
      <c r="CX34" s="258">
        <v>132.57</v>
      </c>
      <c r="CY34" s="258" t="s">
        <v>422</v>
      </c>
      <c r="CZ34" s="167">
        <v>2E-16</v>
      </c>
      <c r="DA34" s="81" t="s">
        <v>389</v>
      </c>
      <c r="DB34" s="260" t="s">
        <v>467</v>
      </c>
      <c r="DC34" s="265" t="s">
        <v>337</v>
      </c>
      <c r="DD34" s="261" t="s">
        <v>323</v>
      </c>
      <c r="DE34" s="262">
        <f t="shared" si="33"/>
        <v>296</v>
      </c>
      <c r="DF34" s="260" t="s">
        <v>322</v>
      </c>
      <c r="DH34" s="308" t="s">
        <v>442</v>
      </c>
      <c r="DI34" s="308" t="s">
        <v>399</v>
      </c>
      <c r="DJ34" s="312">
        <v>1060000</v>
      </c>
      <c r="DK34" s="312">
        <v>8030</v>
      </c>
      <c r="DL34" s="308">
        <v>132.57</v>
      </c>
      <c r="DM34" s="308" t="s">
        <v>422</v>
      </c>
      <c r="DN34" s="312">
        <v>2E-16</v>
      </c>
      <c r="DO34" s="308" t="s">
        <v>389</v>
      </c>
      <c r="DP34" s="309" t="s">
        <v>467</v>
      </c>
      <c r="DQ34" s="315" t="s">
        <v>337</v>
      </c>
      <c r="DR34" s="310" t="s">
        <v>323</v>
      </c>
      <c r="DS34" s="311">
        <f t="shared" si="34"/>
        <v>296</v>
      </c>
      <c r="DT34" s="309" t="s">
        <v>322</v>
      </c>
    </row>
    <row r="35" spans="1:124" ht="15" customHeight="1" thickTop="1" thickBot="1" x14ac:dyDescent="0.3">
      <c r="A35" s="73">
        <v>2</v>
      </c>
      <c r="B35" s="74">
        <f>B4-B34</f>
        <v>292.30920974450385</v>
      </c>
      <c r="C35" s="73"/>
      <c r="D35" s="73" t="s">
        <v>116</v>
      </c>
      <c r="E35" s="77">
        <v>16</v>
      </c>
      <c r="F35" s="77"/>
      <c r="G35" s="76">
        <f>VLOOKUP(D35,A7:B23,2,0)</f>
        <v>106.30000000000001</v>
      </c>
      <c r="K35" s="81"/>
      <c r="L35" s="81"/>
      <c r="M35" s="81"/>
      <c r="P35" s="81" t="s">
        <v>514</v>
      </c>
      <c r="Q35" s="81">
        <f>G4*Y37</f>
        <v>11.467999999999998</v>
      </c>
      <c r="W35" s="228" t="s">
        <v>115</v>
      </c>
      <c r="X35" s="229"/>
      <c r="Y35" s="230" t="s">
        <v>21</v>
      </c>
      <c r="Z35" s="243">
        <v>2</v>
      </c>
      <c r="AA35" s="229" t="s">
        <v>5</v>
      </c>
      <c r="AB35" s="229"/>
      <c r="AC35" s="229" t="s">
        <v>22</v>
      </c>
      <c r="AD35" s="232">
        <f>SUM(AD36:AD37)</f>
        <v>0</v>
      </c>
      <c r="AE35" s="14" t="s">
        <v>23</v>
      </c>
      <c r="AF35" s="14">
        <f>SUM(AD37:AD38)</f>
        <v>0</v>
      </c>
      <c r="AG35" s="14"/>
      <c r="AL35" s="159" t="s">
        <v>319</v>
      </c>
      <c r="AM35" s="81" t="s">
        <v>320</v>
      </c>
      <c r="AN35" s="81" t="s">
        <v>350</v>
      </c>
      <c r="AO35" s="81">
        <f>AO28*0.3+0.7</f>
        <v>0.71137810143088931</v>
      </c>
      <c r="AP35" s="81" t="s">
        <v>322</v>
      </c>
      <c r="AQ35" s="81" t="s">
        <v>351</v>
      </c>
      <c r="AU35" s="168" t="s">
        <v>319</v>
      </c>
      <c r="AV35" s="168" t="s">
        <v>320</v>
      </c>
      <c r="AW35" s="168" t="s">
        <v>350</v>
      </c>
      <c r="AX35" s="169" t="s">
        <v>323</v>
      </c>
      <c r="AY35" s="162">
        <f t="shared" si="31"/>
        <v>0.71137810143088931</v>
      </c>
      <c r="AZ35" s="168" t="s">
        <v>322</v>
      </c>
      <c r="BB35" s="81" t="s">
        <v>120</v>
      </c>
      <c r="BC35" s="167">
        <v>253</v>
      </c>
      <c r="BD35" s="167">
        <v>0.97099999999999997</v>
      </c>
      <c r="BE35" s="81">
        <v>260.89</v>
      </c>
      <c r="BF35" s="81" t="s">
        <v>388</v>
      </c>
      <c r="BI35" s="175" t="s">
        <v>319</v>
      </c>
      <c r="BJ35" s="175" t="s">
        <v>320</v>
      </c>
      <c r="BK35" s="175" t="s">
        <v>350</v>
      </c>
      <c r="BL35" s="175" t="s">
        <v>323</v>
      </c>
      <c r="BM35" s="174">
        <f>BC68</f>
        <v>0.41799999999999998</v>
      </c>
      <c r="BN35" s="175" t="s">
        <v>322</v>
      </c>
      <c r="BP35" s="81" t="s">
        <v>120</v>
      </c>
      <c r="BQ35" s="167">
        <v>272</v>
      </c>
      <c r="BR35" s="167">
        <v>18.2</v>
      </c>
      <c r="BS35" s="81">
        <v>14.96</v>
      </c>
      <c r="BT35" s="81" t="s">
        <v>422</v>
      </c>
      <c r="BU35" s="167">
        <v>2E-16</v>
      </c>
      <c r="BV35" s="81" t="s">
        <v>389</v>
      </c>
      <c r="BX35" s="178" t="s">
        <v>319</v>
      </c>
      <c r="BY35" s="178" t="s">
        <v>320</v>
      </c>
      <c r="BZ35" s="178" t="s">
        <v>347</v>
      </c>
      <c r="CA35" s="178" t="s">
        <v>323</v>
      </c>
      <c r="CB35" s="177">
        <f>BQ65</f>
        <v>0.23</v>
      </c>
      <c r="CC35" s="178" t="s">
        <v>322</v>
      </c>
      <c r="CO35" s="255"/>
      <c r="CP35" s="255"/>
      <c r="CQ35" s="255"/>
      <c r="CT35" s="258" t="s">
        <v>442</v>
      </c>
      <c r="CU35" s="258" t="s">
        <v>301</v>
      </c>
      <c r="CV35" s="259">
        <v>4390000</v>
      </c>
      <c r="CW35" s="259">
        <v>78000</v>
      </c>
      <c r="CX35" s="258">
        <v>56.32</v>
      </c>
      <c r="CY35" s="258" t="s">
        <v>422</v>
      </c>
      <c r="CZ35" s="167">
        <v>2E-16</v>
      </c>
      <c r="DA35" s="81" t="s">
        <v>389</v>
      </c>
      <c r="DB35" s="260" t="s">
        <v>467</v>
      </c>
      <c r="DC35" s="265" t="s">
        <v>338</v>
      </c>
      <c r="DD35" s="261" t="s">
        <v>323</v>
      </c>
      <c r="DE35" s="262">
        <f t="shared" si="33"/>
        <v>66.900000000000006</v>
      </c>
      <c r="DF35" s="260" t="s">
        <v>322</v>
      </c>
      <c r="DH35" s="308" t="s">
        <v>442</v>
      </c>
      <c r="DI35" s="308" t="s">
        <v>301</v>
      </c>
      <c r="DJ35" s="312">
        <v>4390000</v>
      </c>
      <c r="DK35" s="312">
        <v>78000</v>
      </c>
      <c r="DL35" s="308">
        <v>56.32</v>
      </c>
      <c r="DM35" s="308" t="s">
        <v>422</v>
      </c>
      <c r="DN35" s="312">
        <v>2E-16</v>
      </c>
      <c r="DO35" s="308" t="s">
        <v>389</v>
      </c>
      <c r="DP35" s="309" t="s">
        <v>467</v>
      </c>
      <c r="DQ35" s="315" t="s">
        <v>338</v>
      </c>
      <c r="DR35" s="310" t="s">
        <v>323</v>
      </c>
      <c r="DS35" s="311">
        <f t="shared" si="34"/>
        <v>66.900000000000006</v>
      </c>
      <c r="DT35" s="309" t="s">
        <v>322</v>
      </c>
    </row>
    <row r="36" spans="1:124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9" t="s">
        <v>119</v>
      </c>
      <c r="F36" s="319"/>
      <c r="G36" s="76">
        <f>B17</f>
        <v>0</v>
      </c>
      <c r="K36" s="81"/>
      <c r="L36" s="81"/>
      <c r="M36" s="81"/>
      <c r="P36" s="81"/>
      <c r="Q36" s="81"/>
      <c r="W36" s="239"/>
      <c r="X36" s="240" t="s">
        <v>16</v>
      </c>
      <c r="Y36" s="240">
        <v>1.361</v>
      </c>
      <c r="Z36" s="240" t="s">
        <v>5</v>
      </c>
      <c r="AA36" s="240"/>
      <c r="AB36" s="240" t="s">
        <v>515</v>
      </c>
      <c r="AC36" s="240">
        <f>(Z35-(1-AC37)*Y36)/AC37</f>
        <v>3.9169999999999998</v>
      </c>
      <c r="AD36" s="244"/>
      <c r="AE36" s="14"/>
      <c r="AF36" s="14"/>
      <c r="AG36" s="14"/>
      <c r="AP36" s="81" t="s">
        <v>322</v>
      </c>
      <c r="AU36" s="168"/>
      <c r="AV36" s="168"/>
      <c r="AW36" s="168"/>
      <c r="AX36" s="169"/>
      <c r="AZ36" s="168"/>
      <c r="BB36" s="81" t="s">
        <v>412</v>
      </c>
      <c r="BC36" s="167">
        <v>-5.43</v>
      </c>
      <c r="BD36" s="167">
        <v>2.2100000000000002E-2</v>
      </c>
      <c r="BE36" s="81">
        <v>-245.28</v>
      </c>
      <c r="BF36" s="81" t="s">
        <v>388</v>
      </c>
      <c r="BI36" s="175"/>
      <c r="BJ36" s="175"/>
      <c r="BK36" s="175"/>
      <c r="BL36" s="175"/>
      <c r="BM36" s="174"/>
      <c r="BN36" s="175"/>
      <c r="BP36" s="81" t="s">
        <v>412</v>
      </c>
      <c r="BQ36" s="167">
        <v>-5.48</v>
      </c>
      <c r="BR36" s="167">
        <v>7.46E-2</v>
      </c>
      <c r="BS36" s="81">
        <v>-73.489999999999995</v>
      </c>
      <c r="BT36" s="81" t="s">
        <v>422</v>
      </c>
      <c r="BU36" s="167">
        <v>2E-16</v>
      </c>
      <c r="BV36" s="81" t="s">
        <v>389</v>
      </c>
      <c r="BX36" s="178" t="s">
        <v>319</v>
      </c>
      <c r="BY36" s="178" t="s">
        <v>320</v>
      </c>
      <c r="BZ36" s="178" t="s">
        <v>348</v>
      </c>
      <c r="CA36" s="178" t="s">
        <v>323</v>
      </c>
      <c r="CB36" s="177">
        <f t="shared" ref="CB36:CB37" si="35">BQ66</f>
        <v>4.8599999999999997E-2</v>
      </c>
      <c r="CC36" s="178" t="s">
        <v>322</v>
      </c>
      <c r="CN36" s="81" t="s">
        <v>352</v>
      </c>
      <c r="CO36" s="257">
        <f t="shared" si="0"/>
        <v>239.87897000692513</v>
      </c>
      <c r="CP36" s="257">
        <f t="shared" si="1"/>
        <v>568</v>
      </c>
      <c r="CQ36" s="257">
        <f t="shared" si="2"/>
        <v>219</v>
      </c>
      <c r="CT36" s="258" t="s">
        <v>442</v>
      </c>
      <c r="CU36" s="258" t="s">
        <v>303</v>
      </c>
      <c r="CV36" s="259">
        <v>18500000</v>
      </c>
      <c r="CW36" s="259">
        <v>165000</v>
      </c>
      <c r="CX36" s="258">
        <v>111.84</v>
      </c>
      <c r="CY36" s="258" t="s">
        <v>422</v>
      </c>
      <c r="CZ36" s="167">
        <v>2E-16</v>
      </c>
      <c r="DA36" s="81" t="s">
        <v>389</v>
      </c>
      <c r="DB36" s="260" t="s">
        <v>467</v>
      </c>
      <c r="DC36" s="266" t="s">
        <v>340</v>
      </c>
      <c r="DD36" s="261" t="s">
        <v>323</v>
      </c>
      <c r="DE36" s="262">
        <f>CV59</f>
        <v>24.8</v>
      </c>
      <c r="DF36" s="260" t="s">
        <v>322</v>
      </c>
      <c r="DH36" s="308" t="s">
        <v>442</v>
      </c>
      <c r="DI36" s="308" t="s">
        <v>303</v>
      </c>
      <c r="DJ36" s="312">
        <v>18500000</v>
      </c>
      <c r="DK36" s="312">
        <v>165000</v>
      </c>
      <c r="DL36" s="308">
        <v>111.84</v>
      </c>
      <c r="DM36" s="308" t="s">
        <v>422</v>
      </c>
      <c r="DN36" s="312">
        <v>2E-16</v>
      </c>
      <c r="DO36" s="308" t="s">
        <v>389</v>
      </c>
      <c r="DP36" s="309" t="s">
        <v>467</v>
      </c>
      <c r="DQ36" s="316" t="s">
        <v>340</v>
      </c>
      <c r="DR36" s="310" t="s">
        <v>323</v>
      </c>
      <c r="DS36" s="311">
        <f>DJ59</f>
        <v>24.8</v>
      </c>
      <c r="DT36" s="309" t="s">
        <v>322</v>
      </c>
    </row>
    <row r="37" spans="1:124" ht="15" customHeight="1" thickTop="1" thickBot="1" x14ac:dyDescent="0.3">
      <c r="K37" s="81"/>
      <c r="L37" s="81"/>
      <c r="M37" s="81"/>
      <c r="P37" s="81"/>
      <c r="Q37" s="81"/>
      <c r="W37" s="205"/>
      <c r="X37" s="187" t="s">
        <v>121</v>
      </c>
      <c r="Y37" s="187">
        <v>0.47</v>
      </c>
      <c r="Z37" s="187"/>
      <c r="AA37" s="187"/>
      <c r="AB37" s="187" t="s">
        <v>516</v>
      </c>
      <c r="AC37" s="187">
        <v>0.25</v>
      </c>
      <c r="AD37" s="210"/>
      <c r="AE37" s="149" t="s">
        <v>279</v>
      </c>
      <c r="AF37" s="14"/>
      <c r="AG37" s="14"/>
      <c r="AL37" s="159" t="s">
        <v>319</v>
      </c>
      <c r="AM37" s="81" t="s">
        <v>320</v>
      </c>
      <c r="AN37" s="81" t="s">
        <v>352</v>
      </c>
      <c r="AO37" s="81">
        <f>SUM(N17:N20)*(1/(SUM(AC18:AC19)*0.5+1/8))+N25*(1/(SUM(AC9:AC10)*0.5+1/8))</f>
        <v>239.87897000692513</v>
      </c>
      <c r="AP37" s="81" t="s">
        <v>322</v>
      </c>
      <c r="AQ37" s="81" t="s">
        <v>353</v>
      </c>
      <c r="AU37" s="168" t="s">
        <v>319</v>
      </c>
      <c r="AV37" s="168" t="s">
        <v>320</v>
      </c>
      <c r="AW37" s="168" t="s">
        <v>352</v>
      </c>
      <c r="AX37" s="169" t="s">
        <v>323</v>
      </c>
      <c r="AY37" s="162">
        <f>AO37</f>
        <v>239.87897000692513</v>
      </c>
      <c r="AZ37" s="168" t="s">
        <v>322</v>
      </c>
      <c r="BB37" s="81" t="s">
        <v>413</v>
      </c>
      <c r="BC37" s="167">
        <v>-6.85</v>
      </c>
      <c r="BD37" s="167">
        <v>1.8800000000000001E-2</v>
      </c>
      <c r="BE37" s="81">
        <v>-364.7</v>
      </c>
      <c r="BF37" s="81" t="s">
        <v>388</v>
      </c>
      <c r="BI37" s="175" t="s">
        <v>319</v>
      </c>
      <c r="BJ37" s="175" t="s">
        <v>320</v>
      </c>
      <c r="BK37" s="175" t="s">
        <v>352</v>
      </c>
      <c r="BL37" s="175" t="s">
        <v>323</v>
      </c>
      <c r="BM37" s="174">
        <f>BC70</f>
        <v>568</v>
      </c>
      <c r="BN37" s="175" t="s">
        <v>322</v>
      </c>
      <c r="BP37" s="81" t="s">
        <v>413</v>
      </c>
      <c r="BQ37" s="167">
        <v>-6.06</v>
      </c>
      <c r="BR37" s="167">
        <v>4.41E-2</v>
      </c>
      <c r="BS37" s="81">
        <v>-137.35</v>
      </c>
      <c r="BT37" s="81" t="s">
        <v>422</v>
      </c>
      <c r="BU37" s="167">
        <v>2E-16</v>
      </c>
      <c r="BV37" s="81" t="s">
        <v>389</v>
      </c>
      <c r="BX37" s="178" t="s">
        <v>319</v>
      </c>
      <c r="BY37" s="178" t="s">
        <v>320</v>
      </c>
      <c r="BZ37" s="178" t="s">
        <v>350</v>
      </c>
      <c r="CA37" s="178" t="s">
        <v>323</v>
      </c>
      <c r="CB37" s="177">
        <f t="shared" si="35"/>
        <v>0.63200000000000001</v>
      </c>
      <c r="CC37" s="178" t="s">
        <v>322</v>
      </c>
      <c r="CN37" s="81" t="s">
        <v>354</v>
      </c>
      <c r="CO37" s="257">
        <f t="shared" si="0"/>
        <v>810.51765738208633</v>
      </c>
      <c r="CP37" s="257">
        <f t="shared" si="1"/>
        <v>238</v>
      </c>
      <c r="CQ37" s="257">
        <f t="shared" si="2"/>
        <v>85.9</v>
      </c>
      <c r="CT37" s="258" t="s">
        <v>442</v>
      </c>
      <c r="CU37" s="258" t="s">
        <v>400</v>
      </c>
      <c r="CV37" s="259">
        <v>-6.44</v>
      </c>
      <c r="CW37" s="259">
        <v>5.0799999999999998E-2</v>
      </c>
      <c r="CX37" s="258">
        <v>-126.8</v>
      </c>
      <c r="CY37" s="258" t="s">
        <v>422</v>
      </c>
      <c r="CZ37" s="167">
        <v>2E-16</v>
      </c>
      <c r="DA37" s="81" t="s">
        <v>389</v>
      </c>
      <c r="DB37" s="260" t="s">
        <v>467</v>
      </c>
      <c r="DC37" s="266" t="s">
        <v>339</v>
      </c>
      <c r="DD37" s="261" t="s">
        <v>323</v>
      </c>
      <c r="DE37" s="262">
        <f>1/CV56</f>
        <v>15.748031496062993</v>
      </c>
      <c r="DF37" s="260" t="s">
        <v>322</v>
      </c>
      <c r="DH37" s="308" t="s">
        <v>442</v>
      </c>
      <c r="DI37" s="308" t="s">
        <v>400</v>
      </c>
      <c r="DJ37" s="312">
        <v>-6.44</v>
      </c>
      <c r="DK37" s="312">
        <v>5.0799999999999998E-2</v>
      </c>
      <c r="DL37" s="308">
        <v>-126.8</v>
      </c>
      <c r="DM37" s="308" t="s">
        <v>422</v>
      </c>
      <c r="DN37" s="312">
        <v>2E-16</v>
      </c>
      <c r="DO37" s="308" t="s">
        <v>389</v>
      </c>
      <c r="DP37" s="309" t="s">
        <v>467</v>
      </c>
      <c r="DQ37" s="316" t="s">
        <v>339</v>
      </c>
      <c r="DR37" s="310" t="s">
        <v>323</v>
      </c>
      <c r="DS37" s="311">
        <f>1/DJ56</f>
        <v>15.748031496062993</v>
      </c>
      <c r="DT37" s="309" t="s">
        <v>322</v>
      </c>
    </row>
    <row r="38" spans="1:124" ht="15" customHeight="1" thickTop="1" thickBot="1" x14ac:dyDescent="0.3">
      <c r="B38" s="153"/>
      <c r="K38" s="81"/>
      <c r="L38" s="81"/>
      <c r="M38" s="81"/>
      <c r="P38" s="81"/>
      <c r="Q38" s="81"/>
      <c r="W38" s="226"/>
      <c r="X38" s="226"/>
      <c r="Y38" s="226"/>
      <c r="Z38" s="226"/>
      <c r="AA38" s="226"/>
      <c r="AB38" s="226"/>
      <c r="AC38" s="226"/>
      <c r="AD38" s="226"/>
      <c r="AE38" s="14"/>
      <c r="AF38" s="14"/>
      <c r="AG38" s="14"/>
      <c r="AL38" s="159" t="s">
        <v>319</v>
      </c>
      <c r="AM38" s="81" t="s">
        <v>320</v>
      </c>
      <c r="AN38" s="81" t="s">
        <v>354</v>
      </c>
      <c r="AO38" s="81">
        <f>4*Z21*N28</f>
        <v>810.51765738208633</v>
      </c>
      <c r="AP38" s="81" t="s">
        <v>322</v>
      </c>
      <c r="AQ38" s="167">
        <v>85.692350000000005</v>
      </c>
      <c r="AU38" s="168" t="s">
        <v>319</v>
      </c>
      <c r="AV38" s="168" t="s">
        <v>320</v>
      </c>
      <c r="AW38" s="168" t="s">
        <v>354</v>
      </c>
      <c r="AX38" s="169" t="s">
        <v>323</v>
      </c>
      <c r="AY38" s="162">
        <f t="shared" ref="AY38:AY40" si="36">AO38</f>
        <v>810.51765738208633</v>
      </c>
      <c r="AZ38" s="168" t="s">
        <v>322</v>
      </c>
      <c r="BB38" s="81" t="s">
        <v>414</v>
      </c>
      <c r="BC38" s="167">
        <v>-8.6300000000000008</v>
      </c>
      <c r="BD38" s="167">
        <v>5.8999999999999997E-2</v>
      </c>
      <c r="BE38" s="81">
        <v>-146.31</v>
      </c>
      <c r="BF38" s="81" t="s">
        <v>388</v>
      </c>
      <c r="BI38" s="175" t="s">
        <v>319</v>
      </c>
      <c r="BJ38" s="175" t="s">
        <v>320</v>
      </c>
      <c r="BK38" s="175" t="s">
        <v>354</v>
      </c>
      <c r="BL38" s="175" t="s">
        <v>323</v>
      </c>
      <c r="BM38" s="174">
        <f>BC71</f>
        <v>238</v>
      </c>
      <c r="BN38" s="175" t="s">
        <v>322</v>
      </c>
      <c r="BP38" s="81" t="s">
        <v>414</v>
      </c>
      <c r="BQ38" s="167">
        <v>-6.9</v>
      </c>
      <c r="BR38" s="167">
        <v>0.127</v>
      </c>
      <c r="BS38" s="81">
        <v>-54.4</v>
      </c>
      <c r="BT38" s="81" t="s">
        <v>422</v>
      </c>
      <c r="BU38" s="167">
        <v>2E-16</v>
      </c>
      <c r="BV38" s="81" t="s">
        <v>389</v>
      </c>
      <c r="BX38" s="178"/>
      <c r="BY38" s="178"/>
      <c r="BZ38" s="178"/>
      <c r="CA38" s="178"/>
      <c r="CB38" s="177"/>
      <c r="CC38" s="178"/>
      <c r="CN38" s="81" t="s">
        <v>355</v>
      </c>
      <c r="CO38" s="257">
        <f t="shared" si="0"/>
        <v>50.307964117309652</v>
      </c>
      <c r="CP38" s="257">
        <f t="shared" si="1"/>
        <v>58</v>
      </c>
      <c r="CQ38" s="257">
        <f t="shared" si="2"/>
        <v>49.4</v>
      </c>
      <c r="CT38" s="258" t="s">
        <v>442</v>
      </c>
      <c r="CU38" s="258" t="s">
        <v>401</v>
      </c>
      <c r="CV38" s="259">
        <v>-19.8</v>
      </c>
      <c r="CW38" s="259">
        <v>13.6</v>
      </c>
      <c r="CX38" s="258">
        <v>-1.45</v>
      </c>
      <c r="CY38" s="258">
        <v>0.14599999999999999</v>
      </c>
      <c r="DB38" s="260" t="s">
        <v>467</v>
      </c>
      <c r="DC38" s="263" t="s">
        <v>331</v>
      </c>
      <c r="DD38" s="261" t="s">
        <v>323</v>
      </c>
      <c r="DE38" s="262">
        <f>CV42</f>
        <v>2.46E-2</v>
      </c>
      <c r="DF38" s="260" t="s">
        <v>322</v>
      </c>
      <c r="DH38" s="308" t="s">
        <v>442</v>
      </c>
      <c r="DI38" s="308" t="s">
        <v>401</v>
      </c>
      <c r="DJ38" s="312">
        <v>-19.8</v>
      </c>
      <c r="DK38" s="312">
        <v>13.6</v>
      </c>
      <c r="DL38" s="308">
        <v>-1.45</v>
      </c>
      <c r="DM38" s="308">
        <v>0.14599999999999999</v>
      </c>
      <c r="DP38" s="309" t="s">
        <v>467</v>
      </c>
      <c r="DQ38" s="313" t="s">
        <v>331</v>
      </c>
      <c r="DR38" s="310" t="s">
        <v>323</v>
      </c>
      <c r="DS38" s="311">
        <f>DJ42</f>
        <v>2.46E-2</v>
      </c>
      <c r="DT38" s="309" t="s">
        <v>322</v>
      </c>
    </row>
    <row r="39" spans="1:124" ht="15" customHeight="1" thickTop="1" thickBot="1" x14ac:dyDescent="0.3">
      <c r="K39" s="81"/>
      <c r="L39" s="81"/>
      <c r="M39" s="81" t="s">
        <v>114</v>
      </c>
      <c r="N39" s="153">
        <f>SUM(Q6:Q9,Q15,Q17:Q20,Q25)</f>
        <v>50.751744650383635</v>
      </c>
      <c r="O39" s="153"/>
      <c r="Q39" s="81"/>
      <c r="W39" s="226"/>
      <c r="X39" s="226"/>
      <c r="Y39" s="227" t="s">
        <v>4</v>
      </c>
      <c r="Z39" s="227">
        <v>0.85</v>
      </c>
      <c r="AA39" s="227" t="s">
        <v>5</v>
      </c>
      <c r="AB39" s="226"/>
      <c r="AC39" s="226"/>
      <c r="AD39" s="226"/>
      <c r="AE39" s="14"/>
      <c r="AF39" s="14"/>
      <c r="AG39" s="14"/>
      <c r="AL39" s="159" t="s">
        <v>319</v>
      </c>
      <c r="AM39" s="81" t="s">
        <v>320</v>
      </c>
      <c r="AN39" s="81" t="s">
        <v>355</v>
      </c>
      <c r="AO39" s="153">
        <f>'Verwarming Tabula 2zone Ref1'!B139+SUM(Q21:Q24)</f>
        <v>50.307964117309652</v>
      </c>
      <c r="AP39" s="81" t="s">
        <v>322</v>
      </c>
      <c r="AQ39" s="81" t="s">
        <v>356</v>
      </c>
      <c r="AU39" s="168" t="s">
        <v>319</v>
      </c>
      <c r="AV39" s="168" t="s">
        <v>320</v>
      </c>
      <c r="AW39" s="168" t="s">
        <v>355</v>
      </c>
      <c r="AX39" s="169" t="s">
        <v>323</v>
      </c>
      <c r="AY39" s="162">
        <f t="shared" si="36"/>
        <v>50.307964117309652</v>
      </c>
      <c r="AZ39" s="168" t="s">
        <v>322</v>
      </c>
      <c r="BB39" s="81" t="s">
        <v>415</v>
      </c>
      <c r="BC39" s="167">
        <v>-6.14</v>
      </c>
      <c r="BD39" s="167">
        <v>2.1399999999999999E-2</v>
      </c>
      <c r="BE39" s="81">
        <v>-287.01</v>
      </c>
      <c r="BF39" s="81" t="s">
        <v>388</v>
      </c>
      <c r="BI39" s="175" t="s">
        <v>319</v>
      </c>
      <c r="BJ39" s="175" t="s">
        <v>320</v>
      </c>
      <c r="BK39" s="175" t="s">
        <v>355</v>
      </c>
      <c r="BL39" s="175" t="s">
        <v>323</v>
      </c>
      <c r="BM39" s="174">
        <f>BC72</f>
        <v>58</v>
      </c>
      <c r="BN39" s="175" t="s">
        <v>322</v>
      </c>
      <c r="BP39" s="81" t="s">
        <v>415</v>
      </c>
      <c r="BQ39" s="167">
        <v>-6.05</v>
      </c>
      <c r="BR39" s="167">
        <v>2.2700000000000001E-2</v>
      </c>
      <c r="BS39" s="81">
        <v>-266.10000000000002</v>
      </c>
      <c r="BT39" s="81" t="s">
        <v>422</v>
      </c>
      <c r="BU39" s="167">
        <v>2E-16</v>
      </c>
      <c r="BV39" s="81" t="s">
        <v>389</v>
      </c>
      <c r="BX39" s="178" t="s">
        <v>319</v>
      </c>
      <c r="BY39" s="178" t="s">
        <v>320</v>
      </c>
      <c r="BZ39" s="178" t="s">
        <v>352</v>
      </c>
      <c r="CA39" s="178" t="s">
        <v>323</v>
      </c>
      <c r="CB39" s="177">
        <f>BQ69</f>
        <v>219</v>
      </c>
      <c r="CC39" s="178" t="s">
        <v>322</v>
      </c>
      <c r="CN39" s="81" t="s">
        <v>357</v>
      </c>
      <c r="CO39" s="257">
        <f t="shared" si="0"/>
        <v>42.04636283913888</v>
      </c>
      <c r="CP39" s="257">
        <f t="shared" si="1"/>
        <v>215.51724137931035</v>
      </c>
      <c r="CQ39" s="257">
        <f t="shared" si="2"/>
        <v>350.87719298245611</v>
      </c>
      <c r="CT39" s="258" t="s">
        <v>442</v>
      </c>
      <c r="CU39" s="258" t="s">
        <v>402</v>
      </c>
      <c r="CV39" s="259">
        <v>-16.5</v>
      </c>
      <c r="CW39" s="259">
        <v>28.5</v>
      </c>
      <c r="CX39" s="258">
        <v>-0.57999999999999996</v>
      </c>
      <c r="CY39" s="258">
        <v>0.56299999999999994</v>
      </c>
      <c r="DB39" s="260" t="s">
        <v>467</v>
      </c>
      <c r="DC39" s="264" t="s">
        <v>332</v>
      </c>
      <c r="DD39" s="261" t="s">
        <v>323</v>
      </c>
      <c r="DE39" s="262">
        <f t="shared" ref="DE39:DE42" si="37">CV43</f>
        <v>0.18099999999999999</v>
      </c>
      <c r="DF39" s="260" t="s">
        <v>322</v>
      </c>
      <c r="DH39" s="308" t="s">
        <v>442</v>
      </c>
      <c r="DI39" s="308" t="s">
        <v>402</v>
      </c>
      <c r="DJ39" s="312">
        <v>-16.5</v>
      </c>
      <c r="DK39" s="312">
        <v>28.5</v>
      </c>
      <c r="DL39" s="308">
        <v>-0.57999999999999996</v>
      </c>
      <c r="DM39" s="308">
        <v>0.56299999999999994</v>
      </c>
      <c r="DP39" s="309" t="s">
        <v>467</v>
      </c>
      <c r="DQ39" s="314" t="s">
        <v>332</v>
      </c>
      <c r="DR39" s="310" t="s">
        <v>323</v>
      </c>
      <c r="DS39" s="311">
        <f t="shared" ref="DS39:DS42" si="38">DJ43</f>
        <v>0.18099999999999999</v>
      </c>
      <c r="DT39" s="309" t="s">
        <v>322</v>
      </c>
    </row>
    <row r="40" spans="1:124" ht="15" customHeight="1" thickTop="1" thickBot="1" x14ac:dyDescent="0.3">
      <c r="A40" s="81" t="s">
        <v>280</v>
      </c>
      <c r="K40" s="81"/>
      <c r="L40" s="81"/>
      <c r="M40" s="81" t="s">
        <v>117</v>
      </c>
      <c r="N40" s="153">
        <f>SUM(Q10:Q13,Q21:Q24)</f>
        <v>48.8</v>
      </c>
      <c r="Q40" s="81"/>
      <c r="W40" s="228" t="s">
        <v>63</v>
      </c>
      <c r="X40" s="229"/>
      <c r="Y40" s="230" t="s">
        <v>21</v>
      </c>
      <c r="Z40" s="231">
        <f>1/(1/10+SUM(AC42:AC46))</f>
        <v>0.3056768558951965</v>
      </c>
      <c r="AA40" s="229" t="s">
        <v>5</v>
      </c>
      <c r="AB40" s="229"/>
      <c r="AC40" s="229" t="s">
        <v>22</v>
      </c>
      <c r="AD40" s="232">
        <f>SUM(AD42:AD46)</f>
        <v>378867.5</v>
      </c>
      <c r="AE40" s="14" t="s">
        <v>23</v>
      </c>
      <c r="AF40" s="14">
        <f>SUM(AD42:AD43)</f>
        <v>110960</v>
      </c>
      <c r="AG40" s="14"/>
      <c r="AL40" s="159" t="s">
        <v>319</v>
      </c>
      <c r="AM40" s="81" t="s">
        <v>320</v>
      </c>
      <c r="AN40" s="81" t="s">
        <v>357</v>
      </c>
      <c r="AO40" s="81">
        <f>SUM(N17:N20)*1/(SUM(AC15:AC17)+0.5*SUM(AC18:AC19)+1/23)+N25*1/(SUM(AC7:AC9)+0.5*SUM(AC10)+1/23)</f>
        <v>42.04636283913888</v>
      </c>
      <c r="AP40" s="81" t="s">
        <v>322</v>
      </c>
      <c r="AQ40" s="81">
        <f>1/0.01634389</f>
        <v>61.184944343115376</v>
      </c>
      <c r="AU40" s="168" t="s">
        <v>319</v>
      </c>
      <c r="AV40" s="168" t="s">
        <v>320</v>
      </c>
      <c r="AW40" s="168" t="s">
        <v>357</v>
      </c>
      <c r="AX40" s="169" t="s">
        <v>323</v>
      </c>
      <c r="AY40" s="162">
        <f t="shared" si="36"/>
        <v>42.04636283913888</v>
      </c>
      <c r="AZ40" s="168" t="s">
        <v>322</v>
      </c>
      <c r="BB40" s="81" t="s">
        <v>416</v>
      </c>
      <c r="BC40" s="167">
        <v>-7.59</v>
      </c>
      <c r="BD40" s="167">
        <v>2.3199999999999998E-2</v>
      </c>
      <c r="BE40" s="81">
        <v>-327.07</v>
      </c>
      <c r="BF40" s="81" t="s">
        <v>388</v>
      </c>
      <c r="BI40" s="175" t="s">
        <v>319</v>
      </c>
      <c r="BJ40" s="175" t="s">
        <v>320</v>
      </c>
      <c r="BK40" s="175" t="s">
        <v>357</v>
      </c>
      <c r="BL40" s="175" t="s">
        <v>323</v>
      </c>
      <c r="BM40" s="174">
        <f>1/BC77</f>
        <v>215.51724137931035</v>
      </c>
      <c r="BN40" s="175" t="s">
        <v>322</v>
      </c>
      <c r="BP40" s="81" t="s">
        <v>416</v>
      </c>
      <c r="BQ40" s="167">
        <v>-6.56</v>
      </c>
      <c r="BR40" s="167">
        <v>3.3300000000000003E-2</v>
      </c>
      <c r="BS40" s="81">
        <v>-196.87</v>
      </c>
      <c r="BT40" s="81" t="s">
        <v>422</v>
      </c>
      <c r="BU40" s="167">
        <v>2E-16</v>
      </c>
      <c r="BV40" s="81" t="s">
        <v>389</v>
      </c>
      <c r="BX40" s="178" t="s">
        <v>319</v>
      </c>
      <c r="BY40" s="178" t="s">
        <v>320</v>
      </c>
      <c r="BZ40" s="178" t="s">
        <v>354</v>
      </c>
      <c r="CA40" s="178" t="s">
        <v>323</v>
      </c>
      <c r="CB40" s="177">
        <f t="shared" ref="CB40:CB41" si="39">BQ70</f>
        <v>85.9</v>
      </c>
      <c r="CC40" s="178" t="s">
        <v>322</v>
      </c>
      <c r="CO40" s="255"/>
      <c r="CP40" s="255"/>
      <c r="CQ40" s="255"/>
      <c r="CT40" s="258" t="s">
        <v>442</v>
      </c>
      <c r="CU40" s="258" t="s">
        <v>403</v>
      </c>
      <c r="CV40" s="259">
        <v>-19</v>
      </c>
      <c r="CW40" s="259">
        <v>1.3</v>
      </c>
      <c r="CX40" s="258">
        <v>-14.65</v>
      </c>
      <c r="CY40" s="258" t="s">
        <v>422</v>
      </c>
      <c r="CZ40" s="167">
        <v>2E-16</v>
      </c>
      <c r="DA40" s="81" t="s">
        <v>389</v>
      </c>
      <c r="DB40" s="260" t="s">
        <v>467</v>
      </c>
      <c r="DC40" s="264" t="s">
        <v>333</v>
      </c>
      <c r="DD40" s="261" t="s">
        <v>323</v>
      </c>
      <c r="DE40" s="262">
        <f t="shared" si="37"/>
        <v>0.70799999999999996</v>
      </c>
      <c r="DF40" s="260" t="s">
        <v>322</v>
      </c>
      <c r="DH40" s="308" t="s">
        <v>442</v>
      </c>
      <c r="DI40" s="308" t="s">
        <v>403</v>
      </c>
      <c r="DJ40" s="312">
        <v>-19</v>
      </c>
      <c r="DK40" s="312">
        <v>1.3</v>
      </c>
      <c r="DL40" s="308">
        <v>-14.65</v>
      </c>
      <c r="DM40" s="308" t="s">
        <v>422</v>
      </c>
      <c r="DN40" s="312">
        <v>2E-16</v>
      </c>
      <c r="DO40" s="308" t="s">
        <v>389</v>
      </c>
      <c r="DP40" s="309" t="s">
        <v>467</v>
      </c>
      <c r="DQ40" s="314" t="s">
        <v>333</v>
      </c>
      <c r="DR40" s="310" t="s">
        <v>323</v>
      </c>
      <c r="DS40" s="311">
        <f t="shared" si="38"/>
        <v>0.70799999999999996</v>
      </c>
      <c r="DT40" s="309" t="s">
        <v>322</v>
      </c>
    </row>
    <row r="41" spans="1:124" ht="15" customHeight="1" thickTop="1" thickBot="1" x14ac:dyDescent="0.3">
      <c r="A41" s="150" t="s">
        <v>281</v>
      </c>
      <c r="K41" s="81"/>
      <c r="L41" s="81"/>
      <c r="M41" s="81" t="s">
        <v>120</v>
      </c>
      <c r="N41" s="153">
        <f>'Verwarming Tabula'!B60</f>
        <v>138.03320000000002</v>
      </c>
      <c r="Q41" s="81"/>
      <c r="W41" s="233"/>
      <c r="X41" s="234" t="s">
        <v>27</v>
      </c>
      <c r="Y41" s="234" t="s">
        <v>28</v>
      </c>
      <c r="Z41" s="234" t="s">
        <v>29</v>
      </c>
      <c r="AA41" s="234" t="s">
        <v>30</v>
      </c>
      <c r="AB41" s="234" t="s">
        <v>31</v>
      </c>
      <c r="AC41" s="234" t="s">
        <v>32</v>
      </c>
      <c r="AD41" s="235" t="s">
        <v>33</v>
      </c>
      <c r="AE41" s="14"/>
      <c r="AF41" s="14"/>
      <c r="AG41" s="14"/>
      <c r="AP41" s="81" t="s">
        <v>322</v>
      </c>
      <c r="AU41" s="168"/>
      <c r="AV41" s="168"/>
      <c r="AW41" s="168"/>
      <c r="AX41" s="169"/>
      <c r="AZ41" s="168"/>
      <c r="BB41" s="81" t="s">
        <v>417</v>
      </c>
      <c r="BC41" s="167">
        <v>4.5999999999999999E-3</v>
      </c>
      <c r="BD41" s="167">
        <v>2.5000000000000001E-5</v>
      </c>
      <c r="BE41" s="81">
        <v>184.29</v>
      </c>
      <c r="BF41" s="81" t="s">
        <v>388</v>
      </c>
      <c r="BI41" s="175"/>
      <c r="BJ41" s="175"/>
      <c r="BK41" s="175"/>
      <c r="BL41" s="175"/>
      <c r="BM41" s="174"/>
      <c r="BN41" s="175"/>
      <c r="BP41" s="81" t="s">
        <v>417</v>
      </c>
      <c r="BQ41" s="167">
        <v>3.0599999999999998E-3</v>
      </c>
      <c r="BR41" s="167">
        <v>6.4700000000000001E-5</v>
      </c>
      <c r="BS41" s="81">
        <v>47.35</v>
      </c>
      <c r="BT41" s="81" t="s">
        <v>422</v>
      </c>
      <c r="BU41" s="167">
        <v>2E-16</v>
      </c>
      <c r="BV41" s="81" t="s">
        <v>389</v>
      </c>
      <c r="BX41" s="178" t="s">
        <v>319</v>
      </c>
      <c r="BY41" s="178" t="s">
        <v>320</v>
      </c>
      <c r="BZ41" s="178" t="s">
        <v>355</v>
      </c>
      <c r="CA41" s="178" t="s">
        <v>323</v>
      </c>
      <c r="CB41" s="177">
        <f t="shared" si="39"/>
        <v>49.4</v>
      </c>
      <c r="CC41" s="178" t="s">
        <v>322</v>
      </c>
      <c r="CN41" s="81" t="s">
        <v>358</v>
      </c>
      <c r="CO41" s="254">
        <f t="shared" si="0"/>
        <v>0.26417312813669608</v>
      </c>
      <c r="CP41" s="254">
        <f t="shared" si="1"/>
        <v>9.35E-2</v>
      </c>
      <c r="CQ41" s="254">
        <f t="shared" si="2"/>
        <v>0.11799999999999999</v>
      </c>
      <c r="CT41" s="258" t="s">
        <v>442</v>
      </c>
      <c r="CU41" s="258" t="s">
        <v>404</v>
      </c>
      <c r="CV41" s="259">
        <v>-18.399999999999999</v>
      </c>
      <c r="CW41" s="259">
        <v>8.31</v>
      </c>
      <c r="CX41" s="258">
        <v>-2.21</v>
      </c>
      <c r="CY41" s="258">
        <v>2.7E-2</v>
      </c>
      <c r="CZ41" s="81" t="s">
        <v>434</v>
      </c>
      <c r="DB41" s="260" t="s">
        <v>467</v>
      </c>
      <c r="DC41" s="261" t="s">
        <v>334</v>
      </c>
      <c r="DD41" s="261" t="s">
        <v>323</v>
      </c>
      <c r="DE41" s="262">
        <f t="shared" si="37"/>
        <v>5.7099999999999998E-2</v>
      </c>
      <c r="DF41" s="260" t="s">
        <v>322</v>
      </c>
      <c r="DH41" s="308" t="s">
        <v>442</v>
      </c>
      <c r="DI41" s="308" t="s">
        <v>404</v>
      </c>
      <c r="DJ41" s="312">
        <v>-18.399999999999999</v>
      </c>
      <c r="DK41" s="312">
        <v>8.31</v>
      </c>
      <c r="DL41" s="308">
        <v>-2.21</v>
      </c>
      <c r="DM41" s="308">
        <v>2.7E-2</v>
      </c>
      <c r="DN41" s="308" t="s">
        <v>434</v>
      </c>
      <c r="DP41" s="309" t="s">
        <v>467</v>
      </c>
      <c r="DQ41" s="310" t="s">
        <v>334</v>
      </c>
      <c r="DR41" s="310" t="s">
        <v>323</v>
      </c>
      <c r="DS41" s="311">
        <f t="shared" si="38"/>
        <v>5.7099999999999998E-2</v>
      </c>
      <c r="DT41" s="309" t="s">
        <v>322</v>
      </c>
    </row>
    <row r="42" spans="1:124" ht="15" customHeight="1" thickTop="1" thickBot="1" x14ac:dyDescent="0.3">
      <c r="A42" s="81" t="s">
        <v>282</v>
      </c>
      <c r="C42" s="81">
        <v>1</v>
      </c>
      <c r="K42" s="81"/>
      <c r="L42" s="81"/>
      <c r="M42" s="81"/>
      <c r="N42" s="153"/>
      <c r="Q42" s="81"/>
      <c r="W42" s="239"/>
      <c r="X42" s="240" t="s">
        <v>128</v>
      </c>
      <c r="Y42" s="240">
        <v>0.02</v>
      </c>
      <c r="Z42" s="240">
        <v>1.4</v>
      </c>
      <c r="AA42" s="240">
        <v>2100</v>
      </c>
      <c r="AB42" s="240">
        <v>840</v>
      </c>
      <c r="AC42" s="241">
        <f>Y42/Z42</f>
        <v>1.4285714285714287E-2</v>
      </c>
      <c r="AD42" s="242">
        <f>Y42*AA42*AB42</f>
        <v>35280</v>
      </c>
      <c r="AE42" s="14" t="s">
        <v>104</v>
      </c>
      <c r="AF42" s="14"/>
      <c r="AG42" s="14"/>
      <c r="AL42" s="159" t="s">
        <v>319</v>
      </c>
      <c r="AM42" s="81" t="s">
        <v>320</v>
      </c>
      <c r="AN42" s="81" t="s">
        <v>358</v>
      </c>
      <c r="AO42" s="81">
        <f>SUM(N26)/SUM(N6:N14,N26:N27)</f>
        <v>0.26417312813669608</v>
      </c>
      <c r="AP42" s="81" t="s">
        <v>322</v>
      </c>
      <c r="AQ42" s="81" t="s">
        <v>359</v>
      </c>
      <c r="AU42" s="168" t="s">
        <v>319</v>
      </c>
      <c r="AV42" s="168" t="s">
        <v>320</v>
      </c>
      <c r="AW42" s="168" t="s">
        <v>358</v>
      </c>
      <c r="AX42" s="169" t="s">
        <v>323</v>
      </c>
      <c r="AY42" s="162">
        <f>AO42</f>
        <v>0.26417312813669608</v>
      </c>
      <c r="AZ42" s="168" t="s">
        <v>322</v>
      </c>
      <c r="BB42" s="81" t="s">
        <v>418</v>
      </c>
      <c r="BC42" s="167">
        <v>393</v>
      </c>
      <c r="BD42" s="167">
        <v>4.21</v>
      </c>
      <c r="BE42" s="81">
        <v>93.48</v>
      </c>
      <c r="BF42" s="81" t="s">
        <v>388</v>
      </c>
      <c r="BI42" s="175" t="s">
        <v>319</v>
      </c>
      <c r="BJ42" s="175" t="s">
        <v>320</v>
      </c>
      <c r="BK42" s="175" t="s">
        <v>358</v>
      </c>
      <c r="BL42" s="175" t="s">
        <v>323</v>
      </c>
      <c r="BM42" s="174">
        <f>BC15</f>
        <v>9.35E-2</v>
      </c>
      <c r="BN42" s="175" t="s">
        <v>322</v>
      </c>
      <c r="BP42" s="81" t="s">
        <v>418</v>
      </c>
      <c r="BQ42" s="167">
        <v>113</v>
      </c>
      <c r="BR42" s="167">
        <v>2.08</v>
      </c>
      <c r="BS42" s="81">
        <v>54.6</v>
      </c>
      <c r="BT42" s="81" t="s">
        <v>422</v>
      </c>
      <c r="BU42" s="167">
        <v>2E-16</v>
      </c>
      <c r="BV42" s="81" t="s">
        <v>389</v>
      </c>
      <c r="BX42" s="178" t="s">
        <v>319</v>
      </c>
      <c r="BY42" s="178" t="s">
        <v>320</v>
      </c>
      <c r="BZ42" s="178" t="s">
        <v>357</v>
      </c>
      <c r="CA42" s="178" t="s">
        <v>323</v>
      </c>
      <c r="CB42" s="177">
        <f>1/BQ76</f>
        <v>350.87719298245611</v>
      </c>
      <c r="CC42" s="178" t="s">
        <v>322</v>
      </c>
      <c r="CN42" s="81" t="s">
        <v>360</v>
      </c>
      <c r="CO42" s="254">
        <f t="shared" si="0"/>
        <v>0.19274379473091174</v>
      </c>
      <c r="CP42" s="254">
        <f t="shared" si="1"/>
        <v>0.19800000000000001</v>
      </c>
      <c r="CQ42" s="254">
        <f t="shared" si="2"/>
        <v>0.28299999999999997</v>
      </c>
      <c r="CT42" s="258" t="s">
        <v>442</v>
      </c>
      <c r="CU42" s="258" t="s">
        <v>405</v>
      </c>
      <c r="CV42" s="259">
        <v>2.46E-2</v>
      </c>
      <c r="CW42" s="259">
        <v>1.4200000000000001E-4</v>
      </c>
      <c r="CX42" s="258">
        <v>173.77</v>
      </c>
      <c r="CY42" s="258" t="s">
        <v>422</v>
      </c>
      <c r="CZ42" s="167">
        <v>2E-16</v>
      </c>
      <c r="DA42" s="81" t="s">
        <v>389</v>
      </c>
      <c r="DB42" s="260" t="s">
        <v>467</v>
      </c>
      <c r="DC42" s="261" t="s">
        <v>428</v>
      </c>
      <c r="DD42" s="261" t="s">
        <v>323</v>
      </c>
      <c r="DE42" s="262">
        <f t="shared" si="37"/>
        <v>4.7E-2</v>
      </c>
      <c r="DF42" s="260" t="s">
        <v>322</v>
      </c>
      <c r="DH42" s="308" t="s">
        <v>442</v>
      </c>
      <c r="DI42" s="308" t="s">
        <v>405</v>
      </c>
      <c r="DJ42" s="312">
        <v>2.46E-2</v>
      </c>
      <c r="DK42" s="312">
        <v>1.4200000000000001E-4</v>
      </c>
      <c r="DL42" s="308">
        <v>173.77</v>
      </c>
      <c r="DM42" s="308" t="s">
        <v>422</v>
      </c>
      <c r="DN42" s="312">
        <v>2E-16</v>
      </c>
      <c r="DO42" s="308" t="s">
        <v>389</v>
      </c>
      <c r="DP42" s="309" t="s">
        <v>467</v>
      </c>
      <c r="DQ42" s="310" t="s">
        <v>428</v>
      </c>
      <c r="DR42" s="310" t="s">
        <v>323</v>
      </c>
      <c r="DS42" s="311">
        <f t="shared" si="38"/>
        <v>4.7E-2</v>
      </c>
      <c r="DT42" s="309" t="s">
        <v>322</v>
      </c>
    </row>
    <row r="43" spans="1:124" ht="15" customHeight="1" thickTop="1" thickBot="1" x14ac:dyDescent="0.3">
      <c r="A43" s="81" t="s">
        <v>283</v>
      </c>
      <c r="C43" s="81">
        <f>B7/B6</f>
        <v>0.36838978015448604</v>
      </c>
      <c r="D43" s="81" t="s">
        <v>284</v>
      </c>
      <c r="K43" s="81"/>
      <c r="L43" s="81"/>
      <c r="M43" s="81" t="s">
        <v>122</v>
      </c>
      <c r="N43" s="153">
        <f>B4*1.204*1012*5/1000000</f>
        <v>2.8194886719999999</v>
      </c>
      <c r="O43" s="81" t="s">
        <v>123</v>
      </c>
      <c r="P43" s="81"/>
      <c r="Q43" s="81"/>
      <c r="W43" s="188"/>
      <c r="X43" s="189" t="s">
        <v>129</v>
      </c>
      <c r="Y43" s="189">
        <v>0.08</v>
      </c>
      <c r="Z43" s="189">
        <v>0.6</v>
      </c>
      <c r="AA43" s="189">
        <v>1100</v>
      </c>
      <c r="AB43" s="189">
        <v>860</v>
      </c>
      <c r="AC43" s="236">
        <f>Y43/Z43</f>
        <v>0.13333333333333333</v>
      </c>
      <c r="AD43" s="190">
        <f>Y43*AA43*AB43</f>
        <v>75680</v>
      </c>
      <c r="AE43" s="14"/>
      <c r="AF43" s="14"/>
      <c r="AG43" s="14"/>
      <c r="AL43" s="159" t="s">
        <v>319</v>
      </c>
      <c r="AM43" s="81" t="s">
        <v>320</v>
      </c>
      <c r="AN43" s="81" t="s">
        <v>360</v>
      </c>
      <c r="AO43" s="81">
        <f>SUM(N26)/SUM(N$17:N$25,N$28,N$26)</f>
        <v>0.19274379473091174</v>
      </c>
      <c r="AP43" s="81" t="s">
        <v>322</v>
      </c>
      <c r="AQ43" s="81" t="s">
        <v>361</v>
      </c>
      <c r="AU43" s="168" t="s">
        <v>319</v>
      </c>
      <c r="AV43" s="168" t="s">
        <v>320</v>
      </c>
      <c r="AW43" s="168" t="s">
        <v>360</v>
      </c>
      <c r="AX43" s="169" t="s">
        <v>323</v>
      </c>
      <c r="AY43" s="162">
        <f t="shared" ref="AY43:AY50" si="40">AO43</f>
        <v>0.19274379473091174</v>
      </c>
      <c r="AZ43" s="168" t="s">
        <v>322</v>
      </c>
      <c r="BB43" s="81" t="s">
        <v>419</v>
      </c>
      <c r="BC43" s="167">
        <v>141</v>
      </c>
      <c r="BD43" s="167">
        <v>4.72</v>
      </c>
      <c r="BE43" s="81">
        <v>29.84</v>
      </c>
      <c r="BF43" s="81" t="s">
        <v>388</v>
      </c>
      <c r="BI43" s="175" t="s">
        <v>319</v>
      </c>
      <c r="BJ43" s="175" t="s">
        <v>320</v>
      </c>
      <c r="BK43" s="175" t="s">
        <v>360</v>
      </c>
      <c r="BL43" s="175" t="s">
        <v>323</v>
      </c>
      <c r="BM43" s="174">
        <f>BC57</f>
        <v>0.19800000000000001</v>
      </c>
      <c r="BN43" s="175" t="s">
        <v>322</v>
      </c>
      <c r="BP43" s="81" t="s">
        <v>419</v>
      </c>
      <c r="BQ43" s="167">
        <v>4990</v>
      </c>
      <c r="BR43" s="167">
        <v>2330</v>
      </c>
      <c r="BS43" s="81">
        <v>2.14</v>
      </c>
      <c r="BT43" s="81">
        <v>3.27E-2</v>
      </c>
      <c r="BU43" s="81" t="s">
        <v>434</v>
      </c>
      <c r="BX43" s="178"/>
      <c r="BY43" s="178"/>
      <c r="BZ43" s="178"/>
      <c r="CA43" s="178"/>
      <c r="CB43" s="177"/>
      <c r="CC43" s="178"/>
      <c r="CN43" s="81" t="s">
        <v>362</v>
      </c>
      <c r="CO43" s="256">
        <f t="shared" si="0"/>
        <v>14177850</v>
      </c>
      <c r="CP43" s="256">
        <f t="shared" si="1"/>
        <v>8270000</v>
      </c>
      <c r="CQ43" s="256">
        <f t="shared" si="2"/>
        <v>19200000</v>
      </c>
      <c r="CT43" s="258" t="s">
        <v>442</v>
      </c>
      <c r="CU43" s="258" t="s">
        <v>406</v>
      </c>
      <c r="CV43" s="259">
        <v>0.18099999999999999</v>
      </c>
      <c r="CW43" s="259">
        <v>7.36E-4</v>
      </c>
      <c r="CX43" s="258">
        <v>246.17</v>
      </c>
      <c r="CY43" s="258" t="s">
        <v>422</v>
      </c>
      <c r="CZ43" s="167">
        <v>2E-16</v>
      </c>
      <c r="DA43" s="81" t="s">
        <v>389</v>
      </c>
      <c r="DD43" s="261"/>
      <c r="DH43" s="308" t="s">
        <v>442</v>
      </c>
      <c r="DI43" s="308" t="s">
        <v>406</v>
      </c>
      <c r="DJ43" s="312">
        <v>0.18099999999999999</v>
      </c>
      <c r="DK43" s="312">
        <v>7.36E-4</v>
      </c>
      <c r="DL43" s="308">
        <v>246.17</v>
      </c>
      <c r="DM43" s="308" t="s">
        <v>422</v>
      </c>
      <c r="DN43" s="312">
        <v>2E-16</v>
      </c>
      <c r="DO43" s="308" t="s">
        <v>389</v>
      </c>
      <c r="DR43" s="310"/>
    </row>
    <row r="44" spans="1:124" ht="15" customHeight="1" thickTop="1" thickBot="1" x14ac:dyDescent="0.3">
      <c r="A44" s="81" t="s">
        <v>287</v>
      </c>
      <c r="C44" s="81">
        <v>0.7</v>
      </c>
      <c r="E44" s="79"/>
      <c r="K44" s="81"/>
      <c r="L44" s="81"/>
      <c r="M44" s="81" t="s">
        <v>124</v>
      </c>
      <c r="N44" s="153">
        <f>SUM(R6:R9,R15)/1000000</f>
        <v>14.797219900534758</v>
      </c>
      <c r="O44" s="81" t="s">
        <v>125</v>
      </c>
      <c r="P44" s="153">
        <f>SUM(T6:T9,T15)/1000000</f>
        <v>6.7957248270944746</v>
      </c>
      <c r="Q44" s="81"/>
      <c r="W44" s="188"/>
      <c r="X44" s="189" t="s">
        <v>285</v>
      </c>
      <c r="Y44" s="286">
        <v>1.4999999999999999E-2</v>
      </c>
      <c r="Z44" s="189">
        <v>3.5999999999999997E-2</v>
      </c>
      <c r="AA44" s="189">
        <v>30</v>
      </c>
      <c r="AB44" s="189">
        <v>1470</v>
      </c>
      <c r="AC44" s="236">
        <f>Y44/Z44</f>
        <v>0.41666666666666669</v>
      </c>
      <c r="AD44" s="190">
        <f>Y44*AA44*AB44</f>
        <v>661.49999999999989</v>
      </c>
      <c r="AE44" s="149" t="s">
        <v>286</v>
      </c>
      <c r="AF44" s="14"/>
      <c r="AG44" s="14"/>
      <c r="AL44" s="159" t="s">
        <v>319</v>
      </c>
      <c r="AM44" s="81" t="s">
        <v>320</v>
      </c>
      <c r="AN44" s="81" t="s">
        <v>362</v>
      </c>
      <c r="AO44" s="81">
        <f>T26/2</f>
        <v>14177850</v>
      </c>
      <c r="AP44" s="81" t="s">
        <v>322</v>
      </c>
      <c r="AQ44" s="81" t="s">
        <v>363</v>
      </c>
      <c r="AU44" s="168" t="s">
        <v>319</v>
      </c>
      <c r="AV44" s="168" t="s">
        <v>320</v>
      </c>
      <c r="AW44" s="168" t="s">
        <v>362</v>
      </c>
      <c r="AX44" s="169" t="s">
        <v>323</v>
      </c>
      <c r="AY44" s="162">
        <f t="shared" si="40"/>
        <v>14177850</v>
      </c>
      <c r="AZ44" s="168" t="s">
        <v>322</v>
      </c>
      <c r="BB44" s="81" t="s">
        <v>420</v>
      </c>
      <c r="BC44" s="167">
        <v>81.900000000000006</v>
      </c>
      <c r="BD44" s="167">
        <v>0.45900000000000002</v>
      </c>
      <c r="BE44" s="81">
        <v>178.48</v>
      </c>
      <c r="BF44" s="81" t="s">
        <v>388</v>
      </c>
      <c r="BI44" s="175" t="s">
        <v>319</v>
      </c>
      <c r="BJ44" s="175" t="s">
        <v>320</v>
      </c>
      <c r="BK44" s="175" t="s">
        <v>362</v>
      </c>
      <c r="BL44" s="175" t="s">
        <v>323</v>
      </c>
      <c r="BM44" s="174">
        <f>BC87</f>
        <v>8270000</v>
      </c>
      <c r="BN44" s="175" t="s">
        <v>322</v>
      </c>
      <c r="BP44" s="81" t="s">
        <v>420</v>
      </c>
      <c r="BQ44" s="167">
        <v>75.900000000000006</v>
      </c>
      <c r="BR44" s="167">
        <v>3.39</v>
      </c>
      <c r="BS44" s="81">
        <v>22.42</v>
      </c>
      <c r="BT44" s="81" t="s">
        <v>422</v>
      </c>
      <c r="BU44" s="167">
        <v>2E-16</v>
      </c>
      <c r="BV44" s="81" t="s">
        <v>389</v>
      </c>
      <c r="BX44" s="178" t="s">
        <v>319</v>
      </c>
      <c r="BY44" s="178" t="s">
        <v>320</v>
      </c>
      <c r="BZ44" s="178" t="s">
        <v>358</v>
      </c>
      <c r="CA44" s="178" t="s">
        <v>323</v>
      </c>
      <c r="CB44" s="177">
        <f>BQ15</f>
        <v>0.11799999999999999</v>
      </c>
      <c r="CC44" s="178" t="s">
        <v>322</v>
      </c>
      <c r="CN44" s="81" t="s">
        <v>364</v>
      </c>
      <c r="CO44" s="256">
        <f t="shared" si="0"/>
        <v>14177850</v>
      </c>
      <c r="CP44" s="256">
        <f t="shared" si="1"/>
        <v>25000000</v>
      </c>
      <c r="CQ44" s="256">
        <f t="shared" si="2"/>
        <v>65100000</v>
      </c>
      <c r="CT44" s="258" t="s">
        <v>442</v>
      </c>
      <c r="CU44" s="258" t="s">
        <v>407</v>
      </c>
      <c r="CV44" s="259">
        <v>0.70799999999999996</v>
      </c>
      <c r="CW44" s="259">
        <v>1.8500000000000001E-3</v>
      </c>
      <c r="CX44" s="258">
        <v>383.08</v>
      </c>
      <c r="CY44" s="258" t="s">
        <v>422</v>
      </c>
      <c r="CZ44" s="167">
        <v>2E-16</v>
      </c>
      <c r="DA44" s="81" t="s">
        <v>389</v>
      </c>
      <c r="DB44" s="260" t="s">
        <v>467</v>
      </c>
      <c r="DC44" s="266" t="s">
        <v>489</v>
      </c>
      <c r="DD44" s="261" t="s">
        <v>323</v>
      </c>
      <c r="DE44" s="262">
        <f>CV68</f>
        <v>2.3000000000000001E-10</v>
      </c>
      <c r="DF44" s="260" t="s">
        <v>322</v>
      </c>
      <c r="DH44" s="308" t="s">
        <v>442</v>
      </c>
      <c r="DI44" s="308" t="s">
        <v>407</v>
      </c>
      <c r="DJ44" s="312">
        <v>0.70799999999999996</v>
      </c>
      <c r="DK44" s="312">
        <v>1.8500000000000001E-3</v>
      </c>
      <c r="DL44" s="308">
        <v>383.08</v>
      </c>
      <c r="DM44" s="308" t="s">
        <v>422</v>
      </c>
      <c r="DN44" s="312">
        <v>2E-16</v>
      </c>
      <c r="DO44" s="308" t="s">
        <v>389</v>
      </c>
      <c r="DP44" s="309" t="s">
        <v>467</v>
      </c>
      <c r="DQ44" s="316" t="s">
        <v>489</v>
      </c>
      <c r="DR44" s="310" t="s">
        <v>323</v>
      </c>
      <c r="DS44" s="311">
        <f>DJ68</f>
        <v>2.3000000000000001E-10</v>
      </c>
      <c r="DT44" s="309" t="s">
        <v>322</v>
      </c>
    </row>
    <row r="45" spans="1:124" ht="15" customHeight="1" thickTop="1" thickBot="1" x14ac:dyDescent="0.3">
      <c r="A45" s="81" t="s">
        <v>288</v>
      </c>
      <c r="C45" s="81">
        <v>0.5</v>
      </c>
      <c r="E45" s="79"/>
      <c r="K45" s="81"/>
      <c r="L45" s="81"/>
      <c r="M45" s="81" t="s">
        <v>126</v>
      </c>
      <c r="N45" s="153">
        <f>SUM(R26:R27)/1000000</f>
        <v>41.791845300282262</v>
      </c>
      <c r="O45" s="81" t="s">
        <v>125</v>
      </c>
      <c r="P45" s="153">
        <f>SUM(T26:T27)/1000000</f>
        <v>41.791845300282262</v>
      </c>
      <c r="Q45" s="81"/>
      <c r="W45" s="188"/>
      <c r="X45" s="189" t="s">
        <v>131</v>
      </c>
      <c r="Y45" s="189">
        <v>0.15</v>
      </c>
      <c r="Z45" s="189">
        <v>1.4</v>
      </c>
      <c r="AA45" s="189">
        <v>2100</v>
      </c>
      <c r="AB45" s="189">
        <v>840</v>
      </c>
      <c r="AC45" s="236">
        <f>Y45/Z45</f>
        <v>0.10714285714285715</v>
      </c>
      <c r="AD45" s="190">
        <f>Y45*AA45*AB45</f>
        <v>264600</v>
      </c>
      <c r="AE45" s="14"/>
      <c r="AF45" s="14"/>
      <c r="AG45" s="14"/>
      <c r="AL45" s="159" t="s">
        <v>319</v>
      </c>
      <c r="AM45" s="81" t="s">
        <v>320</v>
      </c>
      <c r="AN45" s="81" t="s">
        <v>364</v>
      </c>
      <c r="AO45" s="81">
        <f>T26/2</f>
        <v>14177850</v>
      </c>
      <c r="AP45" s="81" t="s">
        <v>322</v>
      </c>
      <c r="AQ45" s="81" t="s">
        <v>365</v>
      </c>
      <c r="AU45" s="168" t="s">
        <v>319</v>
      </c>
      <c r="AV45" s="168" t="s">
        <v>320</v>
      </c>
      <c r="AW45" s="168" t="s">
        <v>364</v>
      </c>
      <c r="AX45" s="169" t="s">
        <v>323</v>
      </c>
      <c r="AY45" s="162">
        <f t="shared" si="40"/>
        <v>14177850</v>
      </c>
      <c r="AZ45" s="168" t="s">
        <v>322</v>
      </c>
      <c r="BI45" s="175" t="s">
        <v>319</v>
      </c>
      <c r="BJ45" s="175" t="s">
        <v>320</v>
      </c>
      <c r="BK45" s="175" t="s">
        <v>364</v>
      </c>
      <c r="BL45" s="175" t="s">
        <v>323</v>
      </c>
      <c r="BM45" s="174">
        <f>BC88</f>
        <v>25000000</v>
      </c>
      <c r="BN45" s="175" t="s">
        <v>322</v>
      </c>
      <c r="BX45" s="178" t="s">
        <v>319</v>
      </c>
      <c r="BY45" s="178" t="s">
        <v>320</v>
      </c>
      <c r="BZ45" s="178" t="s">
        <v>360</v>
      </c>
      <c r="CA45" s="178" t="s">
        <v>323</v>
      </c>
      <c r="CB45" s="177">
        <f>BQ56</f>
        <v>0.28299999999999997</v>
      </c>
      <c r="CC45" s="178" t="s">
        <v>322</v>
      </c>
      <c r="CN45" s="81" t="s">
        <v>366</v>
      </c>
      <c r="CO45" s="254">
        <f t="shared" si="0"/>
        <v>7.9251938441008821E-2</v>
      </c>
      <c r="CP45" s="254">
        <f t="shared" si="1"/>
        <v>7.3400000000000007E-2</v>
      </c>
      <c r="CQ45" s="254">
        <f t="shared" si="2"/>
        <v>4.4299999999999999E-2</v>
      </c>
      <c r="CT45" s="258" t="s">
        <v>442</v>
      </c>
      <c r="CU45" s="258" t="s">
        <v>408</v>
      </c>
      <c r="CV45" s="259">
        <v>5.7099999999999998E-2</v>
      </c>
      <c r="CW45" s="259">
        <v>2.2599999999999999E-4</v>
      </c>
      <c r="CX45" s="258">
        <v>252.86</v>
      </c>
      <c r="CY45" s="258" t="s">
        <v>422</v>
      </c>
      <c r="CZ45" s="167">
        <v>2E-16</v>
      </c>
      <c r="DA45" s="81" t="s">
        <v>389</v>
      </c>
      <c r="DB45" s="260" t="s">
        <v>467</v>
      </c>
      <c r="DC45" s="266" t="s">
        <v>490</v>
      </c>
      <c r="DD45" s="261" t="s">
        <v>323</v>
      </c>
      <c r="DE45" s="262">
        <f t="shared" ref="DE45:DE59" si="41">CV69</f>
        <v>4.19E-2</v>
      </c>
      <c r="DF45" s="260" t="s">
        <v>322</v>
      </c>
      <c r="DH45" s="308" t="s">
        <v>442</v>
      </c>
      <c r="DI45" s="308" t="s">
        <v>408</v>
      </c>
      <c r="DJ45" s="312">
        <v>5.7099999999999998E-2</v>
      </c>
      <c r="DK45" s="312">
        <v>2.2599999999999999E-4</v>
      </c>
      <c r="DL45" s="308">
        <v>252.86</v>
      </c>
      <c r="DM45" s="308" t="s">
        <v>422</v>
      </c>
      <c r="DN45" s="312">
        <v>2E-16</v>
      </c>
      <c r="DO45" s="308" t="s">
        <v>389</v>
      </c>
      <c r="DP45" s="309" t="s">
        <v>467</v>
      </c>
      <c r="DQ45" s="316" t="s">
        <v>490</v>
      </c>
      <c r="DR45" s="310" t="s">
        <v>323</v>
      </c>
      <c r="DS45" s="311">
        <f t="shared" ref="DS45:DS59" si="42">DJ69</f>
        <v>4.19E-2</v>
      </c>
      <c r="DT45" s="309" t="s">
        <v>322</v>
      </c>
    </row>
    <row r="46" spans="1:124" ht="15" customHeight="1" thickTop="1" thickBot="1" x14ac:dyDescent="0.3">
      <c r="K46" s="81"/>
      <c r="L46" s="81"/>
      <c r="M46" s="81" t="s">
        <v>127</v>
      </c>
      <c r="N46" s="153">
        <f>R14/1000000</f>
        <v>23.489785000000001</v>
      </c>
      <c r="P46" s="153">
        <f>T14/1000000</f>
        <v>6.8795200000000003</v>
      </c>
      <c r="Q46" s="81"/>
      <c r="W46" s="205"/>
      <c r="X46" s="187" t="s">
        <v>132</v>
      </c>
      <c r="Y46" s="287">
        <v>0.06</v>
      </c>
      <c r="Z46" s="187">
        <v>2.4E-2</v>
      </c>
      <c r="AA46" s="187">
        <v>30</v>
      </c>
      <c r="AB46" s="187">
        <v>1470</v>
      </c>
      <c r="AC46" s="237">
        <f>Y46/Z46</f>
        <v>2.5</v>
      </c>
      <c r="AD46" s="210">
        <f>Y46*AA46*AB46</f>
        <v>2645.9999999999995</v>
      </c>
      <c r="AE46" s="14"/>
      <c r="AF46" s="14"/>
      <c r="AG46" s="14"/>
      <c r="AL46" s="159" t="s">
        <v>319</v>
      </c>
      <c r="AM46" s="81" t="s">
        <v>320</v>
      </c>
      <c r="AN46" s="81" t="s">
        <v>366</v>
      </c>
      <c r="AO46" s="81">
        <f>AO42*0.3</f>
        <v>7.9251938441008821E-2</v>
      </c>
      <c r="AP46" s="81" t="s">
        <v>322</v>
      </c>
      <c r="AQ46" s="81" t="s">
        <v>367</v>
      </c>
      <c r="AU46" s="168" t="s">
        <v>319</v>
      </c>
      <c r="AV46" s="168" t="s">
        <v>320</v>
      </c>
      <c r="AW46" s="168" t="s">
        <v>366</v>
      </c>
      <c r="AX46" s="169" t="s">
        <v>323</v>
      </c>
      <c r="AY46" s="162">
        <f t="shared" si="40"/>
        <v>7.9251938441008821E-2</v>
      </c>
      <c r="AZ46" s="168" t="s">
        <v>322</v>
      </c>
      <c r="BI46" s="175" t="s">
        <v>319</v>
      </c>
      <c r="BJ46" s="175" t="s">
        <v>320</v>
      </c>
      <c r="BK46" s="175" t="s">
        <v>366</v>
      </c>
      <c r="BL46" s="175" t="s">
        <v>323</v>
      </c>
      <c r="BM46" s="174">
        <f>BC31</f>
        <v>7.3400000000000007E-2</v>
      </c>
      <c r="BN46" s="175" t="s">
        <v>322</v>
      </c>
      <c r="BP46" s="81" t="s">
        <v>433</v>
      </c>
      <c r="BQ46" s="81" t="s">
        <v>421</v>
      </c>
      <c r="BX46" s="178" t="s">
        <v>319</v>
      </c>
      <c r="BY46" s="178" t="s">
        <v>320</v>
      </c>
      <c r="BZ46" s="178" t="s">
        <v>362</v>
      </c>
      <c r="CA46" s="178" t="s">
        <v>323</v>
      </c>
      <c r="CB46" s="177">
        <f>BQ87</f>
        <v>19200000</v>
      </c>
      <c r="CC46" s="178" t="s">
        <v>322</v>
      </c>
      <c r="CN46" s="81" t="s">
        <v>368</v>
      </c>
      <c r="CO46" s="254">
        <f t="shared" si="0"/>
        <v>5.7823138419273522E-2</v>
      </c>
      <c r="CP46" s="254">
        <f t="shared" si="1"/>
        <v>0.126</v>
      </c>
      <c r="CQ46" s="254">
        <f t="shared" si="2"/>
        <v>7.3200000000000001E-2</v>
      </c>
      <c r="CT46" s="258" t="s">
        <v>442</v>
      </c>
      <c r="CU46" s="258" t="s">
        <v>409</v>
      </c>
      <c r="CV46" s="259">
        <v>4.7E-2</v>
      </c>
      <c r="CW46" s="259">
        <v>1.26E-4</v>
      </c>
      <c r="CX46" s="258">
        <v>374.13</v>
      </c>
      <c r="CY46" s="258" t="s">
        <v>422</v>
      </c>
      <c r="CZ46" s="167">
        <v>2E-16</v>
      </c>
      <c r="DA46" s="81" t="s">
        <v>389</v>
      </c>
      <c r="DB46" s="260" t="s">
        <v>467</v>
      </c>
      <c r="DC46" s="266" t="s">
        <v>491</v>
      </c>
      <c r="DD46" s="261" t="s">
        <v>323</v>
      </c>
      <c r="DE46" s="262">
        <f t="shared" si="41"/>
        <v>9.9000000000000005E-2</v>
      </c>
      <c r="DF46" s="260" t="s">
        <v>322</v>
      </c>
      <c r="DH46" s="308" t="s">
        <v>442</v>
      </c>
      <c r="DI46" s="308" t="s">
        <v>409</v>
      </c>
      <c r="DJ46" s="312">
        <v>4.7E-2</v>
      </c>
      <c r="DK46" s="312">
        <v>1.26E-4</v>
      </c>
      <c r="DL46" s="308">
        <v>374.13</v>
      </c>
      <c r="DM46" s="308" t="s">
        <v>422</v>
      </c>
      <c r="DN46" s="312">
        <v>2E-16</v>
      </c>
      <c r="DO46" s="308" t="s">
        <v>389</v>
      </c>
      <c r="DP46" s="309" t="s">
        <v>467</v>
      </c>
      <c r="DQ46" s="316" t="s">
        <v>491</v>
      </c>
      <c r="DR46" s="310" t="s">
        <v>323</v>
      </c>
      <c r="DS46" s="311">
        <f t="shared" si="42"/>
        <v>9.9000000000000005E-2</v>
      </c>
      <c r="DT46" s="309" t="s">
        <v>322</v>
      </c>
    </row>
    <row r="47" spans="1:124" ht="15" customHeight="1" thickTop="1" thickBot="1" x14ac:dyDescent="0.3">
      <c r="B47" s="153"/>
      <c r="K47" s="81"/>
      <c r="L47" s="81"/>
      <c r="M47" s="81"/>
      <c r="P47" s="81"/>
      <c r="Q47" s="81"/>
      <c r="W47" s="189"/>
      <c r="X47" s="189"/>
      <c r="Y47" s="189"/>
      <c r="Z47" s="189"/>
      <c r="AA47" s="189"/>
      <c r="AB47" s="189"/>
      <c r="AC47" s="236"/>
      <c r="AD47" s="189"/>
      <c r="AE47" s="14"/>
      <c r="AF47" s="14"/>
      <c r="AG47" s="14"/>
      <c r="AL47" s="159" t="s">
        <v>319</v>
      </c>
      <c r="AM47" s="81" t="s">
        <v>320</v>
      </c>
      <c r="AN47" s="81" t="s">
        <v>368</v>
      </c>
      <c r="AO47" s="81">
        <f>AO43*0.3</f>
        <v>5.7823138419273522E-2</v>
      </c>
      <c r="AP47" s="81" t="s">
        <v>322</v>
      </c>
      <c r="AQ47" s="81" t="s">
        <v>369</v>
      </c>
      <c r="AU47" s="168" t="s">
        <v>319</v>
      </c>
      <c r="AV47" s="168" t="s">
        <v>320</v>
      </c>
      <c r="AW47" s="168" t="s">
        <v>368</v>
      </c>
      <c r="AX47" s="169" t="s">
        <v>323</v>
      </c>
      <c r="AY47" s="162">
        <f t="shared" si="40"/>
        <v>5.7823138419273522E-2</v>
      </c>
      <c r="AZ47" s="168" t="s">
        <v>322</v>
      </c>
      <c r="BC47" s="172" t="s">
        <v>421</v>
      </c>
      <c r="BI47" s="175" t="s">
        <v>319</v>
      </c>
      <c r="BJ47" s="175" t="s">
        <v>320</v>
      </c>
      <c r="BK47" s="175" t="s">
        <v>368</v>
      </c>
      <c r="BL47" s="175" t="s">
        <v>323</v>
      </c>
      <c r="BM47" s="174">
        <f>BC69</f>
        <v>0.126</v>
      </c>
      <c r="BN47" s="175" t="s">
        <v>322</v>
      </c>
      <c r="BP47" s="81" t="s">
        <v>380</v>
      </c>
      <c r="BX47" s="178" t="s">
        <v>319</v>
      </c>
      <c r="BY47" s="178" t="s">
        <v>320</v>
      </c>
      <c r="BZ47" s="178" t="s">
        <v>364</v>
      </c>
      <c r="CA47" s="178" t="s">
        <v>323</v>
      </c>
      <c r="CB47" s="177">
        <f>BQ89</f>
        <v>65100000</v>
      </c>
      <c r="CC47" s="178" t="s">
        <v>322</v>
      </c>
      <c r="CN47" s="81" t="s">
        <v>370</v>
      </c>
      <c r="CO47" s="257">
        <f t="shared" si="0"/>
        <v>369.7988165680473</v>
      </c>
      <c r="CP47" s="257">
        <f t="shared" si="1"/>
        <v>502</v>
      </c>
      <c r="CQ47" s="257">
        <f t="shared" si="2"/>
        <v>198</v>
      </c>
      <c r="CT47" s="258" t="s">
        <v>442</v>
      </c>
      <c r="CU47" s="258" t="s">
        <v>410</v>
      </c>
      <c r="CV47" s="259">
        <v>48.9</v>
      </c>
      <c r="CW47" s="259">
        <v>0.189</v>
      </c>
      <c r="CX47" s="258">
        <v>258.5</v>
      </c>
      <c r="CY47" s="258" t="s">
        <v>422</v>
      </c>
      <c r="CZ47" s="167">
        <v>2E-16</v>
      </c>
      <c r="DA47" s="81" t="s">
        <v>389</v>
      </c>
      <c r="DB47" s="260" t="s">
        <v>467</v>
      </c>
      <c r="DC47" s="266" t="s">
        <v>492</v>
      </c>
      <c r="DD47" s="261" t="s">
        <v>323</v>
      </c>
      <c r="DE47" s="262">
        <f t="shared" si="41"/>
        <v>0.23799999999999999</v>
      </c>
      <c r="DF47" s="260" t="s">
        <v>322</v>
      </c>
      <c r="DH47" s="308" t="s">
        <v>442</v>
      </c>
      <c r="DI47" s="308" t="s">
        <v>410</v>
      </c>
      <c r="DJ47" s="312">
        <v>48.9</v>
      </c>
      <c r="DK47" s="312">
        <v>0.189</v>
      </c>
      <c r="DL47" s="308">
        <v>258.5</v>
      </c>
      <c r="DM47" s="308" t="s">
        <v>422</v>
      </c>
      <c r="DN47" s="312">
        <v>2E-16</v>
      </c>
      <c r="DO47" s="308" t="s">
        <v>389</v>
      </c>
      <c r="DP47" s="309" t="s">
        <v>467</v>
      </c>
      <c r="DQ47" s="316" t="s">
        <v>492</v>
      </c>
      <c r="DR47" s="310" t="s">
        <v>323</v>
      </c>
      <c r="DS47" s="311">
        <f t="shared" si="42"/>
        <v>0.23799999999999999</v>
      </c>
      <c r="DT47" s="309" t="s">
        <v>322</v>
      </c>
    </row>
    <row r="48" spans="1:124" ht="15" customHeight="1" thickTop="1" thickBot="1" x14ac:dyDescent="0.3">
      <c r="B48" s="153"/>
      <c r="K48" s="81"/>
      <c r="L48" s="81"/>
      <c r="M48" s="81"/>
      <c r="P48" s="81"/>
      <c r="Q48" s="81"/>
      <c r="W48" s="226"/>
      <c r="X48" s="226"/>
      <c r="Y48" s="245" t="s">
        <v>4</v>
      </c>
      <c r="Z48" s="245">
        <v>4</v>
      </c>
      <c r="AA48" s="245" t="s">
        <v>5</v>
      </c>
      <c r="AB48" s="226"/>
      <c r="AC48" s="226"/>
      <c r="AD48" s="226"/>
      <c r="AE48" s="14"/>
      <c r="AF48" s="14"/>
      <c r="AG48" s="14"/>
      <c r="AL48" s="159" t="s">
        <v>319</v>
      </c>
      <c r="AM48" s="81" t="s">
        <v>320</v>
      </c>
      <c r="AN48" s="81" t="s">
        <v>370</v>
      </c>
      <c r="AO48" s="81">
        <f>Z27*4*N26</f>
        <v>369.7988165680473</v>
      </c>
      <c r="AP48" s="81" t="s">
        <v>322</v>
      </c>
      <c r="AQ48" s="81" t="s">
        <v>371</v>
      </c>
      <c r="AU48" s="168" t="s">
        <v>319</v>
      </c>
      <c r="AV48" s="168" t="s">
        <v>320</v>
      </c>
      <c r="AW48" s="168" t="s">
        <v>370</v>
      </c>
      <c r="AX48" s="169" t="s">
        <v>323</v>
      </c>
      <c r="AY48" s="162">
        <f t="shared" si="40"/>
        <v>369.7988165680473</v>
      </c>
      <c r="AZ48" s="168" t="s">
        <v>322</v>
      </c>
      <c r="BB48" s="81" t="s">
        <v>380</v>
      </c>
      <c r="BI48" s="175" t="s">
        <v>319</v>
      </c>
      <c r="BJ48" s="175" t="s">
        <v>320</v>
      </c>
      <c r="BK48" s="175" t="s">
        <v>370</v>
      </c>
      <c r="BL48" s="175" t="s">
        <v>323</v>
      </c>
      <c r="BM48" s="174">
        <f>BC95</f>
        <v>502</v>
      </c>
      <c r="BN48" s="175" t="s">
        <v>322</v>
      </c>
      <c r="BP48" s="81" t="s">
        <v>381</v>
      </c>
      <c r="BQ48" s="81" t="s">
        <v>382</v>
      </c>
      <c r="BR48" s="81" t="s">
        <v>383</v>
      </c>
      <c r="BS48" s="81" t="s">
        <v>384</v>
      </c>
      <c r="BT48" s="81" t="s">
        <v>385</v>
      </c>
      <c r="BU48" s="81" t="s">
        <v>386</v>
      </c>
      <c r="BX48" s="178" t="s">
        <v>319</v>
      </c>
      <c r="BY48" s="178" t="s">
        <v>320</v>
      </c>
      <c r="BZ48" s="178" t="s">
        <v>366</v>
      </c>
      <c r="CA48" s="178" t="s">
        <v>323</v>
      </c>
      <c r="CB48" s="177">
        <f>BQ31</f>
        <v>4.4299999999999999E-2</v>
      </c>
      <c r="CC48" s="178" t="s">
        <v>322</v>
      </c>
      <c r="CN48" s="81" t="s">
        <v>372</v>
      </c>
      <c r="CO48" s="257">
        <f t="shared" si="0"/>
        <v>184.89940828402365</v>
      </c>
      <c r="CP48" s="257">
        <f t="shared" si="1"/>
        <v>393</v>
      </c>
      <c r="CQ48" s="257">
        <f t="shared" si="2"/>
        <v>3.48E-4</v>
      </c>
      <c r="CT48" s="258" t="s">
        <v>442</v>
      </c>
      <c r="CU48" s="258" t="s">
        <v>411</v>
      </c>
      <c r="CV48" s="259">
        <v>84.6</v>
      </c>
      <c r="CW48" s="259">
        <v>0.28699999999999998</v>
      </c>
      <c r="CX48" s="258">
        <v>294.47000000000003</v>
      </c>
      <c r="CY48" s="258" t="s">
        <v>422</v>
      </c>
      <c r="CZ48" s="167">
        <v>2E-16</v>
      </c>
      <c r="DA48" s="81" t="s">
        <v>389</v>
      </c>
      <c r="DB48" s="260" t="s">
        <v>467</v>
      </c>
      <c r="DC48" s="266" t="s">
        <v>493</v>
      </c>
      <c r="DD48" s="261" t="s">
        <v>323</v>
      </c>
      <c r="DE48" s="262">
        <f t="shared" si="41"/>
        <v>0.73799999999999999</v>
      </c>
      <c r="DF48" s="260" t="s">
        <v>322</v>
      </c>
      <c r="DH48" s="308" t="s">
        <v>442</v>
      </c>
      <c r="DI48" s="308" t="s">
        <v>411</v>
      </c>
      <c r="DJ48" s="312">
        <v>84.6</v>
      </c>
      <c r="DK48" s="312">
        <v>0.28699999999999998</v>
      </c>
      <c r="DL48" s="308">
        <v>294.47000000000003</v>
      </c>
      <c r="DM48" s="308" t="s">
        <v>422</v>
      </c>
      <c r="DN48" s="312">
        <v>2E-16</v>
      </c>
      <c r="DO48" s="308" t="s">
        <v>389</v>
      </c>
      <c r="DP48" s="309" t="s">
        <v>467</v>
      </c>
      <c r="DQ48" s="316" t="s">
        <v>493</v>
      </c>
      <c r="DR48" s="310" t="s">
        <v>323</v>
      </c>
      <c r="DS48" s="311">
        <f t="shared" si="42"/>
        <v>0.73799999999999999</v>
      </c>
      <c r="DT48" s="309" t="s">
        <v>322</v>
      </c>
    </row>
    <row r="49" spans="2:124" ht="15" customHeight="1" thickTop="1" thickBot="1" x14ac:dyDescent="0.3">
      <c r="B49" s="153"/>
      <c r="K49" s="81"/>
      <c r="L49" s="81"/>
      <c r="M49" s="81"/>
      <c r="P49" s="81"/>
      <c r="Q49" s="81"/>
      <c r="W49" s="246" t="s">
        <v>68</v>
      </c>
      <c r="X49" s="247"/>
      <c r="Y49" s="248" t="s">
        <v>21</v>
      </c>
      <c r="Z49" s="249">
        <v>4</v>
      </c>
      <c r="AA49" s="247" t="s">
        <v>5</v>
      </c>
      <c r="AB49" s="247"/>
      <c r="AC49" s="247" t="s">
        <v>22</v>
      </c>
      <c r="AD49" s="250">
        <f>0.04*550*1660</f>
        <v>36520</v>
      </c>
      <c r="AE49" s="14" t="s">
        <v>23</v>
      </c>
      <c r="AF49" s="14">
        <f>SUM(AD51:AD52)</f>
        <v>0</v>
      </c>
      <c r="AG49" s="14"/>
      <c r="AL49" s="159" t="s">
        <v>319</v>
      </c>
      <c r="AM49" s="81" t="s">
        <v>320</v>
      </c>
      <c r="AN49" s="81" t="s">
        <v>372</v>
      </c>
      <c r="AO49" s="81">
        <f>AO50/2</f>
        <v>184.89940828402365</v>
      </c>
      <c r="AP49" s="81" t="s">
        <v>322</v>
      </c>
      <c r="AQ49" s="81" t="s">
        <v>373</v>
      </c>
      <c r="AU49" s="168" t="s">
        <v>319</v>
      </c>
      <c r="AV49" s="168" t="s">
        <v>320</v>
      </c>
      <c r="AW49" s="168" t="s">
        <v>372</v>
      </c>
      <c r="AX49" s="169" t="s">
        <v>323</v>
      </c>
      <c r="AY49" s="162">
        <f t="shared" si="40"/>
        <v>184.89940828402365</v>
      </c>
      <c r="AZ49" s="168" t="s">
        <v>322</v>
      </c>
      <c r="BB49" s="81" t="s">
        <v>381</v>
      </c>
      <c r="BC49" s="81" t="s">
        <v>382</v>
      </c>
      <c r="BD49" s="81" t="s">
        <v>383</v>
      </c>
      <c r="BE49" s="81" t="s">
        <v>384</v>
      </c>
      <c r="BF49" s="81" t="s">
        <v>385</v>
      </c>
      <c r="BG49" s="81" t="s">
        <v>386</v>
      </c>
      <c r="BI49" s="175" t="s">
        <v>319</v>
      </c>
      <c r="BJ49" s="175" t="s">
        <v>320</v>
      </c>
      <c r="BK49" s="175" t="s">
        <v>372</v>
      </c>
      <c r="BL49" s="175" t="s">
        <v>323</v>
      </c>
      <c r="BM49" s="174">
        <f>BC96</f>
        <v>393</v>
      </c>
      <c r="BN49" s="175" t="s">
        <v>322</v>
      </c>
      <c r="BP49" s="81" t="s">
        <v>387</v>
      </c>
      <c r="BQ49" s="167">
        <v>289</v>
      </c>
      <c r="BR49" s="167">
        <v>0.27</v>
      </c>
      <c r="BS49" s="81">
        <v>1069.93</v>
      </c>
      <c r="BT49" s="81" t="s">
        <v>422</v>
      </c>
      <c r="BU49" s="167">
        <v>2E-16</v>
      </c>
      <c r="BV49" s="81" t="s">
        <v>389</v>
      </c>
      <c r="BX49" s="178" t="s">
        <v>319</v>
      </c>
      <c r="BY49" s="178" t="s">
        <v>320</v>
      </c>
      <c r="BZ49" s="178" t="s">
        <v>368</v>
      </c>
      <c r="CA49" s="178" t="s">
        <v>323</v>
      </c>
      <c r="CB49" s="177">
        <f>BQ68</f>
        <v>7.3200000000000001E-2</v>
      </c>
      <c r="CC49" s="178" t="s">
        <v>322</v>
      </c>
      <c r="CN49" s="81" t="s">
        <v>374</v>
      </c>
      <c r="CO49" s="257">
        <f t="shared" si="0"/>
        <v>369.7988165680473</v>
      </c>
      <c r="CP49" s="257">
        <f t="shared" si="1"/>
        <v>506</v>
      </c>
      <c r="CQ49" s="257">
        <f t="shared" si="2"/>
        <v>221</v>
      </c>
      <c r="CT49" s="258" t="s">
        <v>442</v>
      </c>
      <c r="CU49" s="258" t="s">
        <v>295</v>
      </c>
      <c r="CV49" s="259">
        <v>296</v>
      </c>
      <c r="CW49" s="259">
        <v>0.94</v>
      </c>
      <c r="CX49" s="258">
        <v>315.35000000000002</v>
      </c>
      <c r="CY49" s="258" t="s">
        <v>422</v>
      </c>
      <c r="CZ49" s="167">
        <v>2E-16</v>
      </c>
      <c r="DA49" s="81" t="s">
        <v>389</v>
      </c>
      <c r="DB49" s="260" t="s">
        <v>467</v>
      </c>
      <c r="DC49" s="266" t="s">
        <v>494</v>
      </c>
      <c r="DD49" s="261" t="s">
        <v>323</v>
      </c>
      <c r="DE49" s="262">
        <f t="shared" si="41"/>
        <v>0.39</v>
      </c>
      <c r="DF49" s="260" t="s">
        <v>322</v>
      </c>
      <c r="DH49" s="308" t="s">
        <v>442</v>
      </c>
      <c r="DI49" s="308" t="s">
        <v>295</v>
      </c>
      <c r="DJ49" s="312">
        <v>296</v>
      </c>
      <c r="DK49" s="312">
        <v>0.94</v>
      </c>
      <c r="DL49" s="308">
        <v>315.35000000000002</v>
      </c>
      <c r="DM49" s="308" t="s">
        <v>422</v>
      </c>
      <c r="DN49" s="312">
        <v>2E-16</v>
      </c>
      <c r="DO49" s="308" t="s">
        <v>389</v>
      </c>
      <c r="DP49" s="309" t="s">
        <v>467</v>
      </c>
      <c r="DQ49" s="316" t="s">
        <v>494</v>
      </c>
      <c r="DR49" s="310" t="s">
        <v>323</v>
      </c>
      <c r="DS49" s="311">
        <f t="shared" si="42"/>
        <v>0.39</v>
      </c>
      <c r="DT49" s="309" t="s">
        <v>322</v>
      </c>
    </row>
    <row r="50" spans="2:124" ht="15" customHeight="1" thickTop="1" thickBot="1" x14ac:dyDescent="0.3">
      <c r="K50" s="81"/>
      <c r="L50" s="81"/>
      <c r="M50" s="81"/>
      <c r="P50" s="81"/>
      <c r="Q50" s="81"/>
      <c r="W50" s="251"/>
      <c r="X50" s="252" t="s">
        <v>16</v>
      </c>
      <c r="Y50" s="252">
        <v>4</v>
      </c>
      <c r="Z50" s="252" t="s">
        <v>5</v>
      </c>
      <c r="AA50" s="252"/>
      <c r="AB50" s="252" t="s">
        <v>313</v>
      </c>
      <c r="AC50" s="252">
        <f>0.11*(1/Z49-1/23-1/8)</f>
        <v>8.9673913043478264E-3</v>
      </c>
      <c r="AD50" s="253"/>
      <c r="AE50" s="14"/>
      <c r="AF50" s="14"/>
      <c r="AG50" s="14"/>
      <c r="AL50" s="159" t="s">
        <v>319</v>
      </c>
      <c r="AM50" s="81" t="s">
        <v>320</v>
      </c>
      <c r="AN50" s="81" t="s">
        <v>374</v>
      </c>
      <c r="AO50" s="81">
        <f>AO48</f>
        <v>369.7988165680473</v>
      </c>
      <c r="AP50" s="81" t="s">
        <v>322</v>
      </c>
      <c r="AQ50" s="81" t="s">
        <v>375</v>
      </c>
      <c r="AU50" s="168" t="s">
        <v>319</v>
      </c>
      <c r="AV50" s="168" t="s">
        <v>320</v>
      </c>
      <c r="AW50" s="168" t="s">
        <v>374</v>
      </c>
      <c r="AX50" s="169" t="s">
        <v>323</v>
      </c>
      <c r="AY50" s="162">
        <f t="shared" si="40"/>
        <v>369.7988165680473</v>
      </c>
      <c r="AZ50" s="168" t="s">
        <v>322</v>
      </c>
      <c r="BB50" s="81" t="s">
        <v>387</v>
      </c>
      <c r="BC50" s="167">
        <v>291</v>
      </c>
      <c r="BD50" s="167">
        <v>5.11E-2</v>
      </c>
      <c r="BE50" s="81">
        <v>5694.69</v>
      </c>
      <c r="BF50" s="81" t="s">
        <v>422</v>
      </c>
      <c r="BG50" s="167">
        <v>2E-16</v>
      </c>
      <c r="BH50" s="81" t="s">
        <v>389</v>
      </c>
      <c r="BI50" s="175" t="s">
        <v>319</v>
      </c>
      <c r="BJ50" s="175" t="s">
        <v>320</v>
      </c>
      <c r="BK50" s="175" t="s">
        <v>374</v>
      </c>
      <c r="BL50" s="175" t="s">
        <v>323</v>
      </c>
      <c r="BM50" s="174">
        <f>BC97</f>
        <v>506</v>
      </c>
      <c r="BN50" s="175" t="s">
        <v>322</v>
      </c>
      <c r="BP50" s="81" t="s">
        <v>390</v>
      </c>
      <c r="BQ50" s="167">
        <v>285</v>
      </c>
      <c r="BR50" s="167">
        <v>0.32700000000000001</v>
      </c>
      <c r="BS50" s="81">
        <v>872.45</v>
      </c>
      <c r="BT50" s="81" t="s">
        <v>422</v>
      </c>
      <c r="BU50" s="167">
        <v>2E-16</v>
      </c>
      <c r="BV50" s="81" t="s">
        <v>389</v>
      </c>
      <c r="BX50" s="178" t="s">
        <v>319</v>
      </c>
      <c r="BY50" s="178" t="s">
        <v>320</v>
      </c>
      <c r="BZ50" s="178" t="s">
        <v>370</v>
      </c>
      <c r="CA50" s="178" t="s">
        <v>323</v>
      </c>
      <c r="CB50" s="177">
        <f>BQ94</f>
        <v>198</v>
      </c>
      <c r="CC50" s="178" t="s">
        <v>322</v>
      </c>
      <c r="CT50" s="258" t="s">
        <v>442</v>
      </c>
      <c r="CU50" s="258" t="s">
        <v>120</v>
      </c>
      <c r="CV50" s="259">
        <v>66.900000000000006</v>
      </c>
      <c r="CW50" s="259">
        <v>0.14299999999999999</v>
      </c>
      <c r="CX50" s="258">
        <v>468.23</v>
      </c>
      <c r="CY50" s="258" t="s">
        <v>422</v>
      </c>
      <c r="CZ50" s="167">
        <v>2E-16</v>
      </c>
      <c r="DA50" s="81" t="s">
        <v>389</v>
      </c>
      <c r="DB50" s="260" t="s">
        <v>467</v>
      </c>
      <c r="DC50" s="266" t="s">
        <v>495</v>
      </c>
      <c r="DD50" s="261" t="s">
        <v>323</v>
      </c>
      <c r="DE50" s="262">
        <f t="shared" si="41"/>
        <v>0.63400000000000001</v>
      </c>
      <c r="DF50" s="260" t="s">
        <v>322</v>
      </c>
      <c r="DH50" s="308" t="s">
        <v>442</v>
      </c>
      <c r="DI50" s="308" t="s">
        <v>120</v>
      </c>
      <c r="DJ50" s="312">
        <v>66.900000000000006</v>
      </c>
      <c r="DK50" s="312">
        <v>0.14299999999999999</v>
      </c>
      <c r="DL50" s="308">
        <v>468.23</v>
      </c>
      <c r="DM50" s="308" t="s">
        <v>422</v>
      </c>
      <c r="DN50" s="312">
        <v>2E-16</v>
      </c>
      <c r="DO50" s="308" t="s">
        <v>389</v>
      </c>
      <c r="DP50" s="309" t="s">
        <v>467</v>
      </c>
      <c r="DQ50" s="316" t="s">
        <v>495</v>
      </c>
      <c r="DR50" s="310" t="s">
        <v>323</v>
      </c>
      <c r="DS50" s="311">
        <f t="shared" si="42"/>
        <v>0.63400000000000001</v>
      </c>
      <c r="DT50" s="309" t="s">
        <v>322</v>
      </c>
    </row>
    <row r="51" spans="2:124" ht="15" customHeight="1" thickTop="1" thickBot="1" x14ac:dyDescent="0.3">
      <c r="K51" s="81"/>
      <c r="L51" s="81"/>
      <c r="M51" s="81"/>
      <c r="P51" s="81"/>
      <c r="Q51" s="81"/>
      <c r="W51" s="226"/>
      <c r="X51" s="226"/>
      <c r="Y51" s="227"/>
      <c r="Z51" s="227"/>
      <c r="AA51" s="227"/>
      <c r="AB51" s="226"/>
      <c r="AC51" s="226"/>
      <c r="AD51" s="226"/>
      <c r="AE51" s="14"/>
      <c r="AF51" s="14"/>
      <c r="AG51" s="14"/>
      <c r="BB51" s="81" t="s">
        <v>390</v>
      </c>
      <c r="BC51" s="167">
        <v>289</v>
      </c>
      <c r="BD51" s="167">
        <v>0.17199999999999999</v>
      </c>
      <c r="BE51" s="81">
        <v>1674.64</v>
      </c>
      <c r="BF51" s="81" t="s">
        <v>422</v>
      </c>
      <c r="BG51" s="167">
        <v>2E-16</v>
      </c>
      <c r="BH51" s="81" t="s">
        <v>389</v>
      </c>
      <c r="BP51" s="81" t="s">
        <v>391</v>
      </c>
      <c r="BQ51" s="167">
        <v>291</v>
      </c>
      <c r="BR51" s="167">
        <v>0.14000000000000001</v>
      </c>
      <c r="BS51" s="81">
        <v>2086.0700000000002</v>
      </c>
      <c r="BT51" s="81" t="s">
        <v>422</v>
      </c>
      <c r="BU51" s="167">
        <v>2E-16</v>
      </c>
      <c r="BV51" s="81" t="s">
        <v>389</v>
      </c>
      <c r="BX51" s="178" t="s">
        <v>319</v>
      </c>
      <c r="BY51" s="178" t="s">
        <v>320</v>
      </c>
      <c r="BZ51" s="178" t="s">
        <v>372</v>
      </c>
      <c r="CA51" s="178" t="s">
        <v>323</v>
      </c>
      <c r="CB51" s="177">
        <f>BQ95</f>
        <v>3.48E-4</v>
      </c>
      <c r="CC51" s="178" t="s">
        <v>322</v>
      </c>
      <c r="CT51" s="258" t="s">
        <v>442</v>
      </c>
      <c r="CU51" s="258" t="s">
        <v>412</v>
      </c>
      <c r="CV51" s="259">
        <v>-6.36</v>
      </c>
      <c r="CW51" s="259">
        <v>1.66E-2</v>
      </c>
      <c r="CX51" s="258">
        <v>-382.72</v>
      </c>
      <c r="CY51" s="258" t="s">
        <v>422</v>
      </c>
      <c r="CZ51" s="167">
        <v>2E-16</v>
      </c>
      <c r="DA51" s="81" t="s">
        <v>389</v>
      </c>
      <c r="DB51" s="260" t="s">
        <v>467</v>
      </c>
      <c r="DC51" s="266" t="s">
        <v>496</v>
      </c>
      <c r="DD51" s="261" t="s">
        <v>323</v>
      </c>
      <c r="DE51" s="262">
        <f t="shared" si="41"/>
        <v>0.52800000000000002</v>
      </c>
      <c r="DF51" s="260" t="s">
        <v>322</v>
      </c>
      <c r="DH51" s="308" t="s">
        <v>442</v>
      </c>
      <c r="DI51" s="308" t="s">
        <v>412</v>
      </c>
      <c r="DJ51" s="312">
        <v>-6.36</v>
      </c>
      <c r="DK51" s="312">
        <v>1.66E-2</v>
      </c>
      <c r="DL51" s="308">
        <v>-382.72</v>
      </c>
      <c r="DM51" s="308" t="s">
        <v>422</v>
      </c>
      <c r="DN51" s="312">
        <v>2E-16</v>
      </c>
      <c r="DO51" s="308" t="s">
        <v>389</v>
      </c>
      <c r="DP51" s="309" t="s">
        <v>467</v>
      </c>
      <c r="DQ51" s="316" t="s">
        <v>496</v>
      </c>
      <c r="DR51" s="310" t="s">
        <v>323</v>
      </c>
      <c r="DS51" s="311">
        <f t="shared" si="42"/>
        <v>0.52800000000000002</v>
      </c>
      <c r="DT51" s="309" t="s">
        <v>322</v>
      </c>
    </row>
    <row r="52" spans="2:124" thickTop="1" thickBot="1" x14ac:dyDescent="0.3">
      <c r="K52" s="81"/>
      <c r="L52" s="81"/>
      <c r="M52" s="81"/>
      <c r="BB52" s="81" t="s">
        <v>391</v>
      </c>
      <c r="BC52" s="167">
        <v>293</v>
      </c>
      <c r="BD52" s="167">
        <v>2.9399999999999999E-2</v>
      </c>
      <c r="BE52" s="81">
        <v>9948.2000000000007</v>
      </c>
      <c r="BF52" s="81" t="s">
        <v>422</v>
      </c>
      <c r="BG52" s="167">
        <v>2E-16</v>
      </c>
      <c r="BH52" s="81" t="s">
        <v>389</v>
      </c>
      <c r="BP52" s="81" t="s">
        <v>392</v>
      </c>
      <c r="BQ52" s="167">
        <v>293</v>
      </c>
      <c r="BR52" s="167">
        <v>0.214</v>
      </c>
      <c r="BS52" s="81">
        <v>1373.31</v>
      </c>
      <c r="BT52" s="81" t="s">
        <v>422</v>
      </c>
      <c r="BU52" s="167">
        <v>2E-16</v>
      </c>
      <c r="BV52" s="81" t="s">
        <v>389</v>
      </c>
      <c r="BX52" s="178" t="s">
        <v>319</v>
      </c>
      <c r="BY52" s="178" t="s">
        <v>320</v>
      </c>
      <c r="BZ52" s="178" t="s">
        <v>374</v>
      </c>
      <c r="CA52" s="178" t="s">
        <v>323</v>
      </c>
      <c r="CB52" s="177">
        <f>BQ96</f>
        <v>221</v>
      </c>
      <c r="CC52" s="178" t="s">
        <v>322</v>
      </c>
      <c r="CT52" s="258" t="s">
        <v>442</v>
      </c>
      <c r="CU52" s="258" t="s">
        <v>413</v>
      </c>
      <c r="CV52" s="259">
        <v>-7.14</v>
      </c>
      <c r="CW52" s="259">
        <v>1.6299999999999999E-2</v>
      </c>
      <c r="CX52" s="258">
        <v>-439.37</v>
      </c>
      <c r="CY52" s="258" t="s">
        <v>422</v>
      </c>
      <c r="CZ52" s="167">
        <v>2E-16</v>
      </c>
      <c r="DA52" s="81" t="s">
        <v>389</v>
      </c>
      <c r="DB52" s="260" t="s">
        <v>467</v>
      </c>
      <c r="DC52" s="266" t="s">
        <v>497</v>
      </c>
      <c r="DD52" s="261" t="s">
        <v>323</v>
      </c>
      <c r="DE52" s="262">
        <f t="shared" si="41"/>
        <v>8.8200000000000001E-2</v>
      </c>
      <c r="DF52" s="260" t="s">
        <v>322</v>
      </c>
      <c r="DH52" s="308" t="s">
        <v>442</v>
      </c>
      <c r="DI52" s="308" t="s">
        <v>413</v>
      </c>
      <c r="DJ52" s="312">
        <v>-7.14</v>
      </c>
      <c r="DK52" s="312">
        <v>1.6299999999999999E-2</v>
      </c>
      <c r="DL52" s="308">
        <v>-439.37</v>
      </c>
      <c r="DM52" s="308" t="s">
        <v>422</v>
      </c>
      <c r="DN52" s="312">
        <v>2E-16</v>
      </c>
      <c r="DO52" s="308" t="s">
        <v>389</v>
      </c>
      <c r="DP52" s="309" t="s">
        <v>467</v>
      </c>
      <c r="DQ52" s="316" t="s">
        <v>497</v>
      </c>
      <c r="DR52" s="310" t="s">
        <v>323</v>
      </c>
      <c r="DS52" s="311">
        <f t="shared" si="42"/>
        <v>8.8200000000000001E-2</v>
      </c>
      <c r="DT52" s="309" t="s">
        <v>322</v>
      </c>
    </row>
    <row r="53" spans="2:124" thickTop="1" thickBot="1" x14ac:dyDescent="0.3">
      <c r="K53" s="81"/>
      <c r="L53" s="81"/>
      <c r="M53" s="81"/>
      <c r="W53" s="269" t="s">
        <v>512</v>
      </c>
      <c r="X53" s="270"/>
      <c r="Y53" s="271" t="s">
        <v>21</v>
      </c>
      <c r="Z53" s="272">
        <f>(1/(1/8+SUM(AC55:AC57)+1/8))</f>
        <v>1.8430034129692836</v>
      </c>
      <c r="AA53" s="270" t="s">
        <v>5</v>
      </c>
      <c r="AB53" s="270"/>
      <c r="AC53" s="270" t="s">
        <v>22</v>
      </c>
      <c r="AD53" s="273">
        <f>SUM(AD55:AD59)</f>
        <v>181020.00000000003</v>
      </c>
      <c r="AE53" s="274" t="s">
        <v>23</v>
      </c>
      <c r="AF53" s="274">
        <f>SUM(AD55:AD57)</f>
        <v>181020.00000000003</v>
      </c>
      <c r="BB53" s="81" t="s">
        <v>392</v>
      </c>
      <c r="BC53" s="167">
        <v>294</v>
      </c>
      <c r="BD53" s="167">
        <v>4.8099999999999997E-2</v>
      </c>
      <c r="BE53" s="81">
        <v>6117.24</v>
      </c>
      <c r="BF53" s="81" t="s">
        <v>422</v>
      </c>
      <c r="BG53" s="167">
        <v>2E-16</v>
      </c>
      <c r="BH53" s="81" t="s">
        <v>389</v>
      </c>
      <c r="BP53" s="81" t="s">
        <v>394</v>
      </c>
      <c r="BQ53" s="167">
        <v>0.46800000000000003</v>
      </c>
      <c r="BR53" s="167">
        <v>1.24E-2</v>
      </c>
      <c r="BS53" s="81">
        <v>37.76</v>
      </c>
      <c r="BT53" s="81" t="s">
        <v>422</v>
      </c>
      <c r="BU53" s="167">
        <v>2E-16</v>
      </c>
      <c r="BV53" s="81" t="s">
        <v>389</v>
      </c>
      <c r="CT53" s="258" t="s">
        <v>442</v>
      </c>
      <c r="CU53" s="258" t="s">
        <v>414</v>
      </c>
      <c r="CV53" s="259">
        <v>-7.68</v>
      </c>
      <c r="CW53" s="259">
        <v>2.3800000000000002E-2</v>
      </c>
      <c r="CX53" s="258">
        <v>-322.33</v>
      </c>
      <c r="CY53" s="258" t="s">
        <v>422</v>
      </c>
      <c r="CZ53" s="167">
        <v>2E-16</v>
      </c>
      <c r="DA53" s="81" t="s">
        <v>389</v>
      </c>
      <c r="DB53" s="260" t="s">
        <v>467</v>
      </c>
      <c r="DC53" s="266" t="s">
        <v>498</v>
      </c>
      <c r="DD53" s="261" t="s">
        <v>323</v>
      </c>
      <c r="DE53" s="262">
        <f t="shared" si="41"/>
        <v>2.5899999999999999E-9</v>
      </c>
      <c r="DF53" s="260" t="s">
        <v>322</v>
      </c>
      <c r="DH53" s="308" t="s">
        <v>442</v>
      </c>
      <c r="DI53" s="308" t="s">
        <v>414</v>
      </c>
      <c r="DJ53" s="312">
        <v>-7.68</v>
      </c>
      <c r="DK53" s="312">
        <v>2.3800000000000002E-2</v>
      </c>
      <c r="DL53" s="308">
        <v>-322.33</v>
      </c>
      <c r="DM53" s="308" t="s">
        <v>422</v>
      </c>
      <c r="DN53" s="312">
        <v>2E-16</v>
      </c>
      <c r="DO53" s="308" t="s">
        <v>389</v>
      </c>
      <c r="DP53" s="309" t="s">
        <v>467</v>
      </c>
      <c r="DQ53" s="316" t="s">
        <v>498</v>
      </c>
      <c r="DR53" s="310" t="s">
        <v>323</v>
      </c>
      <c r="DS53" s="311">
        <f t="shared" si="42"/>
        <v>2.5899999999999999E-9</v>
      </c>
      <c r="DT53" s="309" t="s">
        <v>322</v>
      </c>
    </row>
    <row r="54" spans="2:124" thickTop="1" thickBot="1" x14ac:dyDescent="0.3">
      <c r="K54" s="81"/>
      <c r="L54" s="81"/>
      <c r="M54" s="81"/>
      <c r="W54" s="275"/>
      <c r="X54" s="234" t="s">
        <v>27</v>
      </c>
      <c r="Y54" s="234" t="s">
        <v>28</v>
      </c>
      <c r="Z54" s="234" t="s">
        <v>29</v>
      </c>
      <c r="AA54" s="234" t="s">
        <v>30</v>
      </c>
      <c r="AB54" s="234" t="s">
        <v>31</v>
      </c>
      <c r="AC54" s="234" t="s">
        <v>32</v>
      </c>
      <c r="AD54" s="276" t="s">
        <v>33</v>
      </c>
      <c r="AE54" s="274"/>
      <c r="AF54" s="274"/>
      <c r="AN54" s="170" t="s">
        <v>376</v>
      </c>
      <c r="AO54" s="170">
        <f>SUM(AO42,AO4:AO7)</f>
        <v>1</v>
      </c>
      <c r="AP54" s="170"/>
      <c r="BB54" s="81" t="s">
        <v>394</v>
      </c>
      <c r="BC54" s="167">
        <v>0.44900000000000001</v>
      </c>
      <c r="BD54" s="167">
        <v>1.77E-2</v>
      </c>
      <c r="BE54" s="81">
        <v>25.4</v>
      </c>
      <c r="BF54" s="81" t="s">
        <v>422</v>
      </c>
      <c r="BG54" s="167">
        <v>2E-16</v>
      </c>
      <c r="BH54" s="81" t="s">
        <v>389</v>
      </c>
      <c r="BP54" s="81" t="s">
        <v>395</v>
      </c>
      <c r="BQ54" s="167">
        <v>0.14099999999999999</v>
      </c>
      <c r="BR54" s="167">
        <v>2.1800000000000001E-3</v>
      </c>
      <c r="BS54" s="81">
        <v>64.91</v>
      </c>
      <c r="BT54" s="81" t="s">
        <v>422</v>
      </c>
      <c r="BU54" s="167">
        <v>2E-16</v>
      </c>
      <c r="BV54" s="81" t="s">
        <v>389</v>
      </c>
      <c r="CT54" s="258" t="s">
        <v>442</v>
      </c>
      <c r="CU54" s="258" t="s">
        <v>415</v>
      </c>
      <c r="CV54" s="259">
        <v>-6.74</v>
      </c>
      <c r="CW54" s="259">
        <v>1.4999999999999999E-2</v>
      </c>
      <c r="CX54" s="258">
        <v>-447.7</v>
      </c>
      <c r="CY54" s="258" t="s">
        <v>422</v>
      </c>
      <c r="CZ54" s="167">
        <v>2E-16</v>
      </c>
      <c r="DA54" s="81" t="s">
        <v>389</v>
      </c>
      <c r="DB54" s="260" t="s">
        <v>467</v>
      </c>
      <c r="DC54" s="266" t="s">
        <v>499</v>
      </c>
      <c r="DD54" s="261" t="s">
        <v>323</v>
      </c>
      <c r="DE54" s="262">
        <f t="shared" si="41"/>
        <v>6.08E-2</v>
      </c>
      <c r="DF54" s="260" t="s">
        <v>322</v>
      </c>
      <c r="DH54" s="308" t="s">
        <v>442</v>
      </c>
      <c r="DI54" s="308" t="s">
        <v>415</v>
      </c>
      <c r="DJ54" s="312">
        <v>-6.74</v>
      </c>
      <c r="DK54" s="312">
        <v>1.4999999999999999E-2</v>
      </c>
      <c r="DL54" s="308">
        <v>-447.7</v>
      </c>
      <c r="DM54" s="308" t="s">
        <v>422</v>
      </c>
      <c r="DN54" s="312">
        <v>2E-16</v>
      </c>
      <c r="DO54" s="308" t="s">
        <v>389</v>
      </c>
      <c r="DP54" s="309" t="s">
        <v>467</v>
      </c>
      <c r="DQ54" s="316" t="s">
        <v>499</v>
      </c>
      <c r="DR54" s="310" t="s">
        <v>323</v>
      </c>
      <c r="DS54" s="311">
        <f t="shared" si="42"/>
        <v>6.08E-2</v>
      </c>
      <c r="DT54" s="309" t="s">
        <v>322</v>
      </c>
    </row>
    <row r="55" spans="2:124" thickTop="1" thickBot="1" x14ac:dyDescent="0.3">
      <c r="K55" s="81"/>
      <c r="L55" s="81"/>
      <c r="M55" s="81"/>
      <c r="W55" s="277"/>
      <c r="X55" s="189" t="s">
        <v>90</v>
      </c>
      <c r="Y55" s="189">
        <v>0.02</v>
      </c>
      <c r="Z55" s="189">
        <v>0.6</v>
      </c>
      <c r="AA55" s="189">
        <v>975</v>
      </c>
      <c r="AB55" s="189">
        <v>840</v>
      </c>
      <c r="AC55" s="236">
        <f>Y55/Z55</f>
        <v>3.3333333333333333E-2</v>
      </c>
      <c r="AD55" s="278">
        <f>Y55*AA55*AB55</f>
        <v>16380</v>
      </c>
      <c r="AE55" s="274"/>
      <c r="AF55" s="274"/>
      <c r="AN55" s="170" t="s">
        <v>376</v>
      </c>
      <c r="AO55" s="170">
        <f>SUM(AO43,AO26:AO28)</f>
        <v>1</v>
      </c>
      <c r="AP55" s="170"/>
      <c r="BB55" s="81" t="s">
        <v>395</v>
      </c>
      <c r="BC55" s="167">
        <v>0.111</v>
      </c>
      <c r="BD55" s="167">
        <v>1.1199999999999999E-3</v>
      </c>
      <c r="BE55" s="81">
        <v>99.15</v>
      </c>
      <c r="BF55" s="81" t="s">
        <v>422</v>
      </c>
      <c r="BG55" s="167">
        <v>2E-16</v>
      </c>
      <c r="BH55" s="81" t="s">
        <v>389</v>
      </c>
      <c r="BP55" s="81" t="s">
        <v>396</v>
      </c>
      <c r="BQ55" s="167">
        <v>0.108</v>
      </c>
      <c r="BR55" s="167">
        <v>2.07E-2</v>
      </c>
      <c r="BS55" s="81">
        <v>5.23</v>
      </c>
      <c r="BT55" s="167">
        <v>1.8E-7</v>
      </c>
      <c r="BU55" s="81" t="s">
        <v>389</v>
      </c>
      <c r="CT55" s="258" t="s">
        <v>442</v>
      </c>
      <c r="CU55" s="258" t="s">
        <v>416</v>
      </c>
      <c r="CV55" s="259">
        <v>-7.41</v>
      </c>
      <c r="CW55" s="259">
        <v>1.83E-2</v>
      </c>
      <c r="CX55" s="258">
        <v>-404.25</v>
      </c>
      <c r="CY55" s="258" t="s">
        <v>422</v>
      </c>
      <c r="CZ55" s="167">
        <v>2E-16</v>
      </c>
      <c r="DA55" s="81" t="s">
        <v>389</v>
      </c>
      <c r="DB55" s="260" t="s">
        <v>467</v>
      </c>
      <c r="DC55" s="266" t="s">
        <v>500</v>
      </c>
      <c r="DD55" s="261" t="s">
        <v>323</v>
      </c>
      <c r="DE55" s="262">
        <f t="shared" si="41"/>
        <v>0.11</v>
      </c>
      <c r="DF55" s="260" t="s">
        <v>322</v>
      </c>
      <c r="DH55" s="308" t="s">
        <v>442</v>
      </c>
      <c r="DI55" s="308" t="s">
        <v>416</v>
      </c>
      <c r="DJ55" s="312">
        <v>-7.41</v>
      </c>
      <c r="DK55" s="312">
        <v>1.83E-2</v>
      </c>
      <c r="DL55" s="308">
        <v>-404.25</v>
      </c>
      <c r="DM55" s="308" t="s">
        <v>422</v>
      </c>
      <c r="DN55" s="312">
        <v>2E-16</v>
      </c>
      <c r="DO55" s="308" t="s">
        <v>389</v>
      </c>
      <c r="DP55" s="309" t="s">
        <v>467</v>
      </c>
      <c r="DQ55" s="316" t="s">
        <v>500</v>
      </c>
      <c r="DR55" s="310" t="s">
        <v>323</v>
      </c>
      <c r="DS55" s="311">
        <f t="shared" si="42"/>
        <v>0.11</v>
      </c>
      <c r="DT55" s="309" t="s">
        <v>322</v>
      </c>
    </row>
    <row r="56" spans="2:124" thickTop="1" thickBot="1" x14ac:dyDescent="0.3">
      <c r="W56" s="277"/>
      <c r="X56" s="189" t="s">
        <v>93</v>
      </c>
      <c r="Y56" s="189">
        <v>0.14000000000000001</v>
      </c>
      <c r="Z56" s="189">
        <v>0.54</v>
      </c>
      <c r="AA56" s="189">
        <v>1400</v>
      </c>
      <c r="AB56" s="189">
        <v>840</v>
      </c>
      <c r="AC56" s="236">
        <f>Y56/Z56</f>
        <v>0.25925925925925924</v>
      </c>
      <c r="AD56" s="278">
        <f>Y56*AA56*AB56</f>
        <v>164640.00000000003</v>
      </c>
      <c r="AE56" s="274"/>
      <c r="AF56" s="274"/>
      <c r="AN56" s="170" t="s">
        <v>377</v>
      </c>
      <c r="AO56" s="170">
        <f>SUM(AO46,AO14:AO17)</f>
        <v>1</v>
      </c>
      <c r="AP56" s="170"/>
      <c r="BB56" s="81" t="s">
        <v>396</v>
      </c>
      <c r="BC56" s="167">
        <v>0.255</v>
      </c>
      <c r="BD56" s="167">
        <v>1.8100000000000002E-2</v>
      </c>
      <c r="BE56" s="81">
        <v>14.05</v>
      </c>
      <c r="BF56" s="81" t="s">
        <v>422</v>
      </c>
      <c r="BG56" s="167">
        <v>2E-16</v>
      </c>
      <c r="BH56" s="81" t="s">
        <v>389</v>
      </c>
      <c r="BP56" s="81" t="s">
        <v>397</v>
      </c>
      <c r="BQ56" s="167">
        <v>0.28299999999999997</v>
      </c>
      <c r="BR56" s="167">
        <v>6.1999999999999998E-3</v>
      </c>
      <c r="BS56" s="81">
        <v>45.61</v>
      </c>
      <c r="BT56" s="81" t="s">
        <v>422</v>
      </c>
      <c r="BU56" s="167">
        <v>2E-16</v>
      </c>
      <c r="BV56" s="81" t="s">
        <v>389</v>
      </c>
      <c r="CT56" s="258" t="s">
        <v>442</v>
      </c>
      <c r="CU56" s="258" t="s">
        <v>417</v>
      </c>
      <c r="CV56" s="259">
        <v>6.3500000000000001E-2</v>
      </c>
      <c r="CW56" s="259">
        <v>7.5000000000000002E-4</v>
      </c>
      <c r="CX56" s="258">
        <v>84.7</v>
      </c>
      <c r="CY56" s="258" t="s">
        <v>422</v>
      </c>
      <c r="CZ56" s="167">
        <v>2E-16</v>
      </c>
      <c r="DA56" s="81" t="s">
        <v>389</v>
      </c>
      <c r="DB56" s="260" t="s">
        <v>467</v>
      </c>
      <c r="DC56" s="266" t="s">
        <v>501</v>
      </c>
      <c r="DD56" s="261" t="s">
        <v>323</v>
      </c>
      <c r="DE56" s="262">
        <f t="shared" si="41"/>
        <v>0.104</v>
      </c>
      <c r="DF56" s="260" t="s">
        <v>322</v>
      </c>
      <c r="DH56" s="308" t="s">
        <v>442</v>
      </c>
      <c r="DI56" s="308" t="s">
        <v>417</v>
      </c>
      <c r="DJ56" s="312">
        <v>6.3500000000000001E-2</v>
      </c>
      <c r="DK56" s="312">
        <v>7.5000000000000002E-4</v>
      </c>
      <c r="DL56" s="308">
        <v>84.7</v>
      </c>
      <c r="DM56" s="308" t="s">
        <v>422</v>
      </c>
      <c r="DN56" s="312">
        <v>2E-16</v>
      </c>
      <c r="DO56" s="308" t="s">
        <v>389</v>
      </c>
      <c r="DP56" s="309" t="s">
        <v>467</v>
      </c>
      <c r="DQ56" s="316" t="s">
        <v>501</v>
      </c>
      <c r="DR56" s="310" t="s">
        <v>323</v>
      </c>
      <c r="DS56" s="311">
        <f t="shared" si="42"/>
        <v>0.104</v>
      </c>
      <c r="DT56" s="309" t="s">
        <v>322</v>
      </c>
    </row>
    <row r="57" spans="2:124" thickTop="1" thickBot="1" x14ac:dyDescent="0.3">
      <c r="W57" s="279"/>
      <c r="X57" s="280" t="s">
        <v>273</v>
      </c>
      <c r="Y57" s="281">
        <v>0</v>
      </c>
      <c r="Z57" s="281">
        <v>3.5999999999999997E-2</v>
      </c>
      <c r="AA57" s="281">
        <v>26</v>
      </c>
      <c r="AB57" s="281">
        <v>1470</v>
      </c>
      <c r="AC57" s="282">
        <f>Y57/Z57</f>
        <v>0</v>
      </c>
      <c r="AD57" s="283">
        <f>Y57*AA57*AB57</f>
        <v>0</v>
      </c>
      <c r="AE57" s="274"/>
      <c r="AF57" s="274"/>
      <c r="AN57" s="170" t="s">
        <v>377</v>
      </c>
      <c r="AO57" s="170">
        <f>SUM(AO47,AO33:AO35)</f>
        <v>1</v>
      </c>
      <c r="AP57" s="170"/>
      <c r="BB57" s="81" t="s">
        <v>397</v>
      </c>
      <c r="BC57" s="167">
        <v>0.19800000000000001</v>
      </c>
      <c r="BD57" s="167">
        <v>3.8500000000000001E-3</v>
      </c>
      <c r="BE57" s="81">
        <v>51.44</v>
      </c>
      <c r="BF57" s="81" t="s">
        <v>422</v>
      </c>
      <c r="BG57" s="167">
        <v>2E-16</v>
      </c>
      <c r="BH57" s="81" t="s">
        <v>389</v>
      </c>
      <c r="BP57" s="81" t="s">
        <v>308</v>
      </c>
      <c r="BQ57" s="167">
        <v>990000000</v>
      </c>
      <c r="BR57" s="167">
        <v>65000000</v>
      </c>
      <c r="BS57" s="81">
        <v>15.24</v>
      </c>
      <c r="BT57" s="81" t="s">
        <v>422</v>
      </c>
      <c r="BU57" s="167">
        <v>2E-16</v>
      </c>
      <c r="BV57" s="81" t="s">
        <v>389</v>
      </c>
      <c r="CT57" s="258" t="s">
        <v>442</v>
      </c>
      <c r="CU57" s="258" t="s">
        <v>418</v>
      </c>
      <c r="CV57" s="259">
        <v>39.1</v>
      </c>
      <c r="CW57" s="259">
        <v>0.189</v>
      </c>
      <c r="CX57" s="258">
        <v>207.02</v>
      </c>
      <c r="CY57" s="258" t="s">
        <v>422</v>
      </c>
      <c r="CZ57" s="167">
        <v>2E-16</v>
      </c>
      <c r="DA57" s="81" t="s">
        <v>389</v>
      </c>
      <c r="DB57" s="260" t="s">
        <v>467</v>
      </c>
      <c r="DC57" s="266" t="s">
        <v>502</v>
      </c>
      <c r="DD57" s="261" t="s">
        <v>323</v>
      </c>
      <c r="DE57" s="262">
        <f t="shared" si="41"/>
        <v>0.16700000000000001</v>
      </c>
      <c r="DF57" s="260" t="s">
        <v>322</v>
      </c>
      <c r="DH57" s="308" t="s">
        <v>442</v>
      </c>
      <c r="DI57" s="308" t="s">
        <v>418</v>
      </c>
      <c r="DJ57" s="312">
        <v>39.1</v>
      </c>
      <c r="DK57" s="312">
        <v>0.189</v>
      </c>
      <c r="DL57" s="308">
        <v>207.02</v>
      </c>
      <c r="DM57" s="308" t="s">
        <v>422</v>
      </c>
      <c r="DN57" s="312">
        <v>2E-16</v>
      </c>
      <c r="DO57" s="308" t="s">
        <v>389</v>
      </c>
      <c r="DP57" s="309" t="s">
        <v>467</v>
      </c>
      <c r="DQ57" s="316" t="s">
        <v>502</v>
      </c>
      <c r="DR57" s="310" t="s">
        <v>323</v>
      </c>
      <c r="DS57" s="311">
        <f t="shared" si="42"/>
        <v>0.16700000000000001</v>
      </c>
      <c r="DT57" s="309" t="s">
        <v>322</v>
      </c>
    </row>
    <row r="58" spans="2:124" thickTop="1" thickBot="1" x14ac:dyDescent="0.3">
      <c r="BB58" s="81" t="s">
        <v>308</v>
      </c>
      <c r="BC58" s="167">
        <v>29000000</v>
      </c>
      <c r="BD58" s="167">
        <v>522000</v>
      </c>
      <c r="BE58" s="81">
        <v>55.58</v>
      </c>
      <c r="BF58" s="81" t="s">
        <v>422</v>
      </c>
      <c r="BG58" s="167">
        <v>2E-16</v>
      </c>
      <c r="BH58" s="81" t="s">
        <v>389</v>
      </c>
      <c r="BP58" s="81" t="s">
        <v>399</v>
      </c>
      <c r="BQ58" s="167">
        <v>752000</v>
      </c>
      <c r="BR58" s="167">
        <v>20000</v>
      </c>
      <c r="BS58" s="81">
        <v>37.6</v>
      </c>
      <c r="BT58" s="81" t="s">
        <v>422</v>
      </c>
      <c r="BU58" s="167">
        <v>2E-16</v>
      </c>
      <c r="BV58" s="81" t="s">
        <v>389</v>
      </c>
      <c r="CT58" s="258" t="s">
        <v>442</v>
      </c>
      <c r="CU58" s="258" t="s">
        <v>419</v>
      </c>
      <c r="CV58" s="259">
        <v>9930</v>
      </c>
      <c r="CW58" s="259">
        <v>171</v>
      </c>
      <c r="CX58" s="258">
        <v>58.23</v>
      </c>
      <c r="CY58" s="259" t="s">
        <v>422</v>
      </c>
      <c r="CZ58" s="167">
        <v>2E-16</v>
      </c>
      <c r="DA58" s="81" t="s">
        <v>389</v>
      </c>
      <c r="DB58" s="260" t="s">
        <v>467</v>
      </c>
      <c r="DC58" s="266" t="s">
        <v>503</v>
      </c>
      <c r="DD58" s="261" t="s">
        <v>323</v>
      </c>
      <c r="DE58" s="262">
        <f t="shared" si="41"/>
        <v>9.5899999999999999E-2</v>
      </c>
      <c r="DF58" s="260" t="s">
        <v>322</v>
      </c>
      <c r="DH58" s="308" t="s">
        <v>442</v>
      </c>
      <c r="DI58" s="308" t="s">
        <v>419</v>
      </c>
      <c r="DJ58" s="312">
        <v>9930</v>
      </c>
      <c r="DK58" s="312">
        <v>171</v>
      </c>
      <c r="DL58" s="308">
        <v>58.23</v>
      </c>
      <c r="DM58" s="312" t="s">
        <v>422</v>
      </c>
      <c r="DN58" s="312">
        <v>2E-16</v>
      </c>
      <c r="DO58" s="308" t="s">
        <v>389</v>
      </c>
      <c r="DP58" s="309" t="s">
        <v>467</v>
      </c>
      <c r="DQ58" s="316" t="s">
        <v>503</v>
      </c>
      <c r="DR58" s="310" t="s">
        <v>323</v>
      </c>
      <c r="DS58" s="311">
        <f t="shared" si="42"/>
        <v>9.5899999999999999E-2</v>
      </c>
      <c r="DT58" s="309" t="s">
        <v>322</v>
      </c>
    </row>
    <row r="59" spans="2:124" thickTop="1" thickBot="1" x14ac:dyDescent="0.3">
      <c r="BB59" s="81" t="s">
        <v>399</v>
      </c>
      <c r="BC59" s="167">
        <v>858000</v>
      </c>
      <c r="BD59" s="167">
        <v>4620</v>
      </c>
      <c r="BE59" s="81">
        <v>185.74</v>
      </c>
      <c r="BF59" s="81" t="s">
        <v>422</v>
      </c>
      <c r="BG59" s="167">
        <v>2E-16</v>
      </c>
      <c r="BH59" s="81" t="s">
        <v>389</v>
      </c>
      <c r="BP59" s="81" t="s">
        <v>301</v>
      </c>
      <c r="BQ59" s="167">
        <v>8650000</v>
      </c>
      <c r="BR59" s="167">
        <v>780000</v>
      </c>
      <c r="BS59" s="81">
        <v>11.09</v>
      </c>
      <c r="BT59" s="81" t="s">
        <v>422</v>
      </c>
      <c r="BU59" s="167">
        <v>2E-16</v>
      </c>
      <c r="BV59" s="81" t="s">
        <v>389</v>
      </c>
      <c r="CT59" s="258" t="s">
        <v>442</v>
      </c>
      <c r="CU59" s="258" t="s">
        <v>420</v>
      </c>
      <c r="CV59" s="259">
        <v>24.8</v>
      </c>
      <c r="CW59" s="259">
        <v>0.33700000000000002</v>
      </c>
      <c r="CX59" s="258">
        <v>73.62</v>
      </c>
      <c r="CY59" s="258" t="s">
        <v>422</v>
      </c>
      <c r="CZ59" s="167">
        <v>2E-16</v>
      </c>
      <c r="DA59" s="81" t="s">
        <v>389</v>
      </c>
      <c r="DB59" s="260" t="s">
        <v>467</v>
      </c>
      <c r="DC59" s="266" t="s">
        <v>504</v>
      </c>
      <c r="DD59" s="261" t="s">
        <v>323</v>
      </c>
      <c r="DE59" s="262">
        <f t="shared" si="41"/>
        <v>8.1000000000000003E-2</v>
      </c>
      <c r="DF59" s="260" t="s">
        <v>322</v>
      </c>
      <c r="DH59" s="308" t="s">
        <v>442</v>
      </c>
      <c r="DI59" s="308" t="s">
        <v>420</v>
      </c>
      <c r="DJ59" s="312">
        <v>24.8</v>
      </c>
      <c r="DK59" s="312">
        <v>0.33700000000000002</v>
      </c>
      <c r="DL59" s="308">
        <v>73.62</v>
      </c>
      <c r="DM59" s="308" t="s">
        <v>422</v>
      </c>
      <c r="DN59" s="312">
        <v>2E-16</v>
      </c>
      <c r="DO59" s="308" t="s">
        <v>389</v>
      </c>
      <c r="DP59" s="309" t="s">
        <v>467</v>
      </c>
      <c r="DQ59" s="316" t="s">
        <v>504</v>
      </c>
      <c r="DR59" s="310" t="s">
        <v>323</v>
      </c>
      <c r="DS59" s="311">
        <f t="shared" si="42"/>
        <v>8.1000000000000003E-2</v>
      </c>
      <c r="DT59" s="309" t="s">
        <v>322</v>
      </c>
    </row>
    <row r="60" spans="2:124" thickTop="1" thickBot="1" x14ac:dyDescent="0.3">
      <c r="BB60" s="81" t="s">
        <v>301</v>
      </c>
      <c r="BC60" s="167">
        <v>2990000</v>
      </c>
      <c r="BD60" s="167">
        <v>49000</v>
      </c>
      <c r="BE60" s="81">
        <v>61.12</v>
      </c>
      <c r="BF60" s="81" t="s">
        <v>422</v>
      </c>
      <c r="BG60" s="167">
        <v>2E-16</v>
      </c>
      <c r="BH60" s="81" t="s">
        <v>389</v>
      </c>
      <c r="BP60" s="81" t="s">
        <v>303</v>
      </c>
      <c r="BQ60" s="167">
        <v>17100000</v>
      </c>
      <c r="BR60" s="167">
        <v>4790000</v>
      </c>
      <c r="BS60" s="81">
        <v>3.56</v>
      </c>
      <c r="BT60" s="81">
        <v>3.6999999999999999E-4</v>
      </c>
      <c r="BU60" s="81" t="s">
        <v>389</v>
      </c>
      <c r="DC60" s="266"/>
      <c r="DD60" s="261"/>
      <c r="DE60" s="262"/>
      <c r="DQ60" s="316"/>
      <c r="DR60" s="310"/>
      <c r="DS60" s="311"/>
    </row>
    <row r="61" spans="2:124" thickTop="1" thickBot="1" x14ac:dyDescent="0.3">
      <c r="BB61" s="81" t="s">
        <v>303</v>
      </c>
      <c r="BC61" s="167">
        <v>5280000</v>
      </c>
      <c r="BD61" s="167">
        <v>21200</v>
      </c>
      <c r="BE61" s="81">
        <v>249</v>
      </c>
      <c r="BF61" s="81" t="s">
        <v>422</v>
      </c>
      <c r="BG61" s="167">
        <v>2E-16</v>
      </c>
      <c r="BH61" s="81" t="s">
        <v>389</v>
      </c>
      <c r="BP61" s="81" t="s">
        <v>400</v>
      </c>
      <c r="BQ61" s="167">
        <v>-20.100000000000001</v>
      </c>
      <c r="BR61" s="167">
        <v>467</v>
      </c>
      <c r="BS61" s="81">
        <v>-0.04</v>
      </c>
      <c r="BT61" s="81">
        <v>0.96562999999999999</v>
      </c>
      <c r="CT61" s="258" t="s">
        <v>442</v>
      </c>
      <c r="CU61" s="258" t="s">
        <v>433</v>
      </c>
      <c r="CV61" s="258" t="s">
        <v>460</v>
      </c>
      <c r="DB61" s="260" t="s">
        <v>467</v>
      </c>
      <c r="DC61" s="266" t="s">
        <v>344</v>
      </c>
      <c r="DD61" s="261" t="s">
        <v>323</v>
      </c>
      <c r="DE61" s="262">
        <f>CV85</f>
        <v>1840000</v>
      </c>
      <c r="DF61" s="260" t="s">
        <v>322</v>
      </c>
      <c r="DH61" s="308" t="s">
        <v>442</v>
      </c>
      <c r="DI61" s="308" t="s">
        <v>433</v>
      </c>
      <c r="DJ61" s="308" t="s">
        <v>460</v>
      </c>
      <c r="DP61" s="309" t="s">
        <v>467</v>
      </c>
      <c r="DQ61" s="316" t="s">
        <v>344</v>
      </c>
      <c r="DR61" s="310" t="s">
        <v>323</v>
      </c>
      <c r="DS61" s="311">
        <f>DJ85</f>
        <v>1840000</v>
      </c>
      <c r="DT61" s="309" t="s">
        <v>322</v>
      </c>
    </row>
    <row r="62" spans="2:124" thickTop="1" thickBot="1" x14ac:dyDescent="0.3">
      <c r="BB62" s="81" t="s">
        <v>400</v>
      </c>
      <c r="BC62" s="167">
        <v>-24.7</v>
      </c>
      <c r="BD62" s="167">
        <v>0.50900000000000001</v>
      </c>
      <c r="BE62" s="81">
        <v>-48.59</v>
      </c>
      <c r="BF62" s="81" t="s">
        <v>422</v>
      </c>
      <c r="BG62" s="167">
        <v>2E-16</v>
      </c>
      <c r="BH62" s="81" t="s">
        <v>389</v>
      </c>
      <c r="BP62" s="81" t="s">
        <v>401</v>
      </c>
      <c r="BQ62" s="167">
        <v>-13.2</v>
      </c>
      <c r="BR62" s="167">
        <v>543</v>
      </c>
      <c r="BS62" s="81">
        <v>-0.02</v>
      </c>
      <c r="BT62" s="81">
        <v>0.98057000000000005</v>
      </c>
      <c r="CT62" s="258" t="s">
        <v>442</v>
      </c>
      <c r="CU62" s="258" t="s">
        <v>380</v>
      </c>
      <c r="DB62" s="260" t="s">
        <v>467</v>
      </c>
      <c r="DC62" s="266" t="s">
        <v>345</v>
      </c>
      <c r="DD62" s="261" t="s">
        <v>323</v>
      </c>
      <c r="DE62" s="262">
        <f t="shared" ref="DE62:DE63" si="43">CV86</f>
        <v>3570000</v>
      </c>
      <c r="DF62" s="260" t="s">
        <v>322</v>
      </c>
      <c r="DH62" s="308" t="s">
        <v>442</v>
      </c>
      <c r="DI62" s="308" t="s">
        <v>380</v>
      </c>
      <c r="DP62" s="309" t="s">
        <v>467</v>
      </c>
      <c r="DQ62" s="316" t="s">
        <v>345</v>
      </c>
      <c r="DR62" s="310" t="s">
        <v>323</v>
      </c>
      <c r="DS62" s="311">
        <f t="shared" ref="DS62:DS63" si="44">DJ86</f>
        <v>3570000</v>
      </c>
      <c r="DT62" s="309" t="s">
        <v>322</v>
      </c>
    </row>
    <row r="63" spans="2:124" thickTop="1" thickBot="1" x14ac:dyDescent="0.3">
      <c r="BB63" s="81" t="s">
        <v>401</v>
      </c>
      <c r="BC63" s="167">
        <v>-11.8</v>
      </c>
      <c r="BD63" s="167">
        <v>10.6</v>
      </c>
      <c r="BE63" s="81">
        <v>-1.1200000000000001</v>
      </c>
      <c r="BF63" s="81">
        <v>0.26</v>
      </c>
      <c r="BP63" s="81" t="s">
        <v>402</v>
      </c>
      <c r="BQ63" s="167">
        <v>-13.4</v>
      </c>
      <c r="BR63" s="167">
        <v>316</v>
      </c>
      <c r="BS63" s="81">
        <v>-0.04</v>
      </c>
      <c r="BT63" s="81">
        <v>0.96606999999999998</v>
      </c>
      <c r="CT63" s="258" t="s">
        <v>442</v>
      </c>
      <c r="CU63" s="258" t="s">
        <v>381</v>
      </c>
      <c r="CV63" s="258" t="s">
        <v>382</v>
      </c>
      <c r="CW63" s="258" t="s">
        <v>383</v>
      </c>
      <c r="CX63" s="258" t="s">
        <v>384</v>
      </c>
      <c r="CY63" s="258" t="s">
        <v>385</v>
      </c>
      <c r="CZ63" s="81" t="s">
        <v>386</v>
      </c>
      <c r="DB63" s="260" t="s">
        <v>467</v>
      </c>
      <c r="DC63" s="266" t="s">
        <v>346</v>
      </c>
      <c r="DD63" s="261" t="s">
        <v>323</v>
      </c>
      <c r="DE63" s="262">
        <f t="shared" si="43"/>
        <v>42100000</v>
      </c>
      <c r="DF63" s="260" t="s">
        <v>322</v>
      </c>
      <c r="DH63" s="308" t="s">
        <v>442</v>
      </c>
      <c r="DI63" s="308" t="s">
        <v>381</v>
      </c>
      <c r="DJ63" s="308" t="s">
        <v>382</v>
      </c>
      <c r="DK63" s="308" t="s">
        <v>383</v>
      </c>
      <c r="DL63" s="308" t="s">
        <v>384</v>
      </c>
      <c r="DM63" s="308" t="s">
        <v>385</v>
      </c>
      <c r="DN63" s="308" t="s">
        <v>386</v>
      </c>
      <c r="DP63" s="309" t="s">
        <v>467</v>
      </c>
      <c r="DQ63" s="316" t="s">
        <v>346</v>
      </c>
      <c r="DR63" s="310" t="s">
        <v>323</v>
      </c>
      <c r="DS63" s="311">
        <f t="shared" si="44"/>
        <v>42100000</v>
      </c>
      <c r="DT63" s="309" t="s">
        <v>322</v>
      </c>
    </row>
    <row r="64" spans="2:124" thickTop="1" thickBot="1" x14ac:dyDescent="0.3">
      <c r="BB64" s="81" t="s">
        <v>402</v>
      </c>
      <c r="BC64" s="167">
        <v>-18.3</v>
      </c>
      <c r="BD64" s="167">
        <v>2.2400000000000002</v>
      </c>
      <c r="BE64" s="81">
        <v>-8.19</v>
      </c>
      <c r="BF64" s="167">
        <v>4.4E-16</v>
      </c>
      <c r="BG64" s="81" t="s">
        <v>389</v>
      </c>
      <c r="BP64" s="81" t="s">
        <v>403</v>
      </c>
      <c r="BQ64" s="167">
        <v>-14.3</v>
      </c>
      <c r="BR64" s="167">
        <v>664</v>
      </c>
      <c r="BS64" s="81">
        <v>-0.02</v>
      </c>
      <c r="BT64" s="81">
        <v>0.98280999999999996</v>
      </c>
      <c r="CT64" s="258" t="s">
        <v>442</v>
      </c>
      <c r="CU64" s="258" t="s">
        <v>387</v>
      </c>
      <c r="CV64" s="259">
        <v>291</v>
      </c>
      <c r="CW64" s="259">
        <v>1.6500000000000001E-2</v>
      </c>
      <c r="CX64" s="258">
        <v>17616.580000000002</v>
      </c>
      <c r="CY64" s="258" t="s">
        <v>422</v>
      </c>
      <c r="CZ64" s="167">
        <v>2E-16</v>
      </c>
      <c r="DA64" s="81" t="s">
        <v>389</v>
      </c>
      <c r="DD64" s="261"/>
      <c r="DH64" s="308" t="s">
        <v>442</v>
      </c>
      <c r="DI64" s="308" t="s">
        <v>387</v>
      </c>
      <c r="DJ64" s="312">
        <v>291</v>
      </c>
      <c r="DK64" s="312">
        <v>1.6500000000000001E-2</v>
      </c>
      <c r="DL64" s="308">
        <v>17616.580000000002</v>
      </c>
      <c r="DM64" s="308" t="s">
        <v>422</v>
      </c>
      <c r="DN64" s="312">
        <v>2E-16</v>
      </c>
      <c r="DO64" s="308" t="s">
        <v>389</v>
      </c>
      <c r="DR64" s="310"/>
    </row>
    <row r="65" spans="54:124" thickTop="1" thickBot="1" x14ac:dyDescent="0.3">
      <c r="BB65" s="81" t="s">
        <v>403</v>
      </c>
      <c r="BC65" s="167">
        <v>-16.100000000000001</v>
      </c>
      <c r="BD65" s="167">
        <v>1.95</v>
      </c>
      <c r="BE65" s="81">
        <v>-8.25</v>
      </c>
      <c r="BF65" s="167">
        <v>2.2E-16</v>
      </c>
      <c r="BG65" s="81" t="s">
        <v>389</v>
      </c>
      <c r="BP65" s="81" t="s">
        <v>405</v>
      </c>
      <c r="BQ65" s="167">
        <v>0.23</v>
      </c>
      <c r="BR65" s="167">
        <v>2.3800000000000002E-3</v>
      </c>
      <c r="BS65" s="81">
        <v>96.68</v>
      </c>
      <c r="BT65" s="81" t="s">
        <v>422</v>
      </c>
      <c r="BU65" s="167">
        <v>2E-16</v>
      </c>
      <c r="BV65" s="81" t="s">
        <v>389</v>
      </c>
      <c r="CT65" s="258" t="s">
        <v>442</v>
      </c>
      <c r="CU65" s="258" t="s">
        <v>390</v>
      </c>
      <c r="CV65" s="259">
        <v>288</v>
      </c>
      <c r="CW65" s="259">
        <v>5.4600000000000003E-2</v>
      </c>
      <c r="CX65" s="258">
        <v>5284.22</v>
      </c>
      <c r="CY65" s="258" t="s">
        <v>422</v>
      </c>
      <c r="CZ65" s="167">
        <v>2E-16</v>
      </c>
      <c r="DA65" s="81" t="s">
        <v>389</v>
      </c>
      <c r="DB65" s="260" t="s">
        <v>467</v>
      </c>
      <c r="DC65" s="266" t="s">
        <v>347</v>
      </c>
      <c r="DD65" s="261" t="s">
        <v>323</v>
      </c>
      <c r="DE65" s="262">
        <f>CV92</f>
        <v>6.5799999999999997E-2</v>
      </c>
      <c r="DF65" s="260" t="s">
        <v>322</v>
      </c>
      <c r="DH65" s="308" t="s">
        <v>442</v>
      </c>
      <c r="DI65" s="308" t="s">
        <v>390</v>
      </c>
      <c r="DJ65" s="312">
        <v>288</v>
      </c>
      <c r="DK65" s="312">
        <v>5.4600000000000003E-2</v>
      </c>
      <c r="DL65" s="308">
        <v>5284.22</v>
      </c>
      <c r="DM65" s="308" t="s">
        <v>422</v>
      </c>
      <c r="DN65" s="312">
        <v>2E-16</v>
      </c>
      <c r="DO65" s="308" t="s">
        <v>389</v>
      </c>
      <c r="DP65" s="309" t="s">
        <v>467</v>
      </c>
      <c r="DQ65" s="316" t="s">
        <v>347</v>
      </c>
      <c r="DR65" s="310" t="s">
        <v>323</v>
      </c>
      <c r="DS65" s="311">
        <f>DJ92</f>
        <v>6.5799999999999997E-2</v>
      </c>
      <c r="DT65" s="309" t="s">
        <v>322</v>
      </c>
    </row>
    <row r="66" spans="54:124" thickTop="1" thickBot="1" x14ac:dyDescent="0.3">
      <c r="BB66" s="81" t="s">
        <v>405</v>
      </c>
      <c r="BC66" s="167">
        <v>0.38</v>
      </c>
      <c r="BD66" s="167">
        <v>5.0499999999999998E-3</v>
      </c>
      <c r="BE66" s="81">
        <v>75.36</v>
      </c>
      <c r="BF66" s="81" t="s">
        <v>422</v>
      </c>
      <c r="BG66" s="167">
        <v>2E-16</v>
      </c>
      <c r="BH66" s="81" t="s">
        <v>389</v>
      </c>
      <c r="BP66" s="81" t="s">
        <v>406</v>
      </c>
      <c r="BQ66" s="167">
        <v>4.8599999999999997E-2</v>
      </c>
      <c r="BR66" s="167">
        <v>4.2499999999999998E-4</v>
      </c>
      <c r="BS66" s="81">
        <v>114.51</v>
      </c>
      <c r="BT66" s="81" t="s">
        <v>422</v>
      </c>
      <c r="BU66" s="167">
        <v>2E-16</v>
      </c>
      <c r="BV66" s="81" t="s">
        <v>389</v>
      </c>
      <c r="CT66" s="258" t="s">
        <v>442</v>
      </c>
      <c r="CU66" s="258" t="s">
        <v>391</v>
      </c>
      <c r="CV66" s="259">
        <v>292</v>
      </c>
      <c r="CW66" s="259">
        <v>2.7E-2</v>
      </c>
      <c r="CX66" s="258">
        <v>10820.48</v>
      </c>
      <c r="CY66" s="258" t="s">
        <v>422</v>
      </c>
      <c r="CZ66" s="167">
        <v>2E-16</v>
      </c>
      <c r="DA66" s="81" t="s">
        <v>389</v>
      </c>
      <c r="DB66" s="260" t="s">
        <v>467</v>
      </c>
      <c r="DC66" s="266" t="s">
        <v>348</v>
      </c>
      <c r="DD66" s="261" t="s">
        <v>323</v>
      </c>
      <c r="DE66" s="262">
        <f t="shared" ref="DE66:DE68" si="45">CV93</f>
        <v>0.215</v>
      </c>
      <c r="DF66" s="260" t="s">
        <v>322</v>
      </c>
      <c r="DH66" s="308" t="s">
        <v>442</v>
      </c>
      <c r="DI66" s="308" t="s">
        <v>391</v>
      </c>
      <c r="DJ66" s="312">
        <v>292</v>
      </c>
      <c r="DK66" s="312">
        <v>2.7E-2</v>
      </c>
      <c r="DL66" s="308">
        <v>10820.48</v>
      </c>
      <c r="DM66" s="308" t="s">
        <v>422</v>
      </c>
      <c r="DN66" s="312">
        <v>2E-16</v>
      </c>
      <c r="DO66" s="308" t="s">
        <v>389</v>
      </c>
      <c r="DP66" s="309" t="s">
        <v>467</v>
      </c>
      <c r="DQ66" s="316" t="s">
        <v>348</v>
      </c>
      <c r="DR66" s="310" t="s">
        <v>323</v>
      </c>
      <c r="DS66" s="311">
        <f t="shared" ref="DS66:DS68" si="46">DJ93</f>
        <v>0.215</v>
      </c>
      <c r="DT66" s="309" t="s">
        <v>322</v>
      </c>
    </row>
    <row r="67" spans="54:124" thickTop="1" thickBot="1" x14ac:dyDescent="0.3">
      <c r="BB67" s="81" t="s">
        <v>406</v>
      </c>
      <c r="BC67" s="167">
        <v>7.2800000000000004E-2</v>
      </c>
      <c r="BD67" s="167">
        <v>4.1599999999999997E-4</v>
      </c>
      <c r="BE67" s="81">
        <v>175.16</v>
      </c>
      <c r="BF67" s="81" t="s">
        <v>422</v>
      </c>
      <c r="BG67" s="167">
        <v>2E-16</v>
      </c>
      <c r="BH67" s="81" t="s">
        <v>389</v>
      </c>
      <c r="BP67" s="81" t="s">
        <v>407</v>
      </c>
      <c r="BQ67" s="167">
        <v>0.63200000000000001</v>
      </c>
      <c r="BR67" s="167">
        <v>1.03E-2</v>
      </c>
      <c r="BS67" s="81">
        <v>61.45</v>
      </c>
      <c r="BT67" s="81" t="s">
        <v>422</v>
      </c>
      <c r="BU67" s="167">
        <v>2E-16</v>
      </c>
      <c r="BV67" s="81" t="s">
        <v>389</v>
      </c>
      <c r="CT67" s="258" t="s">
        <v>442</v>
      </c>
      <c r="CU67" s="258" t="s">
        <v>392</v>
      </c>
      <c r="CV67" s="259">
        <v>295</v>
      </c>
      <c r="CW67" s="259">
        <v>4.5400000000000003E-2</v>
      </c>
      <c r="CX67" s="258">
        <v>6496.81</v>
      </c>
      <c r="CY67" s="258" t="s">
        <v>422</v>
      </c>
      <c r="CZ67" s="167">
        <v>2E-16</v>
      </c>
      <c r="DA67" s="81" t="s">
        <v>389</v>
      </c>
      <c r="DB67" s="260" t="s">
        <v>467</v>
      </c>
      <c r="DC67" s="266" t="s">
        <v>350</v>
      </c>
      <c r="DD67" s="261" t="s">
        <v>323</v>
      </c>
      <c r="DE67" s="262">
        <f t="shared" si="45"/>
        <v>0.68100000000000005</v>
      </c>
      <c r="DF67" s="260" t="s">
        <v>322</v>
      </c>
      <c r="DH67" s="308" t="s">
        <v>442</v>
      </c>
      <c r="DI67" s="308" t="s">
        <v>392</v>
      </c>
      <c r="DJ67" s="312">
        <v>295</v>
      </c>
      <c r="DK67" s="312">
        <v>4.5400000000000003E-2</v>
      </c>
      <c r="DL67" s="308">
        <v>6496.81</v>
      </c>
      <c r="DM67" s="308" t="s">
        <v>422</v>
      </c>
      <c r="DN67" s="312">
        <v>2E-16</v>
      </c>
      <c r="DO67" s="308" t="s">
        <v>389</v>
      </c>
      <c r="DP67" s="309" t="s">
        <v>467</v>
      </c>
      <c r="DQ67" s="316" t="s">
        <v>350</v>
      </c>
      <c r="DR67" s="310" t="s">
        <v>323</v>
      </c>
      <c r="DS67" s="311">
        <f t="shared" si="46"/>
        <v>0.68100000000000005</v>
      </c>
      <c r="DT67" s="309" t="s">
        <v>322</v>
      </c>
    </row>
    <row r="68" spans="54:124" thickTop="1" thickBot="1" x14ac:dyDescent="0.3">
      <c r="BB68" s="81" t="s">
        <v>407</v>
      </c>
      <c r="BC68" s="167">
        <v>0.41799999999999998</v>
      </c>
      <c r="BD68" s="167">
        <v>5.2300000000000003E-3</v>
      </c>
      <c r="BE68" s="81">
        <v>79.87</v>
      </c>
      <c r="BF68" s="81" t="s">
        <v>422</v>
      </c>
      <c r="BG68" s="167">
        <v>2E-16</v>
      </c>
      <c r="BH68" s="81" t="s">
        <v>389</v>
      </c>
      <c r="BP68" s="81" t="s">
        <v>408</v>
      </c>
      <c r="BQ68" s="167">
        <v>7.3200000000000001E-2</v>
      </c>
      <c r="BR68" s="167">
        <v>1.1100000000000001E-3</v>
      </c>
      <c r="BS68" s="81">
        <v>65.86</v>
      </c>
      <c r="BT68" s="81" t="s">
        <v>422</v>
      </c>
      <c r="BU68" s="167">
        <v>2E-16</v>
      </c>
      <c r="BV68" s="81" t="s">
        <v>389</v>
      </c>
      <c r="CT68" s="258" t="s">
        <v>442</v>
      </c>
      <c r="CU68" s="258" t="s">
        <v>444</v>
      </c>
      <c r="CV68" s="259">
        <v>2.3000000000000001E-10</v>
      </c>
      <c r="CW68" s="259">
        <v>1.16E-8</v>
      </c>
      <c r="CX68" s="258">
        <v>0.02</v>
      </c>
      <c r="CY68" s="258">
        <v>0.98409999999999997</v>
      </c>
      <c r="DB68" s="260" t="s">
        <v>467</v>
      </c>
      <c r="DC68" s="266" t="s">
        <v>429</v>
      </c>
      <c r="DD68" s="261" t="s">
        <v>323</v>
      </c>
      <c r="DE68" s="262">
        <f t="shared" si="45"/>
        <v>2.8400000000000002E-2</v>
      </c>
      <c r="DF68" s="260" t="s">
        <v>322</v>
      </c>
      <c r="DH68" s="308" t="s">
        <v>442</v>
      </c>
      <c r="DI68" s="308" t="s">
        <v>444</v>
      </c>
      <c r="DJ68" s="312">
        <v>2.3000000000000001E-10</v>
      </c>
      <c r="DK68" s="312">
        <v>1.16E-8</v>
      </c>
      <c r="DL68" s="308">
        <v>0.02</v>
      </c>
      <c r="DM68" s="308">
        <v>0.98409999999999997</v>
      </c>
      <c r="DP68" s="309" t="s">
        <v>467</v>
      </c>
      <c r="DQ68" s="316" t="s">
        <v>429</v>
      </c>
      <c r="DR68" s="310" t="s">
        <v>323</v>
      </c>
      <c r="DS68" s="311">
        <f t="shared" si="46"/>
        <v>2.8400000000000002E-2</v>
      </c>
      <c r="DT68" s="309" t="s">
        <v>322</v>
      </c>
    </row>
    <row r="69" spans="54:124" thickTop="1" thickBot="1" x14ac:dyDescent="0.3">
      <c r="BB69" s="81" t="s">
        <v>408</v>
      </c>
      <c r="BC69" s="167">
        <v>0.126</v>
      </c>
      <c r="BD69" s="167">
        <v>1.1999999999999999E-3</v>
      </c>
      <c r="BE69" s="81">
        <v>104.99</v>
      </c>
      <c r="BF69" s="81" t="s">
        <v>422</v>
      </c>
      <c r="BG69" s="167">
        <v>2E-16</v>
      </c>
      <c r="BH69" s="81" t="s">
        <v>389</v>
      </c>
      <c r="BP69" s="81" t="s">
        <v>410</v>
      </c>
      <c r="BQ69" s="167">
        <v>219</v>
      </c>
      <c r="BR69" s="167">
        <v>4.1900000000000004</v>
      </c>
      <c r="BS69" s="81">
        <v>52.26</v>
      </c>
      <c r="BT69" s="81" t="s">
        <v>422</v>
      </c>
      <c r="BU69" s="167">
        <v>2E-16</v>
      </c>
      <c r="BV69" s="81" t="s">
        <v>389</v>
      </c>
      <c r="CT69" s="258" t="s">
        <v>442</v>
      </c>
      <c r="CU69" s="258" t="s">
        <v>341</v>
      </c>
      <c r="CV69" s="259">
        <v>4.19E-2</v>
      </c>
      <c r="CW69" s="259">
        <v>3.4500000000000003E-2</v>
      </c>
      <c r="CX69" s="258">
        <v>1.21</v>
      </c>
      <c r="CY69" s="258">
        <v>0.22439999999999999</v>
      </c>
      <c r="DD69" s="261"/>
      <c r="DH69" s="308" t="s">
        <v>442</v>
      </c>
      <c r="DI69" s="308" t="s">
        <v>341</v>
      </c>
      <c r="DJ69" s="312">
        <v>4.19E-2</v>
      </c>
      <c r="DK69" s="312">
        <v>3.4500000000000003E-2</v>
      </c>
      <c r="DL69" s="308">
        <v>1.21</v>
      </c>
      <c r="DM69" s="308">
        <v>0.22439999999999999</v>
      </c>
      <c r="DR69" s="310"/>
    </row>
    <row r="70" spans="54:124" thickTop="1" thickBot="1" x14ac:dyDescent="0.3">
      <c r="BB70" s="81" t="s">
        <v>410</v>
      </c>
      <c r="BC70" s="167">
        <v>568</v>
      </c>
      <c r="BD70" s="167">
        <v>16.100000000000001</v>
      </c>
      <c r="BE70" s="81">
        <v>35.270000000000003</v>
      </c>
      <c r="BF70" s="81" t="s">
        <v>422</v>
      </c>
      <c r="BG70" s="167">
        <v>2E-16</v>
      </c>
      <c r="BH70" s="81" t="s">
        <v>389</v>
      </c>
      <c r="BP70" s="81" t="s">
        <v>295</v>
      </c>
      <c r="BQ70" s="167">
        <v>85.9</v>
      </c>
      <c r="BR70" s="167">
        <v>0.65300000000000002</v>
      </c>
      <c r="BS70" s="81">
        <v>131.52000000000001</v>
      </c>
      <c r="BT70" s="81" t="s">
        <v>422</v>
      </c>
      <c r="BU70" s="167">
        <v>2E-16</v>
      </c>
      <c r="BV70" s="81" t="s">
        <v>389</v>
      </c>
      <c r="CT70" s="258" t="s">
        <v>442</v>
      </c>
      <c r="CU70" s="258" t="s">
        <v>445</v>
      </c>
      <c r="CV70" s="259">
        <v>9.9000000000000005E-2</v>
      </c>
      <c r="CW70" s="259">
        <v>9.7999999999999997E-3</v>
      </c>
      <c r="CX70" s="258">
        <v>10.11</v>
      </c>
      <c r="CY70" s="258" t="s">
        <v>422</v>
      </c>
      <c r="CZ70" s="167">
        <v>2E-16</v>
      </c>
      <c r="DA70" s="81" t="s">
        <v>389</v>
      </c>
      <c r="DB70" s="260" t="s">
        <v>467</v>
      </c>
      <c r="DC70" s="266" t="s">
        <v>352</v>
      </c>
      <c r="DD70" s="261" t="s">
        <v>323</v>
      </c>
      <c r="DE70" s="262">
        <f>CV96</f>
        <v>165</v>
      </c>
      <c r="DF70" s="260" t="s">
        <v>322</v>
      </c>
      <c r="DH70" s="308" t="s">
        <v>442</v>
      </c>
      <c r="DI70" s="308" t="s">
        <v>445</v>
      </c>
      <c r="DJ70" s="312">
        <v>9.9000000000000005E-2</v>
      </c>
      <c r="DK70" s="312">
        <v>9.7999999999999997E-3</v>
      </c>
      <c r="DL70" s="308">
        <v>10.11</v>
      </c>
      <c r="DM70" s="308" t="s">
        <v>422</v>
      </c>
      <c r="DN70" s="312">
        <v>2E-16</v>
      </c>
      <c r="DO70" s="308" t="s">
        <v>389</v>
      </c>
      <c r="DP70" s="309" t="s">
        <v>467</v>
      </c>
      <c r="DQ70" s="316" t="s">
        <v>352</v>
      </c>
      <c r="DR70" s="310" t="s">
        <v>323</v>
      </c>
      <c r="DS70" s="311">
        <f>DJ96</f>
        <v>165</v>
      </c>
      <c r="DT70" s="309" t="s">
        <v>322</v>
      </c>
    </row>
    <row r="71" spans="54:124" thickTop="1" thickBot="1" x14ac:dyDescent="0.3">
      <c r="BB71" s="81" t="s">
        <v>295</v>
      </c>
      <c r="BC71" s="167">
        <v>238</v>
      </c>
      <c r="BD71" s="167">
        <v>1.01</v>
      </c>
      <c r="BE71" s="81">
        <v>236.64</v>
      </c>
      <c r="BF71" s="81" t="s">
        <v>422</v>
      </c>
      <c r="BG71" s="167">
        <v>2E-16</v>
      </c>
      <c r="BH71" s="81" t="s">
        <v>389</v>
      </c>
      <c r="BP71" s="81" t="s">
        <v>120</v>
      </c>
      <c r="BQ71" s="167">
        <v>49.4</v>
      </c>
      <c r="BR71" s="167">
        <v>1.8</v>
      </c>
      <c r="BS71" s="81">
        <v>27.51</v>
      </c>
      <c r="BT71" s="81" t="s">
        <v>422</v>
      </c>
      <c r="BU71" s="167">
        <v>2E-16</v>
      </c>
      <c r="BV71" s="81" t="s">
        <v>389</v>
      </c>
      <c r="CT71" s="258" t="s">
        <v>442</v>
      </c>
      <c r="CU71" s="258" t="s">
        <v>446</v>
      </c>
      <c r="CV71" s="259">
        <v>0.23799999999999999</v>
      </c>
      <c r="CW71" s="259">
        <v>7.6800000000000002E-3</v>
      </c>
      <c r="CX71" s="258">
        <v>30.99</v>
      </c>
      <c r="CY71" s="258" t="s">
        <v>422</v>
      </c>
      <c r="CZ71" s="167">
        <v>2E-16</v>
      </c>
      <c r="DA71" s="81" t="s">
        <v>389</v>
      </c>
      <c r="DB71" s="260" t="s">
        <v>467</v>
      </c>
      <c r="DC71" s="266" t="s">
        <v>354</v>
      </c>
      <c r="DD71" s="261" t="s">
        <v>323</v>
      </c>
      <c r="DE71" s="262">
        <f t="shared" ref="DE71:DE72" si="47">CV97</f>
        <v>459</v>
      </c>
      <c r="DF71" s="260" t="s">
        <v>322</v>
      </c>
      <c r="DH71" s="308" t="s">
        <v>442</v>
      </c>
      <c r="DI71" s="308" t="s">
        <v>446</v>
      </c>
      <c r="DJ71" s="312">
        <v>0.23799999999999999</v>
      </c>
      <c r="DK71" s="312">
        <v>7.6800000000000002E-3</v>
      </c>
      <c r="DL71" s="308">
        <v>30.99</v>
      </c>
      <c r="DM71" s="308" t="s">
        <v>422</v>
      </c>
      <c r="DN71" s="312">
        <v>2E-16</v>
      </c>
      <c r="DO71" s="308" t="s">
        <v>389</v>
      </c>
      <c r="DP71" s="309" t="s">
        <v>467</v>
      </c>
      <c r="DQ71" s="316" t="s">
        <v>354</v>
      </c>
      <c r="DR71" s="310" t="s">
        <v>323</v>
      </c>
      <c r="DS71" s="311">
        <f t="shared" ref="DS71:DS72" si="48">DJ97</f>
        <v>459</v>
      </c>
      <c r="DT71" s="309" t="s">
        <v>322</v>
      </c>
    </row>
    <row r="72" spans="54:124" thickTop="1" thickBot="1" x14ac:dyDescent="0.3">
      <c r="BB72" s="81" t="s">
        <v>120</v>
      </c>
      <c r="BC72" s="167">
        <v>58</v>
      </c>
      <c r="BD72" s="167">
        <v>0.107</v>
      </c>
      <c r="BE72" s="81">
        <v>543.78</v>
      </c>
      <c r="BF72" s="81" t="s">
        <v>422</v>
      </c>
      <c r="BG72" s="167">
        <v>2E-16</v>
      </c>
      <c r="BH72" s="81" t="s">
        <v>389</v>
      </c>
      <c r="BP72" s="81" t="s">
        <v>412</v>
      </c>
      <c r="BQ72" s="167">
        <v>-4.6100000000000003</v>
      </c>
      <c r="BR72" s="167">
        <v>2.1399999999999999E-2</v>
      </c>
      <c r="BS72" s="81">
        <v>-215.25</v>
      </c>
      <c r="BT72" s="81" t="s">
        <v>422</v>
      </c>
      <c r="BU72" s="167">
        <v>2E-16</v>
      </c>
      <c r="BV72" s="81" t="s">
        <v>389</v>
      </c>
      <c r="CT72" s="258" t="s">
        <v>442</v>
      </c>
      <c r="CU72" s="258" t="s">
        <v>447</v>
      </c>
      <c r="CV72" s="259">
        <v>0.73799999999999999</v>
      </c>
      <c r="CW72" s="259">
        <v>3.1E-2</v>
      </c>
      <c r="CX72" s="258">
        <v>23.78</v>
      </c>
      <c r="CY72" s="258" t="s">
        <v>422</v>
      </c>
      <c r="CZ72" s="167">
        <v>2E-16</v>
      </c>
      <c r="DA72" s="81" t="s">
        <v>389</v>
      </c>
      <c r="DB72" s="260" t="s">
        <v>467</v>
      </c>
      <c r="DC72" s="266" t="s">
        <v>355</v>
      </c>
      <c r="DD72" s="261" t="s">
        <v>323</v>
      </c>
      <c r="DE72" s="262">
        <f t="shared" si="47"/>
        <v>36.4</v>
      </c>
      <c r="DF72" s="260" t="s">
        <v>322</v>
      </c>
      <c r="DH72" s="308" t="s">
        <v>442</v>
      </c>
      <c r="DI72" s="308" t="s">
        <v>447</v>
      </c>
      <c r="DJ72" s="312">
        <v>0.73799999999999999</v>
      </c>
      <c r="DK72" s="312">
        <v>3.1E-2</v>
      </c>
      <c r="DL72" s="308">
        <v>23.78</v>
      </c>
      <c r="DM72" s="308" t="s">
        <v>422</v>
      </c>
      <c r="DN72" s="312">
        <v>2E-16</v>
      </c>
      <c r="DO72" s="308" t="s">
        <v>389</v>
      </c>
      <c r="DP72" s="309" t="s">
        <v>467</v>
      </c>
      <c r="DQ72" s="316" t="s">
        <v>355</v>
      </c>
      <c r="DR72" s="310" t="s">
        <v>323</v>
      </c>
      <c r="DS72" s="311">
        <f t="shared" si="48"/>
        <v>36.4</v>
      </c>
      <c r="DT72" s="309" t="s">
        <v>322</v>
      </c>
    </row>
    <row r="73" spans="54:124" thickTop="1" thickBot="1" x14ac:dyDescent="0.3">
      <c r="BB73" s="81" t="s">
        <v>412</v>
      </c>
      <c r="BC73" s="167">
        <v>-15.3</v>
      </c>
      <c r="BD73" s="167">
        <v>0.30099999999999999</v>
      </c>
      <c r="BE73" s="81">
        <v>-50.74</v>
      </c>
      <c r="BF73" s="81" t="s">
        <v>422</v>
      </c>
      <c r="BG73" s="167">
        <v>2E-16</v>
      </c>
      <c r="BH73" s="81" t="s">
        <v>389</v>
      </c>
      <c r="BP73" s="81" t="s">
        <v>413</v>
      </c>
      <c r="BQ73" s="167">
        <v>-4.8499999999999996</v>
      </c>
      <c r="BR73" s="167">
        <v>2.2599999999999999E-2</v>
      </c>
      <c r="BS73" s="81">
        <v>-214.32</v>
      </c>
      <c r="BT73" s="81" t="s">
        <v>422</v>
      </c>
      <c r="BU73" s="167">
        <v>2E-16</v>
      </c>
      <c r="BV73" s="81" t="s">
        <v>389</v>
      </c>
      <c r="CT73" s="258" t="s">
        <v>442</v>
      </c>
      <c r="CU73" s="258" t="s">
        <v>342</v>
      </c>
      <c r="CV73" s="259">
        <v>0.39</v>
      </c>
      <c r="CW73" s="259">
        <v>4.7300000000000002E-2</v>
      </c>
      <c r="CX73" s="258">
        <v>8.23</v>
      </c>
      <c r="CY73" s="259">
        <v>2.2E-16</v>
      </c>
      <c r="CZ73" s="81" t="s">
        <v>389</v>
      </c>
      <c r="DB73" s="260" t="s">
        <v>467</v>
      </c>
      <c r="DC73" s="266" t="s">
        <v>357</v>
      </c>
      <c r="DD73" s="261" t="s">
        <v>323</v>
      </c>
      <c r="DE73" s="262">
        <f>1/CV103</f>
        <v>78.740157480314963</v>
      </c>
      <c r="DF73" s="260" t="s">
        <v>322</v>
      </c>
      <c r="DH73" s="308" t="s">
        <v>442</v>
      </c>
      <c r="DI73" s="308" t="s">
        <v>342</v>
      </c>
      <c r="DJ73" s="312">
        <v>0.39</v>
      </c>
      <c r="DK73" s="312">
        <v>4.7300000000000002E-2</v>
      </c>
      <c r="DL73" s="308">
        <v>8.23</v>
      </c>
      <c r="DM73" s="312">
        <v>2.2E-16</v>
      </c>
      <c r="DN73" s="308" t="s">
        <v>389</v>
      </c>
      <c r="DP73" s="309" t="s">
        <v>467</v>
      </c>
      <c r="DQ73" s="316" t="s">
        <v>357</v>
      </c>
      <c r="DR73" s="310" t="s">
        <v>323</v>
      </c>
      <c r="DS73" s="311">
        <f>1/DJ103</f>
        <v>78.740157480314963</v>
      </c>
      <c r="DT73" s="309" t="s">
        <v>322</v>
      </c>
    </row>
    <row r="74" spans="54:124" thickTop="1" thickBot="1" x14ac:dyDescent="0.3">
      <c r="BB74" s="81" t="s">
        <v>413</v>
      </c>
      <c r="BC74" s="167">
        <v>-5.4</v>
      </c>
      <c r="BD74" s="167">
        <v>2.6700000000000002E-2</v>
      </c>
      <c r="BE74" s="81">
        <v>-202.07</v>
      </c>
      <c r="BF74" s="81" t="s">
        <v>422</v>
      </c>
      <c r="BG74" s="167">
        <v>2E-16</v>
      </c>
      <c r="BH74" s="81" t="s">
        <v>389</v>
      </c>
      <c r="BP74" s="81" t="s">
        <v>414</v>
      </c>
      <c r="BQ74" s="167">
        <v>-5.68</v>
      </c>
      <c r="BR74" s="167">
        <v>2.2200000000000001E-2</v>
      </c>
      <c r="BS74" s="81">
        <v>-255.8</v>
      </c>
      <c r="BT74" s="81" t="s">
        <v>422</v>
      </c>
      <c r="BU74" s="167">
        <v>2E-16</v>
      </c>
      <c r="BV74" s="81" t="s">
        <v>389</v>
      </c>
      <c r="CT74" s="258" t="s">
        <v>442</v>
      </c>
      <c r="CU74" s="258" t="s">
        <v>448</v>
      </c>
      <c r="CV74" s="259">
        <v>0.63400000000000001</v>
      </c>
      <c r="CW74" s="259">
        <v>1.78E-2</v>
      </c>
      <c r="CX74" s="258">
        <v>35.69</v>
      </c>
      <c r="CY74" s="258" t="s">
        <v>422</v>
      </c>
      <c r="CZ74" s="167">
        <v>2E-16</v>
      </c>
      <c r="DA74" s="81" t="s">
        <v>389</v>
      </c>
      <c r="DD74" s="261"/>
      <c r="DH74" s="308" t="s">
        <v>442</v>
      </c>
      <c r="DI74" s="308" t="s">
        <v>448</v>
      </c>
      <c r="DJ74" s="312">
        <v>0.63400000000000001</v>
      </c>
      <c r="DK74" s="312">
        <v>1.78E-2</v>
      </c>
      <c r="DL74" s="308">
        <v>35.69</v>
      </c>
      <c r="DM74" s="308" t="s">
        <v>422</v>
      </c>
      <c r="DN74" s="312">
        <v>2E-16</v>
      </c>
      <c r="DO74" s="308" t="s">
        <v>389</v>
      </c>
      <c r="DR74" s="310"/>
    </row>
    <row r="75" spans="54:124" thickTop="1" thickBot="1" x14ac:dyDescent="0.3">
      <c r="BB75" s="81" t="s">
        <v>414</v>
      </c>
      <c r="BC75" s="167">
        <v>-7.38</v>
      </c>
      <c r="BD75" s="167">
        <v>2.1499999999999998E-2</v>
      </c>
      <c r="BE75" s="81">
        <v>-343.38</v>
      </c>
      <c r="BF75" s="81" t="s">
        <v>422</v>
      </c>
      <c r="BG75" s="167">
        <v>2E-16</v>
      </c>
      <c r="BH75" s="81" t="s">
        <v>389</v>
      </c>
      <c r="BP75" s="81" t="s">
        <v>415</v>
      </c>
      <c r="BQ75" s="167">
        <v>-5.31</v>
      </c>
      <c r="BR75" s="167">
        <v>2.2599999999999999E-2</v>
      </c>
      <c r="BS75" s="81">
        <v>-234.52</v>
      </c>
      <c r="BT75" s="81" t="s">
        <v>422</v>
      </c>
      <c r="BU75" s="167">
        <v>2E-16</v>
      </c>
      <c r="BV75" s="81" t="s">
        <v>389</v>
      </c>
      <c r="CT75" s="258" t="s">
        <v>442</v>
      </c>
      <c r="CU75" s="258" t="s">
        <v>449</v>
      </c>
      <c r="CV75" s="259">
        <v>0.52800000000000002</v>
      </c>
      <c r="CW75" s="259">
        <v>1.2999999999999999E-2</v>
      </c>
      <c r="CX75" s="258">
        <v>40.58</v>
      </c>
      <c r="CY75" s="258" t="s">
        <v>422</v>
      </c>
      <c r="CZ75" s="167">
        <v>2E-16</v>
      </c>
      <c r="DA75" s="81" t="s">
        <v>389</v>
      </c>
      <c r="DB75" s="260" t="s">
        <v>467</v>
      </c>
      <c r="DC75" s="266" t="s">
        <v>424</v>
      </c>
      <c r="DD75" s="261" t="s">
        <v>323</v>
      </c>
      <c r="DE75" s="262">
        <f>CV116</f>
        <v>992000000</v>
      </c>
      <c r="DF75" s="260" t="s">
        <v>322</v>
      </c>
      <c r="DH75" s="308" t="s">
        <v>442</v>
      </c>
      <c r="DI75" s="308" t="s">
        <v>449</v>
      </c>
      <c r="DJ75" s="312">
        <v>0.52800000000000002</v>
      </c>
      <c r="DK75" s="312">
        <v>1.2999999999999999E-2</v>
      </c>
      <c r="DL75" s="308">
        <v>40.58</v>
      </c>
      <c r="DM75" s="308" t="s">
        <v>422</v>
      </c>
      <c r="DN75" s="312">
        <v>2E-16</v>
      </c>
      <c r="DO75" s="308" t="s">
        <v>389</v>
      </c>
      <c r="DP75" s="309" t="s">
        <v>467</v>
      </c>
      <c r="DQ75" s="316" t="s">
        <v>424</v>
      </c>
      <c r="DR75" s="310" t="s">
        <v>323</v>
      </c>
      <c r="DS75" s="311">
        <f>DJ116</f>
        <v>992000000</v>
      </c>
      <c r="DT75" s="309" t="s">
        <v>322</v>
      </c>
    </row>
    <row r="76" spans="54:124" thickTop="1" thickBot="1" x14ac:dyDescent="0.3">
      <c r="BB76" s="81" t="s">
        <v>415</v>
      </c>
      <c r="BC76" s="167">
        <v>-6.87</v>
      </c>
      <c r="BD76" s="167">
        <v>1.9699999999999999E-2</v>
      </c>
      <c r="BE76" s="81">
        <v>-347.91</v>
      </c>
      <c r="BF76" s="81" t="s">
        <v>422</v>
      </c>
      <c r="BG76" s="167">
        <v>2E-16</v>
      </c>
      <c r="BH76" s="81" t="s">
        <v>389</v>
      </c>
      <c r="BP76" s="81" t="s">
        <v>417</v>
      </c>
      <c r="BQ76" s="167">
        <v>2.8500000000000001E-3</v>
      </c>
      <c r="BR76" s="167">
        <v>7.6799999999999997E-5</v>
      </c>
      <c r="BS76" s="81">
        <v>37.07</v>
      </c>
      <c r="BT76" s="81" t="s">
        <v>422</v>
      </c>
      <c r="BU76" s="167">
        <v>2E-16</v>
      </c>
      <c r="BV76" s="81" t="s">
        <v>389</v>
      </c>
      <c r="CT76" s="258" t="s">
        <v>442</v>
      </c>
      <c r="CU76" s="258" t="s">
        <v>450</v>
      </c>
      <c r="CV76" s="259">
        <v>8.8200000000000001E-2</v>
      </c>
      <c r="CW76" s="259">
        <v>3.95E-2</v>
      </c>
      <c r="CX76" s="258">
        <v>2.2400000000000002</v>
      </c>
      <c r="CY76" s="258">
        <v>2.53E-2</v>
      </c>
      <c r="CZ76" s="81" t="s">
        <v>434</v>
      </c>
      <c r="DB76" s="260" t="s">
        <v>467</v>
      </c>
      <c r="DC76" s="266" t="s">
        <v>364</v>
      </c>
      <c r="DD76" s="261" t="s">
        <v>323</v>
      </c>
      <c r="DE76" s="262">
        <f>CV117</f>
        <v>992000000</v>
      </c>
      <c r="DF76" s="260" t="s">
        <v>322</v>
      </c>
      <c r="DH76" s="308" t="s">
        <v>442</v>
      </c>
      <c r="DI76" s="308" t="s">
        <v>450</v>
      </c>
      <c r="DJ76" s="312">
        <v>8.8200000000000001E-2</v>
      </c>
      <c r="DK76" s="312">
        <v>3.95E-2</v>
      </c>
      <c r="DL76" s="308">
        <v>2.2400000000000002</v>
      </c>
      <c r="DM76" s="308">
        <v>2.53E-2</v>
      </c>
      <c r="DN76" s="308" t="s">
        <v>434</v>
      </c>
      <c r="DP76" s="309" t="s">
        <v>467</v>
      </c>
      <c r="DQ76" s="316" t="s">
        <v>364</v>
      </c>
      <c r="DR76" s="310" t="s">
        <v>323</v>
      </c>
      <c r="DS76" s="311">
        <f>DJ117</f>
        <v>992000000</v>
      </c>
      <c r="DT76" s="309" t="s">
        <v>322</v>
      </c>
    </row>
    <row r="77" spans="54:124" thickTop="1" thickBot="1" x14ac:dyDescent="0.3">
      <c r="BB77" s="81" t="s">
        <v>417</v>
      </c>
      <c r="BC77" s="167">
        <v>4.64E-3</v>
      </c>
      <c r="BD77" s="167">
        <v>2.4600000000000002E-5</v>
      </c>
      <c r="BE77" s="81">
        <v>188.79</v>
      </c>
      <c r="BF77" s="81" t="s">
        <v>422</v>
      </c>
      <c r="BG77" s="167">
        <v>2E-16</v>
      </c>
      <c r="BH77" s="81" t="s">
        <v>389</v>
      </c>
      <c r="BP77" s="81" t="s">
        <v>418</v>
      </c>
      <c r="BQ77" s="167">
        <v>170</v>
      </c>
      <c r="BR77" s="167">
        <v>1.77</v>
      </c>
      <c r="BS77" s="81">
        <v>96.07</v>
      </c>
      <c r="BT77" s="81" t="s">
        <v>422</v>
      </c>
      <c r="BU77" s="167">
        <v>2E-16</v>
      </c>
      <c r="BV77" s="81" t="s">
        <v>389</v>
      </c>
      <c r="CT77" s="258" t="s">
        <v>442</v>
      </c>
      <c r="CU77" s="258" t="s">
        <v>343</v>
      </c>
      <c r="CV77" s="259">
        <v>2.5899999999999999E-9</v>
      </c>
      <c r="CW77" s="259">
        <v>1.8199999999999999E-7</v>
      </c>
      <c r="CX77" s="258">
        <v>0.01</v>
      </c>
      <c r="CY77" s="258">
        <v>0.98870000000000002</v>
      </c>
      <c r="DB77" s="260" t="s">
        <v>467</v>
      </c>
      <c r="DC77" s="266" t="s">
        <v>370</v>
      </c>
      <c r="DD77" s="261" t="s">
        <v>323</v>
      </c>
      <c r="DE77" s="262">
        <f>CV124</f>
        <v>37.799999999999997</v>
      </c>
      <c r="DF77" s="260" t="s">
        <v>322</v>
      </c>
      <c r="DH77" s="308" t="s">
        <v>442</v>
      </c>
      <c r="DI77" s="308" t="s">
        <v>343</v>
      </c>
      <c r="DJ77" s="312">
        <v>2.5899999999999999E-9</v>
      </c>
      <c r="DK77" s="312">
        <v>1.8199999999999999E-7</v>
      </c>
      <c r="DL77" s="308">
        <v>0.01</v>
      </c>
      <c r="DM77" s="308">
        <v>0.98870000000000002</v>
      </c>
      <c r="DP77" s="309" t="s">
        <v>467</v>
      </c>
      <c r="DQ77" s="316" t="s">
        <v>370</v>
      </c>
      <c r="DR77" s="310" t="s">
        <v>323</v>
      </c>
      <c r="DS77" s="311">
        <f>DJ124</f>
        <v>37.799999999999997</v>
      </c>
      <c r="DT77" s="309" t="s">
        <v>322</v>
      </c>
    </row>
    <row r="78" spans="54:124" thickTop="1" thickBot="1" x14ac:dyDescent="0.3">
      <c r="BB78" s="81" t="s">
        <v>418</v>
      </c>
      <c r="BC78" s="167">
        <v>492</v>
      </c>
      <c r="BD78" s="167">
        <v>2.67</v>
      </c>
      <c r="BE78" s="81">
        <v>184.53</v>
      </c>
      <c r="BF78" s="81" t="s">
        <v>422</v>
      </c>
      <c r="BG78" s="167">
        <v>2E-16</v>
      </c>
      <c r="BH78" s="81" t="s">
        <v>389</v>
      </c>
      <c r="BP78" s="81" t="s">
        <v>419</v>
      </c>
      <c r="BQ78" s="167">
        <v>1380</v>
      </c>
      <c r="BR78" s="167">
        <v>946</v>
      </c>
      <c r="BS78" s="81">
        <v>1.46</v>
      </c>
      <c r="BT78" s="81">
        <v>0.14507999999999999</v>
      </c>
      <c r="CT78" s="258" t="s">
        <v>442</v>
      </c>
      <c r="CU78" s="258" t="s">
        <v>451</v>
      </c>
      <c r="CV78" s="259">
        <v>6.08E-2</v>
      </c>
      <c r="CW78" s="259">
        <v>2.1499999999999998E-2</v>
      </c>
      <c r="CX78" s="258">
        <v>2.83</v>
      </c>
      <c r="CY78" s="258">
        <v>4.7000000000000002E-3</v>
      </c>
      <c r="CZ78" s="81" t="s">
        <v>425</v>
      </c>
      <c r="DB78" s="260" t="s">
        <v>467</v>
      </c>
      <c r="DC78" s="266" t="s">
        <v>372</v>
      </c>
      <c r="DD78" s="261" t="s">
        <v>323</v>
      </c>
      <c r="DE78" s="262">
        <f t="shared" ref="DE78:DE79" si="49">CV125</f>
        <v>1.1199999999999999E-3</v>
      </c>
      <c r="DF78" s="260" t="s">
        <v>322</v>
      </c>
      <c r="DH78" s="308" t="s">
        <v>442</v>
      </c>
      <c r="DI78" s="308" t="s">
        <v>451</v>
      </c>
      <c r="DJ78" s="312">
        <v>6.08E-2</v>
      </c>
      <c r="DK78" s="312">
        <v>2.1499999999999998E-2</v>
      </c>
      <c r="DL78" s="308">
        <v>2.83</v>
      </c>
      <c r="DM78" s="308">
        <v>4.7000000000000002E-3</v>
      </c>
      <c r="DN78" s="308" t="s">
        <v>425</v>
      </c>
      <c r="DP78" s="309" t="s">
        <v>467</v>
      </c>
      <c r="DQ78" s="316" t="s">
        <v>372</v>
      </c>
      <c r="DR78" s="310" t="s">
        <v>323</v>
      </c>
      <c r="DS78" s="311">
        <f t="shared" ref="DS78:DS79" si="50">DJ125</f>
        <v>1.1199999999999999E-3</v>
      </c>
      <c r="DT78" s="309" t="s">
        <v>322</v>
      </c>
    </row>
    <row r="79" spans="54:124" thickTop="1" thickBot="1" x14ac:dyDescent="0.3">
      <c r="BB79" s="81" t="s">
        <v>419</v>
      </c>
      <c r="BC79" s="167">
        <v>210</v>
      </c>
      <c r="BD79" s="167">
        <v>7.91</v>
      </c>
      <c r="BE79" s="81">
        <v>26.58</v>
      </c>
      <c r="BF79" s="81" t="s">
        <v>422</v>
      </c>
      <c r="BG79" s="167">
        <v>2E-16</v>
      </c>
      <c r="BH79" s="81" t="s">
        <v>389</v>
      </c>
      <c r="CT79" s="258" t="s">
        <v>442</v>
      </c>
      <c r="CU79" s="258" t="s">
        <v>452</v>
      </c>
      <c r="CV79" s="259">
        <v>0.11</v>
      </c>
      <c r="CW79" s="259">
        <v>1.83E-2</v>
      </c>
      <c r="CX79" s="258">
        <v>5.99</v>
      </c>
      <c r="CY79" s="259">
        <v>2.1999999999999998E-9</v>
      </c>
      <c r="CZ79" s="81" t="s">
        <v>389</v>
      </c>
      <c r="DB79" s="260" t="s">
        <v>467</v>
      </c>
      <c r="DC79" s="266" t="s">
        <v>374</v>
      </c>
      <c r="DD79" s="261" t="s">
        <v>323</v>
      </c>
      <c r="DE79" s="262">
        <f t="shared" si="49"/>
        <v>57.8</v>
      </c>
      <c r="DF79" s="260" t="s">
        <v>322</v>
      </c>
      <c r="DH79" s="308" t="s">
        <v>442</v>
      </c>
      <c r="DI79" s="308" t="s">
        <v>452</v>
      </c>
      <c r="DJ79" s="312">
        <v>0.11</v>
      </c>
      <c r="DK79" s="312">
        <v>1.83E-2</v>
      </c>
      <c r="DL79" s="308">
        <v>5.99</v>
      </c>
      <c r="DM79" s="312">
        <v>2.1999999999999998E-9</v>
      </c>
      <c r="DN79" s="308" t="s">
        <v>389</v>
      </c>
      <c r="DP79" s="309" t="s">
        <v>467</v>
      </c>
      <c r="DQ79" s="316" t="s">
        <v>374</v>
      </c>
      <c r="DR79" s="310" t="s">
        <v>323</v>
      </c>
      <c r="DS79" s="311">
        <f t="shared" si="50"/>
        <v>57.8</v>
      </c>
      <c r="DT79" s="309" t="s">
        <v>322</v>
      </c>
    </row>
    <row r="80" spans="54:124" thickTop="1" thickBot="1" x14ac:dyDescent="0.3">
      <c r="BP80" s="81" t="s">
        <v>433</v>
      </c>
      <c r="BQ80" s="81" t="s">
        <v>435</v>
      </c>
      <c r="CT80" s="258" t="s">
        <v>442</v>
      </c>
      <c r="CU80" s="258" t="s">
        <v>453</v>
      </c>
      <c r="CV80" s="259">
        <v>0.104</v>
      </c>
      <c r="CW80" s="259">
        <v>5.3400000000000001E-3</v>
      </c>
      <c r="CX80" s="258">
        <v>19.43</v>
      </c>
      <c r="CY80" s="258" t="s">
        <v>422</v>
      </c>
      <c r="CZ80" s="167">
        <v>2E-16</v>
      </c>
      <c r="DA80" s="81" t="s">
        <v>389</v>
      </c>
      <c r="DH80" s="308" t="s">
        <v>442</v>
      </c>
      <c r="DI80" s="308" t="s">
        <v>453</v>
      </c>
      <c r="DJ80" s="312">
        <v>0.104</v>
      </c>
      <c r="DK80" s="312">
        <v>5.3400000000000001E-3</v>
      </c>
      <c r="DL80" s="308">
        <v>19.43</v>
      </c>
      <c r="DM80" s="308" t="s">
        <v>422</v>
      </c>
      <c r="DN80" s="312">
        <v>2E-16</v>
      </c>
      <c r="DO80" s="308" t="s">
        <v>389</v>
      </c>
    </row>
    <row r="81" spans="54:119" thickTop="1" thickBot="1" x14ac:dyDescent="0.3">
      <c r="BP81" s="81" t="s">
        <v>380</v>
      </c>
      <c r="CT81" s="258" t="s">
        <v>442</v>
      </c>
      <c r="CU81" s="258" t="s">
        <v>454</v>
      </c>
      <c r="CV81" s="259">
        <v>0.16700000000000001</v>
      </c>
      <c r="CW81" s="259">
        <v>1.15E-2</v>
      </c>
      <c r="CX81" s="258">
        <v>14.53</v>
      </c>
      <c r="CY81" s="258" t="s">
        <v>422</v>
      </c>
      <c r="CZ81" s="167">
        <v>2E-16</v>
      </c>
      <c r="DA81" s="81" t="s">
        <v>389</v>
      </c>
      <c r="DH81" s="308" t="s">
        <v>442</v>
      </c>
      <c r="DI81" s="308" t="s">
        <v>454</v>
      </c>
      <c r="DJ81" s="312">
        <v>0.16700000000000001</v>
      </c>
      <c r="DK81" s="312">
        <v>1.15E-2</v>
      </c>
      <c r="DL81" s="308">
        <v>14.53</v>
      </c>
      <c r="DM81" s="308" t="s">
        <v>422</v>
      </c>
      <c r="DN81" s="312">
        <v>2E-16</v>
      </c>
      <c r="DO81" s="308" t="s">
        <v>389</v>
      </c>
    </row>
    <row r="82" spans="54:119" thickTop="1" thickBot="1" x14ac:dyDescent="0.3">
      <c r="BC82" s="81" t="s">
        <v>431</v>
      </c>
      <c r="BP82" s="81" t="s">
        <v>381</v>
      </c>
      <c r="BQ82" s="81" t="s">
        <v>382</v>
      </c>
      <c r="BR82" s="81" t="s">
        <v>383</v>
      </c>
      <c r="BS82" s="81" t="s">
        <v>384</v>
      </c>
      <c r="BT82" s="81" t="s">
        <v>385</v>
      </c>
      <c r="BU82" s="81" t="s">
        <v>386</v>
      </c>
      <c r="CT82" s="258" t="s">
        <v>442</v>
      </c>
      <c r="CU82" s="258" t="s">
        <v>455</v>
      </c>
      <c r="CV82" s="259">
        <v>9.5899999999999999E-2</v>
      </c>
      <c r="CW82" s="259">
        <v>2.97E-3</v>
      </c>
      <c r="CX82" s="258">
        <v>32.28</v>
      </c>
      <c r="CY82" s="258" t="s">
        <v>422</v>
      </c>
      <c r="CZ82" s="167">
        <v>2E-16</v>
      </c>
      <c r="DA82" s="81" t="s">
        <v>389</v>
      </c>
      <c r="DH82" s="308" t="s">
        <v>442</v>
      </c>
      <c r="DI82" s="308" t="s">
        <v>455</v>
      </c>
      <c r="DJ82" s="312">
        <v>9.5899999999999999E-2</v>
      </c>
      <c r="DK82" s="312">
        <v>2.97E-3</v>
      </c>
      <c r="DL82" s="308">
        <v>32.28</v>
      </c>
      <c r="DM82" s="308" t="s">
        <v>422</v>
      </c>
      <c r="DN82" s="312">
        <v>2E-16</v>
      </c>
      <c r="DO82" s="308" t="s">
        <v>389</v>
      </c>
    </row>
    <row r="83" spans="54:119" thickTop="1" thickBot="1" x14ac:dyDescent="0.3">
      <c r="BC83" s="167">
        <v>297</v>
      </c>
      <c r="BD83" s="167">
        <v>8.0100000000000005E-2</v>
      </c>
      <c r="BE83" s="81">
        <v>3708.09</v>
      </c>
      <c r="BF83" s="81" t="s">
        <v>388</v>
      </c>
      <c r="BG83" s="81" t="s">
        <v>389</v>
      </c>
      <c r="BP83" s="81" t="s">
        <v>436</v>
      </c>
      <c r="BQ83" s="167">
        <v>290</v>
      </c>
      <c r="BR83" s="167">
        <v>0.36799999999999999</v>
      </c>
      <c r="BS83" s="81">
        <v>790.07</v>
      </c>
      <c r="BT83" s="81" t="s">
        <v>422</v>
      </c>
      <c r="BU83" s="167">
        <v>2E-16</v>
      </c>
      <c r="BV83" s="81" t="s">
        <v>389</v>
      </c>
      <c r="CT83" s="258" t="s">
        <v>442</v>
      </c>
      <c r="CU83" s="258" t="s">
        <v>456</v>
      </c>
      <c r="CV83" s="259">
        <v>8.1000000000000003E-2</v>
      </c>
      <c r="CW83" s="259">
        <v>2.2399999999999998E-3</v>
      </c>
      <c r="CX83" s="258">
        <v>36.159999999999997</v>
      </c>
      <c r="CY83" s="259" t="s">
        <v>422</v>
      </c>
      <c r="CZ83" s="167">
        <v>2E-16</v>
      </c>
      <c r="DA83" s="81" t="s">
        <v>389</v>
      </c>
      <c r="DH83" s="308" t="s">
        <v>442</v>
      </c>
      <c r="DI83" s="308" t="s">
        <v>456</v>
      </c>
      <c r="DJ83" s="312">
        <v>8.1000000000000003E-2</v>
      </c>
      <c r="DK83" s="312">
        <v>2.2399999999999998E-3</v>
      </c>
      <c r="DL83" s="308">
        <v>36.159999999999997</v>
      </c>
      <c r="DM83" s="312" t="s">
        <v>422</v>
      </c>
      <c r="DN83" s="312">
        <v>2E-16</v>
      </c>
      <c r="DO83" s="308" t="s">
        <v>389</v>
      </c>
    </row>
    <row r="84" spans="54:119" thickTop="1" thickBot="1" x14ac:dyDescent="0.3">
      <c r="BB84" s="81" t="s">
        <v>423</v>
      </c>
      <c r="BC84" s="167">
        <v>294</v>
      </c>
      <c r="BD84" s="167">
        <v>4.2999999999999997E-2</v>
      </c>
      <c r="BE84" s="81">
        <v>6835.63</v>
      </c>
      <c r="BF84" s="81" t="s">
        <v>388</v>
      </c>
      <c r="BG84" s="81" t="s">
        <v>389</v>
      </c>
      <c r="BP84" s="81" t="s">
        <v>423</v>
      </c>
      <c r="BQ84" s="167">
        <v>292</v>
      </c>
      <c r="BR84" s="167">
        <v>0.36699999999999999</v>
      </c>
      <c r="BS84" s="81">
        <v>796.23</v>
      </c>
      <c r="BT84" s="81" t="s">
        <v>422</v>
      </c>
      <c r="BU84" s="167">
        <v>2E-16</v>
      </c>
      <c r="BV84" s="81" t="s">
        <v>389</v>
      </c>
      <c r="CT84" s="258" t="s">
        <v>442</v>
      </c>
      <c r="CU84" s="258" t="s">
        <v>308</v>
      </c>
      <c r="CV84" s="259">
        <v>993000000</v>
      </c>
      <c r="CW84" s="259">
        <v>35900000</v>
      </c>
      <c r="CX84" s="258">
        <v>27.71</v>
      </c>
      <c r="CY84" s="259" t="s">
        <v>422</v>
      </c>
      <c r="CZ84" s="167">
        <v>2E-16</v>
      </c>
      <c r="DA84" s="81" t="s">
        <v>389</v>
      </c>
      <c r="DH84" s="308" t="s">
        <v>442</v>
      </c>
      <c r="DI84" s="308" t="s">
        <v>308</v>
      </c>
      <c r="DJ84" s="312">
        <v>993000000</v>
      </c>
      <c r="DK84" s="312">
        <v>35900000</v>
      </c>
      <c r="DL84" s="308">
        <v>27.71</v>
      </c>
      <c r="DM84" s="312" t="s">
        <v>422</v>
      </c>
      <c r="DN84" s="312">
        <v>2E-16</v>
      </c>
      <c r="DO84" s="308" t="s">
        <v>389</v>
      </c>
    </row>
    <row r="85" spans="54:119" thickTop="1" thickBot="1" x14ac:dyDescent="0.3">
      <c r="BB85" s="81" t="s">
        <v>358</v>
      </c>
      <c r="BC85" s="167">
        <v>0.09</v>
      </c>
      <c r="BD85" s="167">
        <v>1.75E-3</v>
      </c>
      <c r="BE85" s="81">
        <v>51.34</v>
      </c>
      <c r="BF85" s="81" t="s">
        <v>388</v>
      </c>
      <c r="BG85" s="81" t="s">
        <v>389</v>
      </c>
      <c r="BP85" s="81" t="s">
        <v>358</v>
      </c>
      <c r="BQ85" s="167">
        <v>1.24E-7</v>
      </c>
      <c r="BR85" s="167">
        <v>2.21E-6</v>
      </c>
      <c r="BS85" s="81">
        <v>0.06</v>
      </c>
      <c r="BT85" s="81">
        <v>0.96</v>
      </c>
      <c r="CT85" s="258" t="s">
        <v>442</v>
      </c>
      <c r="CU85" s="258" t="s">
        <v>399</v>
      </c>
      <c r="CV85" s="259">
        <v>1840000</v>
      </c>
      <c r="CW85" s="259">
        <v>12200</v>
      </c>
      <c r="CX85" s="258">
        <v>150.36000000000001</v>
      </c>
      <c r="CY85" s="258" t="s">
        <v>422</v>
      </c>
      <c r="CZ85" s="167">
        <v>2E-16</v>
      </c>
      <c r="DA85" s="81" t="s">
        <v>389</v>
      </c>
      <c r="DH85" s="308" t="s">
        <v>442</v>
      </c>
      <c r="DI85" s="308" t="s">
        <v>399</v>
      </c>
      <c r="DJ85" s="312">
        <v>1840000</v>
      </c>
      <c r="DK85" s="312">
        <v>12200</v>
      </c>
      <c r="DL85" s="308">
        <v>150.36000000000001</v>
      </c>
      <c r="DM85" s="308" t="s">
        <v>422</v>
      </c>
      <c r="DN85" s="312">
        <v>2E-16</v>
      </c>
      <c r="DO85" s="308" t="s">
        <v>389</v>
      </c>
    </row>
    <row r="86" spans="54:119" thickTop="1" thickBot="1" x14ac:dyDescent="0.3">
      <c r="BB86" s="81" t="s">
        <v>360</v>
      </c>
      <c r="BC86" s="167">
        <v>0.192</v>
      </c>
      <c r="BD86" s="167">
        <v>3.5400000000000002E-3</v>
      </c>
      <c r="BE86" s="81">
        <v>54.37</v>
      </c>
      <c r="BF86" s="81" t="s">
        <v>388</v>
      </c>
      <c r="BG86" s="81" t="s">
        <v>389</v>
      </c>
      <c r="BP86" s="81" t="s">
        <v>360</v>
      </c>
      <c r="BQ86" s="167">
        <v>4.1799999999999997E-8</v>
      </c>
      <c r="BR86" s="167">
        <v>8.2999999999999999E-7</v>
      </c>
      <c r="BS86" s="81">
        <v>0.05</v>
      </c>
      <c r="BT86" s="81">
        <v>0.96</v>
      </c>
      <c r="CT86" s="258" t="s">
        <v>442</v>
      </c>
      <c r="CU86" s="258" t="s">
        <v>301</v>
      </c>
      <c r="CV86" s="259">
        <v>3570000</v>
      </c>
      <c r="CW86" s="259">
        <v>97400</v>
      </c>
      <c r="CX86" s="258">
        <v>36.65</v>
      </c>
      <c r="CY86" s="258" t="s">
        <v>422</v>
      </c>
      <c r="CZ86" s="167">
        <v>2E-16</v>
      </c>
      <c r="DA86" s="81" t="s">
        <v>389</v>
      </c>
      <c r="DH86" s="308" t="s">
        <v>442</v>
      </c>
      <c r="DI86" s="308" t="s">
        <v>301</v>
      </c>
      <c r="DJ86" s="312">
        <v>3570000</v>
      </c>
      <c r="DK86" s="312">
        <v>97400</v>
      </c>
      <c r="DL86" s="308">
        <v>36.65</v>
      </c>
      <c r="DM86" s="308" t="s">
        <v>422</v>
      </c>
      <c r="DN86" s="312">
        <v>2E-16</v>
      </c>
      <c r="DO86" s="308" t="s">
        <v>389</v>
      </c>
    </row>
    <row r="87" spans="54:119" thickTop="1" thickBot="1" x14ac:dyDescent="0.3">
      <c r="BB87" s="81" t="s">
        <v>424</v>
      </c>
      <c r="BC87" s="167">
        <v>8270000</v>
      </c>
      <c r="BD87" s="167">
        <v>124000</v>
      </c>
      <c r="BE87" s="81">
        <v>66.77</v>
      </c>
      <c r="BF87" s="81" t="s">
        <v>388</v>
      </c>
      <c r="BG87" s="81" t="s">
        <v>389</v>
      </c>
      <c r="BP87" s="81" t="s">
        <v>424</v>
      </c>
      <c r="BQ87" s="167">
        <v>19200000</v>
      </c>
      <c r="BR87" s="167">
        <v>2600000</v>
      </c>
      <c r="BS87" s="81">
        <v>7.38</v>
      </c>
      <c r="BT87" s="167">
        <v>2.0999999999999999E-13</v>
      </c>
      <c r="BU87" s="81" t="s">
        <v>389</v>
      </c>
      <c r="CT87" s="258" t="s">
        <v>442</v>
      </c>
      <c r="CU87" s="258" t="s">
        <v>303</v>
      </c>
      <c r="CV87" s="259">
        <v>42100000</v>
      </c>
      <c r="CW87" s="259">
        <v>2700000</v>
      </c>
      <c r="CX87" s="258">
        <v>15.56</v>
      </c>
      <c r="CY87" s="258" t="s">
        <v>422</v>
      </c>
      <c r="CZ87" s="167">
        <v>2E-16</v>
      </c>
      <c r="DA87" s="81" t="s">
        <v>389</v>
      </c>
      <c r="DH87" s="308" t="s">
        <v>442</v>
      </c>
      <c r="DI87" s="308" t="s">
        <v>303</v>
      </c>
      <c r="DJ87" s="312">
        <v>42100000</v>
      </c>
      <c r="DK87" s="312">
        <v>2700000</v>
      </c>
      <c r="DL87" s="308">
        <v>15.56</v>
      </c>
      <c r="DM87" s="308" t="s">
        <v>422</v>
      </c>
      <c r="DN87" s="312">
        <v>2E-16</v>
      </c>
      <c r="DO87" s="308" t="s">
        <v>389</v>
      </c>
    </row>
    <row r="88" spans="54:119" thickTop="1" thickBot="1" x14ac:dyDescent="0.3">
      <c r="BB88" s="81" t="s">
        <v>364</v>
      </c>
      <c r="BC88" s="167">
        <v>25000000</v>
      </c>
      <c r="BD88" s="167">
        <v>376000</v>
      </c>
      <c r="BE88" s="81">
        <v>66.52</v>
      </c>
      <c r="BF88" s="81" t="s">
        <v>388</v>
      </c>
      <c r="BG88" s="81" t="s">
        <v>389</v>
      </c>
      <c r="CT88" s="258" t="s">
        <v>442</v>
      </c>
      <c r="CU88" s="258" t="s">
        <v>400</v>
      </c>
      <c r="CV88" s="259">
        <v>-24</v>
      </c>
      <c r="CW88" s="259">
        <v>337</v>
      </c>
      <c r="CX88" s="258">
        <v>-7.0000000000000007E-2</v>
      </c>
      <c r="CY88" s="258">
        <v>0.94320000000000004</v>
      </c>
      <c r="DH88" s="308" t="s">
        <v>442</v>
      </c>
      <c r="DI88" s="308" t="s">
        <v>400</v>
      </c>
      <c r="DJ88" s="312">
        <v>-24</v>
      </c>
      <c r="DK88" s="312">
        <v>337</v>
      </c>
      <c r="DL88" s="308">
        <v>-7.0000000000000007E-2</v>
      </c>
      <c r="DM88" s="308">
        <v>0.94320000000000004</v>
      </c>
    </row>
    <row r="89" spans="54:119" thickTop="1" thickBot="1" x14ac:dyDescent="0.3">
      <c r="BB89" s="81" t="s">
        <v>404</v>
      </c>
      <c r="BC89" s="167">
        <v>3.73</v>
      </c>
      <c r="BD89" s="167">
        <v>1.42</v>
      </c>
      <c r="BE89" s="81">
        <v>2.62</v>
      </c>
      <c r="BF89" s="81">
        <v>8.6999999999999994E-3</v>
      </c>
      <c r="BG89" s="81" t="s">
        <v>425</v>
      </c>
      <c r="BP89" s="81" t="s">
        <v>364</v>
      </c>
      <c r="BQ89" s="167">
        <v>65100000</v>
      </c>
      <c r="BR89" s="167">
        <v>33200000</v>
      </c>
      <c r="BS89" s="81">
        <v>1.96</v>
      </c>
      <c r="BT89" s="81">
        <v>0.05</v>
      </c>
      <c r="BU89" s="81" t="s">
        <v>434</v>
      </c>
      <c r="CT89" s="258" t="s">
        <v>442</v>
      </c>
      <c r="CU89" s="258" t="s">
        <v>401</v>
      </c>
      <c r="CV89" s="259">
        <v>-16.399999999999999</v>
      </c>
      <c r="CW89" s="259">
        <v>529</v>
      </c>
      <c r="CX89" s="258">
        <v>-0.03</v>
      </c>
      <c r="CY89" s="258">
        <v>0.97519999999999996</v>
      </c>
      <c r="DH89" s="308" t="s">
        <v>442</v>
      </c>
      <c r="DI89" s="308" t="s">
        <v>401</v>
      </c>
      <c r="DJ89" s="312">
        <v>-16.399999999999999</v>
      </c>
      <c r="DK89" s="312">
        <v>529</v>
      </c>
      <c r="DL89" s="308">
        <v>-0.03</v>
      </c>
      <c r="DM89" s="308">
        <v>0.97519999999999996</v>
      </c>
    </row>
    <row r="90" spans="54:119" thickTop="1" thickBot="1" x14ac:dyDescent="0.3">
      <c r="BB90" s="81" t="s">
        <v>426</v>
      </c>
      <c r="BC90" s="167">
        <v>-13.1</v>
      </c>
      <c r="BD90" s="167">
        <v>7.16</v>
      </c>
      <c r="BE90" s="81">
        <v>-1.83</v>
      </c>
      <c r="BF90" s="81">
        <v>6.7599999999999993E-2</v>
      </c>
      <c r="BG90" s="81" t="s">
        <v>427</v>
      </c>
      <c r="BP90" s="81" t="s">
        <v>404</v>
      </c>
      <c r="BQ90" s="167">
        <v>8.17</v>
      </c>
      <c r="BR90" s="167">
        <v>7.2700000000000001E-2</v>
      </c>
      <c r="BS90" s="81">
        <v>112.45</v>
      </c>
      <c r="BT90" s="81" t="s">
        <v>422</v>
      </c>
      <c r="BU90" s="167">
        <v>2E-16</v>
      </c>
      <c r="BV90" s="81" t="s">
        <v>389</v>
      </c>
      <c r="CT90" s="258" t="s">
        <v>442</v>
      </c>
      <c r="CU90" s="258" t="s">
        <v>402</v>
      </c>
      <c r="CV90" s="259">
        <v>-14.7</v>
      </c>
      <c r="CW90" s="259">
        <v>125</v>
      </c>
      <c r="CX90" s="258">
        <v>-0.12</v>
      </c>
      <c r="CY90" s="258">
        <v>0.90610000000000002</v>
      </c>
      <c r="DH90" s="308" t="s">
        <v>442</v>
      </c>
      <c r="DI90" s="308" t="s">
        <v>402</v>
      </c>
      <c r="DJ90" s="312">
        <v>-14.7</v>
      </c>
      <c r="DK90" s="312">
        <v>125</v>
      </c>
      <c r="DL90" s="308">
        <v>-0.12</v>
      </c>
      <c r="DM90" s="308">
        <v>0.90610000000000002</v>
      </c>
    </row>
    <row r="91" spans="54:119" thickTop="1" thickBot="1" x14ac:dyDescent="0.3">
      <c r="BB91" s="81" t="s">
        <v>428</v>
      </c>
      <c r="BC91" s="167">
        <v>6.5799999999999997E-2</v>
      </c>
      <c r="BD91" s="167">
        <v>7.0699999999999995E-4</v>
      </c>
      <c r="BE91" s="81">
        <v>93.12</v>
      </c>
      <c r="BF91" s="81" t="s">
        <v>388</v>
      </c>
      <c r="BG91" s="81" t="s">
        <v>389</v>
      </c>
      <c r="BP91" s="81" t="s">
        <v>426</v>
      </c>
      <c r="BQ91" s="167">
        <v>7.12</v>
      </c>
      <c r="BR91" s="167">
        <v>0.13500000000000001</v>
      </c>
      <c r="BS91" s="81">
        <v>52.65</v>
      </c>
      <c r="BT91" s="81" t="s">
        <v>422</v>
      </c>
      <c r="BU91" s="167">
        <v>2E-16</v>
      </c>
      <c r="BV91" s="81" t="s">
        <v>389</v>
      </c>
      <c r="CT91" s="258" t="s">
        <v>442</v>
      </c>
      <c r="CU91" s="258" t="s">
        <v>403</v>
      </c>
      <c r="CV91" s="259">
        <v>-18.5</v>
      </c>
      <c r="CW91" s="259">
        <v>320</v>
      </c>
      <c r="CX91" s="258">
        <v>-0.06</v>
      </c>
      <c r="CY91" s="258">
        <v>0.95399999999999996</v>
      </c>
      <c r="DH91" s="308" t="s">
        <v>442</v>
      </c>
      <c r="DI91" s="308" t="s">
        <v>403</v>
      </c>
      <c r="DJ91" s="312">
        <v>-18.5</v>
      </c>
      <c r="DK91" s="312">
        <v>320</v>
      </c>
      <c r="DL91" s="308">
        <v>-0.06</v>
      </c>
      <c r="DM91" s="308">
        <v>0.95399999999999996</v>
      </c>
    </row>
    <row r="92" spans="54:119" thickTop="1" thickBot="1" x14ac:dyDescent="0.3">
      <c r="BB92" s="81" t="s">
        <v>429</v>
      </c>
      <c r="BC92" s="167">
        <v>0.11799999999999999</v>
      </c>
      <c r="BD92" s="167">
        <v>1.1299999999999999E-3</v>
      </c>
      <c r="BE92" s="81">
        <v>104.59</v>
      </c>
      <c r="BF92" s="81" t="s">
        <v>388</v>
      </c>
      <c r="BG92" s="81" t="s">
        <v>389</v>
      </c>
      <c r="BP92" s="81" t="s">
        <v>416</v>
      </c>
      <c r="BQ92" s="167">
        <v>-5.0599999999999996</v>
      </c>
      <c r="BR92" s="167">
        <v>5.1200000000000002E-2</v>
      </c>
      <c r="BS92" s="81">
        <v>-98.95</v>
      </c>
      <c r="BT92" s="81" t="s">
        <v>422</v>
      </c>
      <c r="BU92" s="167">
        <v>2E-16</v>
      </c>
      <c r="BV92" s="81" t="s">
        <v>389</v>
      </c>
      <c r="CT92" s="258" t="s">
        <v>442</v>
      </c>
      <c r="CU92" s="258" t="s">
        <v>405</v>
      </c>
      <c r="CV92" s="259">
        <v>6.5799999999999997E-2</v>
      </c>
      <c r="CW92" s="259">
        <v>6.5899999999999997E-4</v>
      </c>
      <c r="CX92" s="258">
        <v>99.84</v>
      </c>
      <c r="CY92" s="258" t="s">
        <v>422</v>
      </c>
      <c r="CZ92" s="167">
        <v>2E-16</v>
      </c>
      <c r="DA92" s="81" t="s">
        <v>389</v>
      </c>
      <c r="DH92" s="308" t="s">
        <v>442</v>
      </c>
      <c r="DI92" s="308" t="s">
        <v>405</v>
      </c>
      <c r="DJ92" s="312">
        <v>6.5799999999999997E-2</v>
      </c>
      <c r="DK92" s="312">
        <v>6.5899999999999997E-4</v>
      </c>
      <c r="DL92" s="308">
        <v>99.84</v>
      </c>
      <c r="DM92" s="308" t="s">
        <v>422</v>
      </c>
      <c r="DN92" s="312">
        <v>2E-16</v>
      </c>
      <c r="DO92" s="308" t="s">
        <v>389</v>
      </c>
    </row>
    <row r="93" spans="54:119" thickTop="1" thickBot="1" x14ac:dyDescent="0.3">
      <c r="BB93" s="81" t="s">
        <v>416</v>
      </c>
      <c r="BC93" s="167">
        <v>-6.92</v>
      </c>
      <c r="BD93" s="167">
        <v>2.1600000000000001E-2</v>
      </c>
      <c r="BE93" s="81">
        <v>-319.69</v>
      </c>
      <c r="BF93" s="81" t="s">
        <v>388</v>
      </c>
      <c r="BG93" s="81" t="s">
        <v>389</v>
      </c>
      <c r="BP93" s="81" t="s">
        <v>430</v>
      </c>
      <c r="BQ93" s="167">
        <v>-4.8899999999999997</v>
      </c>
      <c r="BR93" s="167">
        <v>3.73E-2</v>
      </c>
      <c r="BS93" s="81">
        <v>-131.12</v>
      </c>
      <c r="BT93" s="81" t="s">
        <v>422</v>
      </c>
      <c r="BU93" s="167">
        <v>2E-16</v>
      </c>
      <c r="BV93" s="81" t="s">
        <v>389</v>
      </c>
      <c r="CT93" s="258" t="s">
        <v>442</v>
      </c>
      <c r="CU93" s="258" t="s">
        <v>406</v>
      </c>
      <c r="CV93" s="259">
        <v>0.215</v>
      </c>
      <c r="CW93" s="259">
        <v>1.2199999999999999E-3</v>
      </c>
      <c r="CX93" s="258">
        <v>176.62</v>
      </c>
      <c r="CY93" s="258" t="s">
        <v>422</v>
      </c>
      <c r="CZ93" s="167">
        <v>2E-16</v>
      </c>
      <c r="DA93" s="81" t="s">
        <v>389</v>
      </c>
      <c r="DH93" s="308" t="s">
        <v>442</v>
      </c>
      <c r="DI93" s="308" t="s">
        <v>406</v>
      </c>
      <c r="DJ93" s="312">
        <v>0.215</v>
      </c>
      <c r="DK93" s="312">
        <v>1.2199999999999999E-3</v>
      </c>
      <c r="DL93" s="308">
        <v>176.62</v>
      </c>
      <c r="DM93" s="308" t="s">
        <v>422</v>
      </c>
      <c r="DN93" s="312">
        <v>2E-16</v>
      </c>
      <c r="DO93" s="308" t="s">
        <v>389</v>
      </c>
    </row>
    <row r="94" spans="54:119" thickTop="1" thickBot="1" x14ac:dyDescent="0.3">
      <c r="BB94" s="81" t="s">
        <v>430</v>
      </c>
      <c r="BC94" s="167">
        <v>-6.23</v>
      </c>
      <c r="BD94" s="167">
        <v>3.3000000000000002E-2</v>
      </c>
      <c r="BE94" s="81">
        <v>-188.82</v>
      </c>
      <c r="BF94" s="81" t="s">
        <v>388</v>
      </c>
      <c r="BG94" s="81" t="s">
        <v>389</v>
      </c>
      <c r="BP94" s="81" t="s">
        <v>370</v>
      </c>
      <c r="BQ94" s="167">
        <v>198</v>
      </c>
      <c r="BR94" s="167">
        <v>4.01</v>
      </c>
      <c r="BS94" s="81">
        <v>49.45</v>
      </c>
      <c r="BT94" s="81" t="s">
        <v>422</v>
      </c>
      <c r="BU94" s="167">
        <v>2E-16</v>
      </c>
      <c r="BV94" s="81" t="s">
        <v>389</v>
      </c>
      <c r="CT94" s="258" t="s">
        <v>442</v>
      </c>
      <c r="CU94" s="258" t="s">
        <v>407</v>
      </c>
      <c r="CV94" s="259">
        <v>0.68100000000000005</v>
      </c>
      <c r="CW94" s="259">
        <v>2.0999999999999999E-3</v>
      </c>
      <c r="CX94" s="258">
        <v>324.57</v>
      </c>
      <c r="CY94" s="258" t="s">
        <v>422</v>
      </c>
      <c r="CZ94" s="167">
        <v>2E-16</v>
      </c>
      <c r="DA94" s="81" t="s">
        <v>389</v>
      </c>
      <c r="DH94" s="308" t="s">
        <v>442</v>
      </c>
      <c r="DI94" s="308" t="s">
        <v>407</v>
      </c>
      <c r="DJ94" s="312">
        <v>0.68100000000000005</v>
      </c>
      <c r="DK94" s="312">
        <v>2.0999999999999999E-3</v>
      </c>
      <c r="DL94" s="308">
        <v>324.57</v>
      </c>
      <c r="DM94" s="308" t="s">
        <v>422</v>
      </c>
      <c r="DN94" s="312">
        <v>2E-16</v>
      </c>
      <c r="DO94" s="308" t="s">
        <v>389</v>
      </c>
    </row>
    <row r="95" spans="54:119" thickTop="1" thickBot="1" x14ac:dyDescent="0.3">
      <c r="BB95" s="81" t="s">
        <v>370</v>
      </c>
      <c r="BC95" s="167">
        <v>502</v>
      </c>
      <c r="BD95" s="167">
        <v>7.41</v>
      </c>
      <c r="BE95" s="81">
        <v>67.760000000000005</v>
      </c>
      <c r="BF95" s="81" t="s">
        <v>388</v>
      </c>
      <c r="BG95" s="81" t="s">
        <v>389</v>
      </c>
      <c r="BP95" s="81" t="s">
        <v>372</v>
      </c>
      <c r="BQ95" s="167">
        <v>3.48E-4</v>
      </c>
      <c r="BR95" s="167">
        <v>3.0400000000000002E-3</v>
      </c>
      <c r="BS95" s="81">
        <v>0.11</v>
      </c>
      <c r="BT95" s="81">
        <v>0.91</v>
      </c>
      <c r="CT95" s="258" t="s">
        <v>442</v>
      </c>
      <c r="CU95" s="258" t="s">
        <v>408</v>
      </c>
      <c r="CV95" s="259">
        <v>2.8400000000000002E-2</v>
      </c>
      <c r="CW95" s="259">
        <v>1.8699999999999999E-4</v>
      </c>
      <c r="CX95" s="258">
        <v>151.62</v>
      </c>
      <c r="CY95" s="258" t="s">
        <v>422</v>
      </c>
      <c r="CZ95" s="167">
        <v>2E-16</v>
      </c>
      <c r="DA95" s="81" t="s">
        <v>389</v>
      </c>
      <c r="DH95" s="308" t="s">
        <v>442</v>
      </c>
      <c r="DI95" s="308" t="s">
        <v>408</v>
      </c>
      <c r="DJ95" s="312">
        <v>2.8400000000000002E-2</v>
      </c>
      <c r="DK95" s="312">
        <v>1.8699999999999999E-4</v>
      </c>
      <c r="DL95" s="308">
        <v>151.62</v>
      </c>
      <c r="DM95" s="308" t="s">
        <v>422</v>
      </c>
      <c r="DN95" s="312">
        <v>2E-16</v>
      </c>
      <c r="DO95" s="308" t="s">
        <v>389</v>
      </c>
    </row>
    <row r="96" spans="54:119" thickTop="1" thickBot="1" x14ac:dyDescent="0.3">
      <c r="BB96" s="81" t="s">
        <v>372</v>
      </c>
      <c r="BC96" s="167">
        <v>393</v>
      </c>
      <c r="BD96" s="167">
        <v>5.6</v>
      </c>
      <c r="BE96" s="81">
        <v>70.16</v>
      </c>
      <c r="BF96" s="81" t="s">
        <v>388</v>
      </c>
      <c r="BG96" s="81" t="s">
        <v>389</v>
      </c>
      <c r="BP96" s="81" t="s">
        <v>374</v>
      </c>
      <c r="BQ96" s="167">
        <v>221</v>
      </c>
      <c r="BR96" s="167">
        <v>3.53</v>
      </c>
      <c r="BS96" s="81">
        <v>62.76</v>
      </c>
      <c r="BT96" s="81" t="s">
        <v>422</v>
      </c>
      <c r="BU96" s="167">
        <v>2E-16</v>
      </c>
      <c r="BV96" s="81" t="s">
        <v>389</v>
      </c>
      <c r="CT96" s="258" t="s">
        <v>442</v>
      </c>
      <c r="CU96" s="258" t="s">
        <v>410</v>
      </c>
      <c r="CV96" s="259">
        <v>165</v>
      </c>
      <c r="CW96" s="259">
        <v>1.8</v>
      </c>
      <c r="CX96" s="258">
        <v>91.47</v>
      </c>
      <c r="CY96" s="258" t="s">
        <v>422</v>
      </c>
      <c r="CZ96" s="167">
        <v>2E-16</v>
      </c>
      <c r="DA96" s="81" t="s">
        <v>389</v>
      </c>
      <c r="DH96" s="308" t="s">
        <v>442</v>
      </c>
      <c r="DI96" s="308" t="s">
        <v>410</v>
      </c>
      <c r="DJ96" s="312">
        <v>165</v>
      </c>
      <c r="DK96" s="312">
        <v>1.8</v>
      </c>
      <c r="DL96" s="308">
        <v>91.47</v>
      </c>
      <c r="DM96" s="308" t="s">
        <v>422</v>
      </c>
      <c r="DN96" s="312">
        <v>2E-16</v>
      </c>
      <c r="DO96" s="308" t="s">
        <v>389</v>
      </c>
    </row>
    <row r="97" spans="54:119" thickTop="1" thickBot="1" x14ac:dyDescent="0.3">
      <c r="BB97" s="81" t="s">
        <v>374</v>
      </c>
      <c r="BC97" s="167">
        <v>506</v>
      </c>
      <c r="BD97" s="167">
        <v>2.4900000000000002</v>
      </c>
      <c r="BE97" s="81">
        <v>203.18</v>
      </c>
      <c r="BF97" s="81" t="s">
        <v>388</v>
      </c>
      <c r="BG97" s="81" t="s">
        <v>389</v>
      </c>
      <c r="CT97" s="258" t="s">
        <v>442</v>
      </c>
      <c r="CU97" s="258" t="s">
        <v>295</v>
      </c>
      <c r="CV97" s="259">
        <v>459</v>
      </c>
      <c r="CW97" s="259">
        <v>3.38</v>
      </c>
      <c r="CX97" s="258">
        <v>135.88</v>
      </c>
      <c r="CY97" s="258" t="s">
        <v>422</v>
      </c>
      <c r="CZ97" s="167">
        <v>2E-16</v>
      </c>
      <c r="DA97" s="81" t="s">
        <v>389</v>
      </c>
      <c r="DH97" s="308" t="s">
        <v>442</v>
      </c>
      <c r="DI97" s="308" t="s">
        <v>295</v>
      </c>
      <c r="DJ97" s="312">
        <v>459</v>
      </c>
      <c r="DK97" s="312">
        <v>3.38</v>
      </c>
      <c r="DL97" s="308">
        <v>135.88</v>
      </c>
      <c r="DM97" s="308" t="s">
        <v>422</v>
      </c>
      <c r="DN97" s="312">
        <v>2E-16</v>
      </c>
      <c r="DO97" s="308" t="s">
        <v>389</v>
      </c>
    </row>
    <row r="98" spans="54:119" thickTop="1" thickBot="1" x14ac:dyDescent="0.3">
      <c r="CT98" s="258" t="s">
        <v>442</v>
      </c>
      <c r="CU98" s="258" t="s">
        <v>120</v>
      </c>
      <c r="CV98" s="259">
        <v>36.4</v>
      </c>
      <c r="CW98" s="259">
        <v>0.13900000000000001</v>
      </c>
      <c r="CX98" s="258">
        <v>261.11</v>
      </c>
      <c r="CY98" s="258" t="s">
        <v>422</v>
      </c>
      <c r="CZ98" s="167">
        <v>2E-16</v>
      </c>
      <c r="DA98" s="81" t="s">
        <v>389</v>
      </c>
      <c r="DH98" s="308" t="s">
        <v>442</v>
      </c>
      <c r="DI98" s="308" t="s">
        <v>120</v>
      </c>
      <c r="DJ98" s="312">
        <v>36.4</v>
      </c>
      <c r="DK98" s="312">
        <v>0.13900000000000001</v>
      </c>
      <c r="DL98" s="308">
        <v>261.11</v>
      </c>
      <c r="DM98" s="308" t="s">
        <v>422</v>
      </c>
      <c r="DN98" s="312">
        <v>2E-16</v>
      </c>
      <c r="DO98" s="308" t="s">
        <v>389</v>
      </c>
    </row>
    <row r="99" spans="54:119" thickTop="1" thickBot="1" x14ac:dyDescent="0.3">
      <c r="CT99" s="258" t="s">
        <v>442</v>
      </c>
      <c r="CU99" s="258" t="s">
        <v>412</v>
      </c>
      <c r="CV99" s="259">
        <v>-7.37</v>
      </c>
      <c r="CW99" s="259">
        <v>1.77E-2</v>
      </c>
      <c r="CX99" s="258">
        <v>-416.12</v>
      </c>
      <c r="CY99" s="258" t="s">
        <v>422</v>
      </c>
      <c r="CZ99" s="167">
        <v>2E-16</v>
      </c>
      <c r="DA99" s="81" t="s">
        <v>389</v>
      </c>
      <c r="DH99" s="308" t="s">
        <v>442</v>
      </c>
      <c r="DI99" s="308" t="s">
        <v>412</v>
      </c>
      <c r="DJ99" s="312">
        <v>-7.37</v>
      </c>
      <c r="DK99" s="312">
        <v>1.77E-2</v>
      </c>
      <c r="DL99" s="308">
        <v>-416.12</v>
      </c>
      <c r="DM99" s="308" t="s">
        <v>422</v>
      </c>
      <c r="DN99" s="312">
        <v>2E-16</v>
      </c>
      <c r="DO99" s="308" t="s">
        <v>389</v>
      </c>
    </row>
    <row r="100" spans="54:119" thickTop="1" thickBot="1" x14ac:dyDescent="0.3">
      <c r="CT100" s="258" t="s">
        <v>442</v>
      </c>
      <c r="CU100" s="258" t="s">
        <v>413</v>
      </c>
      <c r="CV100" s="259">
        <v>-6.53</v>
      </c>
      <c r="CW100" s="259">
        <v>1.77E-2</v>
      </c>
      <c r="CX100" s="258">
        <v>-368.58</v>
      </c>
      <c r="CY100" s="258" t="s">
        <v>422</v>
      </c>
      <c r="CZ100" s="167">
        <v>2E-16</v>
      </c>
      <c r="DA100" s="81" t="s">
        <v>389</v>
      </c>
      <c r="DH100" s="308" t="s">
        <v>442</v>
      </c>
      <c r="DI100" s="308" t="s">
        <v>413</v>
      </c>
      <c r="DJ100" s="312">
        <v>-6.53</v>
      </c>
      <c r="DK100" s="312">
        <v>1.77E-2</v>
      </c>
      <c r="DL100" s="308">
        <v>-368.58</v>
      </c>
      <c r="DM100" s="308" t="s">
        <v>422</v>
      </c>
      <c r="DN100" s="312">
        <v>2E-16</v>
      </c>
      <c r="DO100" s="308" t="s">
        <v>389</v>
      </c>
    </row>
    <row r="101" spans="54:119" thickTop="1" thickBot="1" x14ac:dyDescent="0.3">
      <c r="CT101" s="258" t="s">
        <v>442</v>
      </c>
      <c r="CU101" s="258" t="s">
        <v>414</v>
      </c>
      <c r="CV101" s="259">
        <v>-7.01</v>
      </c>
      <c r="CW101" s="259">
        <v>1.66E-2</v>
      </c>
      <c r="CX101" s="258">
        <v>-423.05</v>
      </c>
      <c r="CY101" s="258" t="s">
        <v>422</v>
      </c>
      <c r="CZ101" s="167">
        <v>2E-16</v>
      </c>
      <c r="DA101" s="81" t="s">
        <v>389</v>
      </c>
      <c r="DH101" s="308" t="s">
        <v>442</v>
      </c>
      <c r="DI101" s="308" t="s">
        <v>414</v>
      </c>
      <c r="DJ101" s="312">
        <v>-7.01</v>
      </c>
      <c r="DK101" s="312">
        <v>1.66E-2</v>
      </c>
      <c r="DL101" s="308">
        <v>-423.05</v>
      </c>
      <c r="DM101" s="308" t="s">
        <v>422</v>
      </c>
      <c r="DN101" s="312">
        <v>2E-16</v>
      </c>
      <c r="DO101" s="308" t="s">
        <v>389</v>
      </c>
    </row>
    <row r="102" spans="54:119" thickTop="1" thickBot="1" x14ac:dyDescent="0.3">
      <c r="CT102" s="258" t="s">
        <v>442</v>
      </c>
      <c r="CU102" s="258" t="s">
        <v>415</v>
      </c>
      <c r="CV102" s="259">
        <v>-6.78</v>
      </c>
      <c r="CW102" s="259">
        <v>1.7299999999999999E-2</v>
      </c>
      <c r="CX102" s="258">
        <v>-392.31</v>
      </c>
      <c r="CY102" s="258" t="s">
        <v>422</v>
      </c>
      <c r="CZ102" s="167">
        <v>2E-16</v>
      </c>
      <c r="DA102" s="81" t="s">
        <v>389</v>
      </c>
      <c r="DH102" s="308" t="s">
        <v>442</v>
      </c>
      <c r="DI102" s="308" t="s">
        <v>415</v>
      </c>
      <c r="DJ102" s="312">
        <v>-6.78</v>
      </c>
      <c r="DK102" s="312">
        <v>1.7299999999999999E-2</v>
      </c>
      <c r="DL102" s="308">
        <v>-392.31</v>
      </c>
      <c r="DM102" s="308" t="s">
        <v>422</v>
      </c>
      <c r="DN102" s="312">
        <v>2E-16</v>
      </c>
      <c r="DO102" s="308" t="s">
        <v>389</v>
      </c>
    </row>
    <row r="103" spans="54:119" thickTop="1" thickBot="1" x14ac:dyDescent="0.3">
      <c r="CT103" s="258" t="s">
        <v>442</v>
      </c>
      <c r="CU103" s="258" t="s">
        <v>417</v>
      </c>
      <c r="CV103" s="259">
        <v>1.2699999999999999E-2</v>
      </c>
      <c r="CW103" s="259">
        <v>7.9200000000000001E-5</v>
      </c>
      <c r="CX103" s="258">
        <v>160.16999999999999</v>
      </c>
      <c r="CY103" s="258" t="s">
        <v>422</v>
      </c>
      <c r="CZ103" s="167">
        <v>2E-16</v>
      </c>
      <c r="DA103" s="81" t="s">
        <v>389</v>
      </c>
      <c r="DH103" s="308" t="s">
        <v>442</v>
      </c>
      <c r="DI103" s="308" t="s">
        <v>417</v>
      </c>
      <c r="DJ103" s="312">
        <v>1.2699999999999999E-2</v>
      </c>
      <c r="DK103" s="312">
        <v>7.9200000000000001E-5</v>
      </c>
      <c r="DL103" s="308">
        <v>160.16999999999999</v>
      </c>
      <c r="DM103" s="308" t="s">
        <v>422</v>
      </c>
      <c r="DN103" s="312">
        <v>2E-16</v>
      </c>
      <c r="DO103" s="308" t="s">
        <v>389</v>
      </c>
    </row>
    <row r="104" spans="54:119" thickTop="1" thickBot="1" x14ac:dyDescent="0.3">
      <c r="CT104" s="258" t="s">
        <v>442</v>
      </c>
      <c r="CU104" s="258" t="s">
        <v>418</v>
      </c>
      <c r="CV104" s="259">
        <v>57.9</v>
      </c>
      <c r="CW104" s="259">
        <v>0.50900000000000001</v>
      </c>
      <c r="CX104" s="258">
        <v>113.7</v>
      </c>
      <c r="CY104" s="258" t="s">
        <v>422</v>
      </c>
      <c r="CZ104" s="167">
        <v>2E-16</v>
      </c>
      <c r="DA104" s="81" t="s">
        <v>389</v>
      </c>
      <c r="DH104" s="308" t="s">
        <v>442</v>
      </c>
      <c r="DI104" s="308" t="s">
        <v>418</v>
      </c>
      <c r="DJ104" s="312">
        <v>57.9</v>
      </c>
      <c r="DK104" s="312">
        <v>0.50900000000000001</v>
      </c>
      <c r="DL104" s="308">
        <v>113.7</v>
      </c>
      <c r="DM104" s="308" t="s">
        <v>422</v>
      </c>
      <c r="DN104" s="312">
        <v>2E-16</v>
      </c>
      <c r="DO104" s="308" t="s">
        <v>389</v>
      </c>
    </row>
    <row r="105" spans="54:119" thickTop="1" thickBot="1" x14ac:dyDescent="0.3">
      <c r="CT105" s="258" t="s">
        <v>442</v>
      </c>
      <c r="CU105" s="258" t="s">
        <v>419</v>
      </c>
      <c r="CV105" s="259">
        <v>1750</v>
      </c>
      <c r="CW105" s="259">
        <v>332</v>
      </c>
      <c r="CX105" s="258">
        <v>5.27</v>
      </c>
      <c r="CY105" s="259">
        <v>1.4000000000000001E-7</v>
      </c>
      <c r="CZ105" s="81" t="s">
        <v>389</v>
      </c>
      <c r="DH105" s="308" t="s">
        <v>442</v>
      </c>
      <c r="DI105" s="308" t="s">
        <v>419</v>
      </c>
      <c r="DJ105" s="312">
        <v>1750</v>
      </c>
      <c r="DK105" s="312">
        <v>332</v>
      </c>
      <c r="DL105" s="308">
        <v>5.27</v>
      </c>
      <c r="DM105" s="312">
        <v>1.4000000000000001E-7</v>
      </c>
      <c r="DN105" s="308" t="s">
        <v>389</v>
      </c>
    </row>
    <row r="106" spans="54:119" thickTop="1" thickBot="1" x14ac:dyDescent="0.3">
      <c r="CT106" s="258" t="s">
        <v>442</v>
      </c>
      <c r="CU106" s="258" t="s">
        <v>461</v>
      </c>
      <c r="DH106" s="308" t="s">
        <v>442</v>
      </c>
      <c r="DI106" s="308" t="s">
        <v>461</v>
      </c>
    </row>
    <row r="107" spans="54:119" thickTop="1" thickBot="1" x14ac:dyDescent="0.3">
      <c r="CT107" s="258" t="s">
        <v>442</v>
      </c>
      <c r="CU107" s="258" t="s">
        <v>462</v>
      </c>
      <c r="CV107" s="258" t="s">
        <v>463</v>
      </c>
      <c r="CW107" s="258">
        <v>0</v>
      </c>
      <c r="CX107" s="258" t="s">
        <v>464</v>
      </c>
      <c r="CY107" s="258">
        <v>1E-3</v>
      </c>
      <c r="CZ107" s="81" t="s">
        <v>465</v>
      </c>
      <c r="DA107" s="81">
        <v>0.01</v>
      </c>
      <c r="DH107" s="308" t="s">
        <v>442</v>
      </c>
      <c r="DI107" s="308" t="s">
        <v>462</v>
      </c>
      <c r="DJ107" s="308" t="s">
        <v>463</v>
      </c>
      <c r="DK107" s="308">
        <v>0</v>
      </c>
      <c r="DL107" s="308" t="s">
        <v>464</v>
      </c>
      <c r="DM107" s="308">
        <v>1E-3</v>
      </c>
      <c r="DN107" s="308" t="s">
        <v>465</v>
      </c>
      <c r="DO107" s="308">
        <v>0.01</v>
      </c>
    </row>
    <row r="109" spans="54:119" thickTop="1" thickBot="1" x14ac:dyDescent="0.3">
      <c r="CT109" s="258" t="s">
        <v>442</v>
      </c>
      <c r="CU109" s="258" t="s">
        <v>433</v>
      </c>
      <c r="CV109" s="258" t="s">
        <v>435</v>
      </c>
      <c r="DH109" s="308" t="s">
        <v>442</v>
      </c>
      <c r="DI109" s="308" t="s">
        <v>433</v>
      </c>
      <c r="DJ109" s="308" t="s">
        <v>435</v>
      </c>
    </row>
    <row r="110" spans="54:119" thickTop="1" thickBot="1" x14ac:dyDescent="0.3">
      <c r="CT110" s="258" t="s">
        <v>442</v>
      </c>
      <c r="CU110" s="258" t="s">
        <v>380</v>
      </c>
      <c r="DH110" s="308" t="s">
        <v>442</v>
      </c>
      <c r="DI110" s="308" t="s">
        <v>380</v>
      </c>
    </row>
    <row r="111" spans="54:119" thickTop="1" thickBot="1" x14ac:dyDescent="0.3">
      <c r="CT111" s="258" t="s">
        <v>442</v>
      </c>
      <c r="CU111" s="258" t="s">
        <v>381</v>
      </c>
      <c r="CV111" s="258" t="s">
        <v>382</v>
      </c>
      <c r="CW111" s="258" t="s">
        <v>383</v>
      </c>
      <c r="CX111" s="258" t="s">
        <v>384</v>
      </c>
      <c r="CY111" s="258" t="s">
        <v>385</v>
      </c>
      <c r="CZ111" s="81" t="s">
        <v>386</v>
      </c>
      <c r="DH111" s="308" t="s">
        <v>442</v>
      </c>
      <c r="DI111" s="308" t="s">
        <v>381</v>
      </c>
      <c r="DJ111" s="308" t="s">
        <v>382</v>
      </c>
      <c r="DK111" s="308" t="s">
        <v>383</v>
      </c>
      <c r="DL111" s="308" t="s">
        <v>384</v>
      </c>
      <c r="DM111" s="308" t="s">
        <v>385</v>
      </c>
      <c r="DN111" s="308" t="s">
        <v>386</v>
      </c>
    </row>
    <row r="112" spans="54:119" thickTop="1" thickBot="1" x14ac:dyDescent="0.3">
      <c r="CT112" s="258" t="s">
        <v>442</v>
      </c>
      <c r="CU112" s="258" t="s">
        <v>436</v>
      </c>
      <c r="CV112" s="259">
        <v>290</v>
      </c>
      <c r="CW112" s="259">
        <v>6.5799999999999997E-2</v>
      </c>
      <c r="CX112" s="258">
        <v>4416.1400000000003</v>
      </c>
      <c r="CY112" s="258" t="s">
        <v>388</v>
      </c>
      <c r="CZ112" s="167" t="s">
        <v>389</v>
      </c>
      <c r="DA112" s="81" t="s">
        <v>389</v>
      </c>
      <c r="DH112" s="308" t="s">
        <v>442</v>
      </c>
      <c r="DI112" s="308" t="s">
        <v>436</v>
      </c>
      <c r="DJ112" s="312">
        <v>290</v>
      </c>
      <c r="DK112" s="312">
        <v>6.5799999999999997E-2</v>
      </c>
      <c r="DL112" s="308">
        <v>4416.1400000000003</v>
      </c>
      <c r="DM112" s="308" t="s">
        <v>388</v>
      </c>
      <c r="DN112" s="312" t="s">
        <v>389</v>
      </c>
      <c r="DO112" s="308" t="s">
        <v>389</v>
      </c>
    </row>
    <row r="113" spans="98:119" thickTop="1" thickBot="1" x14ac:dyDescent="0.3">
      <c r="CT113" s="258" t="s">
        <v>442</v>
      </c>
      <c r="CU113" s="258" t="s">
        <v>423</v>
      </c>
      <c r="CV113" s="259">
        <v>295</v>
      </c>
      <c r="CW113" s="259">
        <v>4.6899999999999997E-2</v>
      </c>
      <c r="CX113" s="258">
        <v>6282.78</v>
      </c>
      <c r="CY113" s="258" t="s">
        <v>388</v>
      </c>
      <c r="CZ113" s="167" t="s">
        <v>389</v>
      </c>
      <c r="DA113" s="81" t="s">
        <v>389</v>
      </c>
      <c r="DH113" s="308" t="s">
        <v>442</v>
      </c>
      <c r="DI113" s="308" t="s">
        <v>423</v>
      </c>
      <c r="DJ113" s="312">
        <v>295</v>
      </c>
      <c r="DK113" s="312">
        <v>4.6899999999999997E-2</v>
      </c>
      <c r="DL113" s="308">
        <v>6282.78</v>
      </c>
      <c r="DM113" s="308" t="s">
        <v>388</v>
      </c>
      <c r="DN113" s="312" t="s">
        <v>389</v>
      </c>
      <c r="DO113" s="308" t="s">
        <v>389</v>
      </c>
    </row>
    <row r="114" spans="98:119" thickTop="1" thickBot="1" x14ac:dyDescent="0.3">
      <c r="CT114" s="258" t="s">
        <v>442</v>
      </c>
      <c r="CU114" s="258" t="s">
        <v>358</v>
      </c>
      <c r="CV114" s="259">
        <v>0.111</v>
      </c>
      <c r="CW114" s="259">
        <v>1.39E-3</v>
      </c>
      <c r="CX114" s="258">
        <v>79.78</v>
      </c>
      <c r="CY114" s="258" t="s">
        <v>388</v>
      </c>
      <c r="CZ114" s="81" t="s">
        <v>389</v>
      </c>
      <c r="DH114" s="308" t="s">
        <v>442</v>
      </c>
      <c r="DI114" s="308" t="s">
        <v>358</v>
      </c>
      <c r="DJ114" s="312">
        <v>0.111</v>
      </c>
      <c r="DK114" s="312">
        <v>1.39E-3</v>
      </c>
      <c r="DL114" s="308">
        <v>79.78</v>
      </c>
      <c r="DM114" s="308" t="s">
        <v>388</v>
      </c>
      <c r="DN114" s="308" t="s">
        <v>389</v>
      </c>
    </row>
    <row r="115" spans="98:119" thickTop="1" thickBot="1" x14ac:dyDescent="0.3">
      <c r="CT115" s="258" t="s">
        <v>442</v>
      </c>
      <c r="CU115" s="258" t="s">
        <v>360</v>
      </c>
      <c r="CV115" s="259">
        <v>0.11600000000000001</v>
      </c>
      <c r="CW115" s="259">
        <v>1.32E-3</v>
      </c>
      <c r="CX115" s="258">
        <v>88.32</v>
      </c>
      <c r="CY115" s="258" t="s">
        <v>388</v>
      </c>
      <c r="CZ115" s="81" t="s">
        <v>389</v>
      </c>
      <c r="DH115" s="308" t="s">
        <v>442</v>
      </c>
      <c r="DI115" s="308" t="s">
        <v>360</v>
      </c>
      <c r="DJ115" s="312">
        <v>0.11600000000000001</v>
      </c>
      <c r="DK115" s="312">
        <v>1.32E-3</v>
      </c>
      <c r="DL115" s="308">
        <v>88.32</v>
      </c>
      <c r="DM115" s="308" t="s">
        <v>388</v>
      </c>
      <c r="DN115" s="308" t="s">
        <v>389</v>
      </c>
    </row>
    <row r="116" spans="98:119" thickTop="1" thickBot="1" x14ac:dyDescent="0.3">
      <c r="CT116" s="258" t="s">
        <v>442</v>
      </c>
      <c r="CU116" s="258" t="s">
        <v>424</v>
      </c>
      <c r="CV116" s="259">
        <v>992000000</v>
      </c>
      <c r="CW116" s="259">
        <v>69800000</v>
      </c>
      <c r="CX116" s="258">
        <v>14.2</v>
      </c>
      <c r="CY116" s="259" t="s">
        <v>388</v>
      </c>
      <c r="CZ116" s="81" t="s">
        <v>389</v>
      </c>
      <c r="DH116" s="308" t="s">
        <v>442</v>
      </c>
      <c r="DI116" s="308" t="s">
        <v>424</v>
      </c>
      <c r="DJ116" s="312">
        <v>992000000</v>
      </c>
      <c r="DK116" s="312">
        <v>69800000</v>
      </c>
      <c r="DL116" s="308">
        <v>14.2</v>
      </c>
      <c r="DM116" s="312" t="s">
        <v>388</v>
      </c>
      <c r="DN116" s="308" t="s">
        <v>389</v>
      </c>
    </row>
    <row r="117" spans="98:119" thickTop="1" thickBot="1" x14ac:dyDescent="0.3">
      <c r="CT117" s="258" t="s">
        <v>442</v>
      </c>
      <c r="CU117" s="258" t="s">
        <v>364</v>
      </c>
      <c r="CV117" s="259">
        <v>992000000</v>
      </c>
      <c r="CW117" s="259">
        <v>48300000</v>
      </c>
      <c r="CX117" s="258">
        <v>20.55</v>
      </c>
      <c r="CY117" s="258" t="s">
        <v>388</v>
      </c>
      <c r="CZ117" s="81" t="s">
        <v>389</v>
      </c>
      <c r="DH117" s="308" t="s">
        <v>442</v>
      </c>
      <c r="DI117" s="308" t="s">
        <v>364</v>
      </c>
      <c r="DJ117" s="312">
        <v>992000000</v>
      </c>
      <c r="DK117" s="312">
        <v>48300000</v>
      </c>
      <c r="DL117" s="308">
        <v>20.55</v>
      </c>
      <c r="DM117" s="308" t="s">
        <v>388</v>
      </c>
      <c r="DN117" s="308" t="s">
        <v>389</v>
      </c>
    </row>
    <row r="118" spans="98:119" thickTop="1" thickBot="1" x14ac:dyDescent="0.3">
      <c r="CT118" s="258" t="s">
        <v>442</v>
      </c>
      <c r="CU118" s="258" t="s">
        <v>404</v>
      </c>
      <c r="CV118" s="259">
        <v>-17.5</v>
      </c>
      <c r="CW118" s="259">
        <v>12.6</v>
      </c>
      <c r="CX118" s="258">
        <v>-1.39</v>
      </c>
      <c r="CY118" s="258">
        <v>0.16400000000000001</v>
      </c>
      <c r="CZ118" s="167"/>
      <c r="DA118" s="81" t="s">
        <v>389</v>
      </c>
      <c r="DH118" s="308" t="s">
        <v>442</v>
      </c>
      <c r="DI118" s="308" t="s">
        <v>404</v>
      </c>
      <c r="DJ118" s="312">
        <v>-17.5</v>
      </c>
      <c r="DK118" s="312">
        <v>12.6</v>
      </c>
      <c r="DL118" s="308">
        <v>-1.39</v>
      </c>
      <c r="DM118" s="308">
        <v>0.16400000000000001</v>
      </c>
      <c r="DN118" s="312"/>
      <c r="DO118" s="308" t="s">
        <v>389</v>
      </c>
    </row>
    <row r="119" spans="98:119" thickTop="1" thickBot="1" x14ac:dyDescent="0.3">
      <c r="CT119" s="258" t="s">
        <v>442</v>
      </c>
      <c r="CU119" s="258" t="s">
        <v>426</v>
      </c>
      <c r="CV119" s="259">
        <v>-18.2</v>
      </c>
      <c r="CW119" s="259">
        <v>8.1199999999999992</v>
      </c>
      <c r="CX119" s="258">
        <v>-2.25</v>
      </c>
      <c r="CY119" s="258">
        <v>2.5000000000000001E-2</v>
      </c>
      <c r="CZ119" s="167" t="s">
        <v>434</v>
      </c>
      <c r="DA119" s="81" t="s">
        <v>389</v>
      </c>
      <c r="DH119" s="308" t="s">
        <v>442</v>
      </c>
      <c r="DI119" s="308" t="s">
        <v>426</v>
      </c>
      <c r="DJ119" s="312">
        <v>-18.2</v>
      </c>
      <c r="DK119" s="312">
        <v>8.1199999999999992</v>
      </c>
      <c r="DL119" s="308">
        <v>-2.25</v>
      </c>
      <c r="DM119" s="308">
        <v>2.5000000000000001E-2</v>
      </c>
      <c r="DN119" s="312" t="s">
        <v>434</v>
      </c>
      <c r="DO119" s="308" t="s">
        <v>389</v>
      </c>
    </row>
    <row r="120" spans="98:119" thickTop="1" thickBot="1" x14ac:dyDescent="0.3">
      <c r="CT120" s="258" t="s">
        <v>442</v>
      </c>
      <c r="CU120" s="258" t="s">
        <v>428</v>
      </c>
      <c r="CV120" s="259">
        <v>4.5699999999999998E-2</v>
      </c>
      <c r="CW120" s="259">
        <v>1.07E-4</v>
      </c>
      <c r="CX120" s="258">
        <v>425.13</v>
      </c>
      <c r="CY120" s="258" t="s">
        <v>388</v>
      </c>
      <c r="CZ120" s="167" t="s">
        <v>389</v>
      </c>
      <c r="DA120" s="81" t="s">
        <v>389</v>
      </c>
      <c r="DH120" s="308" t="s">
        <v>442</v>
      </c>
      <c r="DI120" s="308" t="s">
        <v>428</v>
      </c>
      <c r="DJ120" s="312">
        <v>4.5699999999999998E-2</v>
      </c>
      <c r="DK120" s="312">
        <v>1.07E-4</v>
      </c>
      <c r="DL120" s="308">
        <v>425.13</v>
      </c>
      <c r="DM120" s="308" t="s">
        <v>388</v>
      </c>
      <c r="DN120" s="312" t="s">
        <v>389</v>
      </c>
      <c r="DO120" s="308" t="s">
        <v>389</v>
      </c>
    </row>
    <row r="121" spans="98:119" thickTop="1" thickBot="1" x14ac:dyDescent="0.3">
      <c r="CT121" s="258" t="s">
        <v>442</v>
      </c>
      <c r="CU121" s="258" t="s">
        <v>429</v>
      </c>
      <c r="CV121" s="259">
        <v>2.7900000000000001E-2</v>
      </c>
      <c r="CW121" s="259">
        <v>1.06E-4</v>
      </c>
      <c r="CX121" s="258">
        <v>263.27</v>
      </c>
      <c r="CY121" s="258" t="s">
        <v>388</v>
      </c>
      <c r="CZ121" s="167" t="s">
        <v>389</v>
      </c>
      <c r="DA121" s="81" t="s">
        <v>389</v>
      </c>
      <c r="DH121" s="308" t="s">
        <v>442</v>
      </c>
      <c r="DI121" s="308" t="s">
        <v>429</v>
      </c>
      <c r="DJ121" s="312">
        <v>2.7900000000000001E-2</v>
      </c>
      <c r="DK121" s="312">
        <v>1.06E-4</v>
      </c>
      <c r="DL121" s="308">
        <v>263.27</v>
      </c>
      <c r="DM121" s="308" t="s">
        <v>388</v>
      </c>
      <c r="DN121" s="312" t="s">
        <v>389</v>
      </c>
      <c r="DO121" s="308" t="s">
        <v>389</v>
      </c>
    </row>
    <row r="122" spans="98:119" thickTop="1" thickBot="1" x14ac:dyDescent="0.3">
      <c r="CT122" s="258" t="s">
        <v>442</v>
      </c>
      <c r="CU122" s="258" t="s">
        <v>416</v>
      </c>
      <c r="CV122" s="259">
        <v>-6.67</v>
      </c>
      <c r="CW122" s="259">
        <v>1.55E-2</v>
      </c>
      <c r="CX122" s="258">
        <v>-429.81</v>
      </c>
      <c r="CY122" s="258" t="s">
        <v>388</v>
      </c>
      <c r="CZ122" s="167" t="s">
        <v>389</v>
      </c>
      <c r="DA122" s="81" t="s">
        <v>389</v>
      </c>
      <c r="DH122" s="308" t="s">
        <v>442</v>
      </c>
      <c r="DI122" s="308" t="s">
        <v>416</v>
      </c>
      <c r="DJ122" s="312">
        <v>-6.67</v>
      </c>
      <c r="DK122" s="312">
        <v>1.55E-2</v>
      </c>
      <c r="DL122" s="308">
        <v>-429.81</v>
      </c>
      <c r="DM122" s="308" t="s">
        <v>388</v>
      </c>
      <c r="DN122" s="312" t="s">
        <v>389</v>
      </c>
      <c r="DO122" s="308" t="s">
        <v>389</v>
      </c>
    </row>
    <row r="123" spans="98:119" thickTop="1" thickBot="1" x14ac:dyDescent="0.3">
      <c r="CT123" s="258" t="s">
        <v>442</v>
      </c>
      <c r="CU123" s="258" t="s">
        <v>430</v>
      </c>
      <c r="CV123" s="259">
        <v>-6.13</v>
      </c>
      <c r="CW123" s="259">
        <v>1.6400000000000001E-2</v>
      </c>
      <c r="CX123" s="258">
        <v>-374.12</v>
      </c>
      <c r="CY123" s="258" t="s">
        <v>388</v>
      </c>
      <c r="CZ123" s="81" t="s">
        <v>389</v>
      </c>
      <c r="DH123" s="308" t="s">
        <v>442</v>
      </c>
      <c r="DI123" s="308" t="s">
        <v>430</v>
      </c>
      <c r="DJ123" s="312">
        <v>-6.13</v>
      </c>
      <c r="DK123" s="312">
        <v>1.6400000000000001E-2</v>
      </c>
      <c r="DL123" s="308">
        <v>-374.12</v>
      </c>
      <c r="DM123" s="308" t="s">
        <v>388</v>
      </c>
      <c r="DN123" s="308" t="s">
        <v>389</v>
      </c>
    </row>
    <row r="124" spans="98:119" thickTop="1" thickBot="1" x14ac:dyDescent="0.3">
      <c r="CT124" s="258" t="s">
        <v>442</v>
      </c>
      <c r="CU124" s="258" t="s">
        <v>370</v>
      </c>
      <c r="CV124" s="259">
        <v>37.799999999999997</v>
      </c>
      <c r="CW124" s="259">
        <v>0.26700000000000002</v>
      </c>
      <c r="CX124" s="258">
        <v>141.18</v>
      </c>
      <c r="CY124" s="258" t="s">
        <v>388</v>
      </c>
      <c r="CZ124" s="167" t="s">
        <v>389</v>
      </c>
      <c r="DA124" s="81" t="s">
        <v>389</v>
      </c>
      <c r="DH124" s="308" t="s">
        <v>442</v>
      </c>
      <c r="DI124" s="308" t="s">
        <v>370</v>
      </c>
      <c r="DJ124" s="312">
        <v>37.799999999999997</v>
      </c>
      <c r="DK124" s="312">
        <v>0.26700000000000002</v>
      </c>
      <c r="DL124" s="308">
        <v>141.18</v>
      </c>
      <c r="DM124" s="308" t="s">
        <v>388</v>
      </c>
      <c r="DN124" s="312" t="s">
        <v>389</v>
      </c>
      <c r="DO124" s="308" t="s">
        <v>389</v>
      </c>
    </row>
    <row r="125" spans="98:119" thickTop="1" thickBot="1" x14ac:dyDescent="0.3">
      <c r="CT125" s="258" t="s">
        <v>442</v>
      </c>
      <c r="CU125" s="258" t="s">
        <v>372</v>
      </c>
      <c r="CV125" s="259">
        <v>1.1199999999999999E-3</v>
      </c>
      <c r="CW125" s="259">
        <v>1.34E-2</v>
      </c>
      <c r="CX125" s="258">
        <v>0.08</v>
      </c>
      <c r="CY125" s="258">
        <v>0.93300000000000005</v>
      </c>
      <c r="DH125" s="308" t="s">
        <v>442</v>
      </c>
      <c r="DI125" s="308" t="s">
        <v>372</v>
      </c>
      <c r="DJ125" s="312">
        <v>1.1199999999999999E-3</v>
      </c>
      <c r="DK125" s="312">
        <v>1.34E-2</v>
      </c>
      <c r="DL125" s="308">
        <v>0.08</v>
      </c>
      <c r="DM125" s="308">
        <v>0.93300000000000005</v>
      </c>
    </row>
    <row r="126" spans="98:119" thickTop="1" thickBot="1" x14ac:dyDescent="0.3">
      <c r="CT126" s="258" t="s">
        <v>442</v>
      </c>
      <c r="CU126" s="258" t="s">
        <v>374</v>
      </c>
      <c r="CV126" s="259">
        <v>57.8</v>
      </c>
      <c r="CW126" s="259">
        <v>0.441</v>
      </c>
      <c r="CX126" s="258">
        <v>130.94</v>
      </c>
      <c r="CY126" s="258" t="s">
        <v>388</v>
      </c>
      <c r="CZ126" s="81" t="s">
        <v>389</v>
      </c>
      <c r="DH126" s="308" t="s">
        <v>442</v>
      </c>
      <c r="DI126" s="308" t="s">
        <v>374</v>
      </c>
      <c r="DJ126" s="312">
        <v>57.8</v>
      </c>
      <c r="DK126" s="312">
        <v>0.441</v>
      </c>
      <c r="DL126" s="308">
        <v>130.94</v>
      </c>
      <c r="DM126" s="308" t="s">
        <v>388</v>
      </c>
      <c r="DN126" s="308" t="s">
        <v>389</v>
      </c>
    </row>
    <row r="129" spans="99:113" thickTop="1" thickBot="1" x14ac:dyDescent="0.3">
      <c r="CU129" s="259"/>
      <c r="DI129" s="312"/>
    </row>
  </sheetData>
  <mergeCells count="8">
    <mergeCell ref="E36:F36"/>
    <mergeCell ref="A1:G1"/>
    <mergeCell ref="A3:H3"/>
    <mergeCell ref="J3:T3"/>
    <mergeCell ref="V3:AG3"/>
    <mergeCell ref="K4:O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124"/>
  <sheetViews>
    <sheetView topLeftCell="A25" zoomScale="90" zoomScaleNormal="90" workbookViewId="0">
      <selection activeCell="Q36" sqref="Q36"/>
    </sheetView>
  </sheetViews>
  <sheetFormatPr defaultRowHeight="16.5" thickTop="1" thickBottom="1" x14ac:dyDescent="0.3"/>
  <cols>
    <col min="1" max="8" width="9.140625" style="81"/>
    <col min="9" max="9" width="9.140625" style="1"/>
    <col min="10" max="10" width="9.140625" style="81"/>
    <col min="11" max="13" width="9.140625" style="2"/>
    <col min="14" max="15" width="9.140625" style="81"/>
    <col min="16" max="17" width="9.140625" style="153"/>
    <col min="18" max="20" width="9.140625" style="81"/>
    <col min="21" max="21" width="9.140625" style="1"/>
    <col min="22" max="34" width="9.140625" style="81"/>
    <col min="35" max="36" width="9.140625" style="158"/>
    <col min="37" max="37" width="9.140625" style="159"/>
    <col min="38" max="38" width="10.28515625" style="159" bestFit="1" customWidth="1"/>
    <col min="39" max="40" width="9.140625" style="81"/>
    <col min="41" max="41" width="12.7109375" style="81" bestFit="1" customWidth="1"/>
    <col min="42" max="42" width="12.7109375" style="81" customWidth="1"/>
    <col min="43" max="46" width="9.140625" style="81"/>
    <col min="47" max="50" width="9.140625" style="161"/>
    <col min="51" max="51" width="14.7109375" style="162" bestFit="1" customWidth="1"/>
    <col min="52" max="52" width="9.140625" style="161"/>
    <col min="53" max="53" width="9.140625" style="171"/>
    <col min="54" max="54" width="9.140625" style="81"/>
    <col min="55" max="55" width="16.42578125" style="81" customWidth="1"/>
    <col min="56" max="64" width="9.140625" style="81"/>
    <col min="65" max="65" width="15.7109375" style="81" bestFit="1" customWidth="1"/>
    <col min="66" max="66" width="9.140625" style="81"/>
    <col min="67" max="67" width="9.140625" style="171"/>
    <col min="68" max="79" width="9.140625" style="81"/>
    <col min="80" max="80" width="15.7109375" style="81" bestFit="1" customWidth="1"/>
    <col min="81" max="97" width="9.140625" style="81"/>
    <col min="98" max="103" width="9.140625" style="258"/>
    <col min="104" max="105" width="9.140625" style="81"/>
    <col min="106" max="106" width="15.5703125" style="260" bestFit="1" customWidth="1"/>
    <col min="107" max="110" width="9.140625" style="260"/>
    <col min="111" max="16384" width="9.140625" style="81"/>
  </cols>
  <sheetData>
    <row r="1" spans="1:110" ht="20.25" customHeight="1" thickTop="1" thickBot="1" x14ac:dyDescent="0.35">
      <c r="A1" s="320" t="s">
        <v>312</v>
      </c>
      <c r="B1" s="320"/>
      <c r="C1" s="320"/>
      <c r="D1" s="320"/>
      <c r="E1" s="320"/>
      <c r="F1" s="320"/>
      <c r="G1" s="320"/>
      <c r="AN1" s="160" t="s">
        <v>314</v>
      </c>
      <c r="BB1" s="81" t="s">
        <v>378</v>
      </c>
      <c r="BP1" s="81" t="s">
        <v>432</v>
      </c>
    </row>
    <row r="2" spans="1:110" thickTop="1" thickBot="1" x14ac:dyDescent="0.3">
      <c r="AN2" s="81" t="s">
        <v>315</v>
      </c>
      <c r="CN2" s="81" t="s">
        <v>316</v>
      </c>
      <c r="CO2" s="79" t="s">
        <v>438</v>
      </c>
      <c r="CP2" s="79" t="s">
        <v>439</v>
      </c>
      <c r="CQ2" s="79" t="s">
        <v>440</v>
      </c>
      <c r="CT2" s="258" t="s">
        <v>441</v>
      </c>
    </row>
    <row r="3" spans="1:110" thickTop="1" thickBot="1" x14ac:dyDescent="0.3">
      <c r="A3" s="323" t="s">
        <v>1</v>
      </c>
      <c r="B3" s="324"/>
      <c r="C3" s="324"/>
      <c r="D3" s="324"/>
      <c r="E3" s="324"/>
      <c r="F3" s="324"/>
      <c r="G3" s="324"/>
      <c r="H3" s="325"/>
      <c r="J3" s="317" t="s">
        <v>2</v>
      </c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4"/>
      <c r="V3" s="322" t="s">
        <v>3</v>
      </c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17"/>
      <c r="AN3" s="163" t="s">
        <v>316</v>
      </c>
      <c r="AO3" s="164" t="s">
        <v>317</v>
      </c>
      <c r="AP3" s="164"/>
      <c r="AQ3" s="165"/>
      <c r="AR3" s="165"/>
      <c r="AS3" s="165"/>
      <c r="AU3" s="166" t="s">
        <v>318</v>
      </c>
      <c r="BB3" s="172"/>
      <c r="BC3" s="172" t="s">
        <v>379</v>
      </c>
      <c r="BD3" s="172"/>
      <c r="BE3" s="172"/>
      <c r="BI3" s="173" t="s">
        <v>318</v>
      </c>
      <c r="BJ3" s="173"/>
      <c r="BK3" s="173"/>
      <c r="BL3" s="173"/>
      <c r="BM3" s="174"/>
      <c r="BN3" s="173"/>
      <c r="BP3" s="81" t="s">
        <v>433</v>
      </c>
      <c r="BQ3" s="81" t="s">
        <v>379</v>
      </c>
      <c r="CN3" s="81" t="s">
        <v>321</v>
      </c>
      <c r="CO3" s="254">
        <f>AY4</f>
        <v>0.12965359705342303</v>
      </c>
      <c r="CP3" s="254">
        <f>BM4</f>
        <v>0.16</v>
      </c>
      <c r="CQ3" s="254">
        <f>CB6</f>
        <v>0.19</v>
      </c>
      <c r="DB3" s="260" t="s">
        <v>466</v>
      </c>
    </row>
    <row r="4" spans="1:110" ht="15.75" customHeight="1" thickTop="1" thickBot="1" x14ac:dyDescent="0.3">
      <c r="A4" s="182" t="s">
        <v>6</v>
      </c>
      <c r="B4" s="183">
        <f>'Tabula data'!B5</f>
        <v>462.8</v>
      </c>
      <c r="C4" s="183" t="s">
        <v>7</v>
      </c>
      <c r="D4" s="182" t="s">
        <v>8</v>
      </c>
      <c r="E4" s="183"/>
      <c r="F4" s="183"/>
      <c r="G4" s="184">
        <f>SUM(H6:H13)</f>
        <v>24.4</v>
      </c>
      <c r="H4" s="185" t="s">
        <v>9</v>
      </c>
      <c r="K4" s="326" t="s">
        <v>2</v>
      </c>
      <c r="L4" s="327"/>
      <c r="M4" s="327"/>
      <c r="N4" s="327"/>
      <c r="O4" s="328"/>
      <c r="W4" s="226"/>
      <c r="X4" s="226"/>
      <c r="Y4" s="227" t="s">
        <v>4</v>
      </c>
      <c r="Z4" s="227">
        <v>0.85</v>
      </c>
      <c r="AA4" s="227" t="s">
        <v>5</v>
      </c>
      <c r="AB4" s="226"/>
      <c r="AC4" s="226"/>
      <c r="AD4" s="226"/>
      <c r="AL4" s="159" t="s">
        <v>319</v>
      </c>
      <c r="AM4" s="81" t="s">
        <v>320</v>
      </c>
      <c r="AN4" s="81" t="s">
        <v>321</v>
      </c>
      <c r="AO4" s="81">
        <f>SUM(N6:N9)/SUM($N$6:$N$14,$N$26:$N$27)</f>
        <v>0.12965359705342303</v>
      </c>
      <c r="AP4" s="81" t="s">
        <v>322</v>
      </c>
      <c r="AQ4" s="167">
        <v>0.1641929</v>
      </c>
      <c r="AU4" s="168" t="s">
        <v>319</v>
      </c>
      <c r="AV4" s="168" t="s">
        <v>320</v>
      </c>
      <c r="AW4" s="168" t="s">
        <v>321</v>
      </c>
      <c r="AX4" s="169" t="s">
        <v>323</v>
      </c>
      <c r="AY4" s="162">
        <f>AO4</f>
        <v>0.12965359705342303</v>
      </c>
      <c r="AZ4" s="168" t="s">
        <v>322</v>
      </c>
      <c r="BB4" s="81" t="s">
        <v>380</v>
      </c>
      <c r="BI4" s="175" t="s">
        <v>319</v>
      </c>
      <c r="BJ4" s="175" t="s">
        <v>320</v>
      </c>
      <c r="BK4" s="175" t="s">
        <v>321</v>
      </c>
      <c r="BL4" s="175" t="s">
        <v>323</v>
      </c>
      <c r="BM4" s="174">
        <f>BC11</f>
        <v>0.16</v>
      </c>
      <c r="BN4" s="175" t="s">
        <v>322</v>
      </c>
      <c r="BP4" s="81" t="s">
        <v>380</v>
      </c>
      <c r="CN4" s="81" t="s">
        <v>324</v>
      </c>
      <c r="CO4" s="254">
        <f t="shared" ref="CO4:CO49" si="0">AY5</f>
        <v>0.29001769242693176</v>
      </c>
      <c r="CP4" s="254">
        <f t="shared" ref="CP4:CP49" si="1">BM5</f>
        <v>0.318</v>
      </c>
      <c r="CQ4" s="254">
        <f t="shared" ref="CQ4:CQ49" si="2">CB7</f>
        <v>0.38</v>
      </c>
      <c r="CT4" s="258" t="s">
        <v>442</v>
      </c>
      <c r="CU4" s="258" t="s">
        <v>433</v>
      </c>
      <c r="CV4" s="258" t="s">
        <v>443</v>
      </c>
    </row>
    <row r="5" spans="1:110" ht="15" customHeight="1" thickTop="1" thickBot="1" x14ac:dyDescent="0.3">
      <c r="A5" s="186"/>
      <c r="B5" s="187"/>
      <c r="C5" s="187"/>
      <c r="D5" s="188"/>
      <c r="E5" s="189"/>
      <c r="F5" s="189"/>
      <c r="G5" s="189"/>
      <c r="H5" s="190"/>
      <c r="J5" s="81" t="s">
        <v>10</v>
      </c>
      <c r="K5" s="211" t="s">
        <v>11</v>
      </c>
      <c r="L5" s="212" t="s">
        <v>12</v>
      </c>
      <c r="M5" s="212" t="s">
        <v>13</v>
      </c>
      <c r="N5" s="212" t="s">
        <v>14</v>
      </c>
      <c r="O5" s="213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228" t="s">
        <v>20</v>
      </c>
      <c r="X5" s="229"/>
      <c r="Y5" s="230" t="s">
        <v>21</v>
      </c>
      <c r="Z5" s="231">
        <f>1/(1/10+SUM(AC9:AC12)+1/23)</f>
        <v>0.1523066735339563</v>
      </c>
      <c r="AA5" s="229" t="s">
        <v>5</v>
      </c>
      <c r="AB5" s="229"/>
      <c r="AC5" s="229" t="s">
        <v>22</v>
      </c>
      <c r="AD5" s="232">
        <f>SUM(AD7:AD10)</f>
        <v>67536</v>
      </c>
      <c r="AE5" s="14" t="s">
        <v>23</v>
      </c>
      <c r="AF5" s="14">
        <f>AD10</f>
        <v>16380</v>
      </c>
      <c r="AG5" s="14"/>
      <c r="AL5" s="159" t="s">
        <v>319</v>
      </c>
      <c r="AM5" s="81" t="s">
        <v>320</v>
      </c>
      <c r="AN5" s="81" t="s">
        <v>324</v>
      </c>
      <c r="AO5" s="81">
        <f>SUM(N27)/SUM($N$6:$N$14,$N$26:$N$27)</f>
        <v>0.29001769242693176</v>
      </c>
      <c r="AP5" s="81" t="s">
        <v>322</v>
      </c>
      <c r="AQ5" s="167">
        <v>0.42146270000000002</v>
      </c>
      <c r="AU5" s="168" t="s">
        <v>319</v>
      </c>
      <c r="AV5" s="168" t="s">
        <v>320</v>
      </c>
      <c r="AW5" s="168" t="s">
        <v>324</v>
      </c>
      <c r="AX5" s="169" t="s">
        <v>323</v>
      </c>
      <c r="AY5" s="162">
        <f t="shared" ref="AY5:AY7" si="3">AO5</f>
        <v>0.29001769242693176</v>
      </c>
      <c r="AZ5" s="168" t="s">
        <v>322</v>
      </c>
      <c r="BB5" s="81" t="s">
        <v>381</v>
      </c>
      <c r="BC5" s="81" t="s">
        <v>382</v>
      </c>
      <c r="BD5" s="81" t="s">
        <v>383</v>
      </c>
      <c r="BE5" s="81" t="s">
        <v>384</v>
      </c>
      <c r="BF5" s="81" t="s">
        <v>385</v>
      </c>
      <c r="BI5" s="175" t="s">
        <v>319</v>
      </c>
      <c r="BJ5" s="175" t="s">
        <v>320</v>
      </c>
      <c r="BK5" s="175" t="s">
        <v>324</v>
      </c>
      <c r="BL5" s="175" t="s">
        <v>323</v>
      </c>
      <c r="BM5" s="174">
        <f>BC12</f>
        <v>0.318</v>
      </c>
      <c r="BN5" s="175" t="s">
        <v>322</v>
      </c>
      <c r="BP5" s="81" t="s">
        <v>381</v>
      </c>
      <c r="BQ5" s="81" t="s">
        <v>382</v>
      </c>
      <c r="BR5" s="81" t="s">
        <v>383</v>
      </c>
      <c r="BS5" s="81" t="s">
        <v>384</v>
      </c>
      <c r="BT5" s="81" t="s">
        <v>385</v>
      </c>
      <c r="BU5" s="81" t="s">
        <v>386</v>
      </c>
      <c r="BX5" s="176" t="s">
        <v>318</v>
      </c>
      <c r="BY5" s="176"/>
      <c r="BZ5" s="176"/>
      <c r="CA5" s="176"/>
      <c r="CB5" s="177"/>
      <c r="CC5" s="176"/>
      <c r="CN5" s="81" t="s">
        <v>325</v>
      </c>
      <c r="CO5" s="254">
        <f t="shared" si="0"/>
        <v>5.1982454246253092E-2</v>
      </c>
      <c r="CP5" s="254">
        <f t="shared" si="1"/>
        <v>0.26200000000000001</v>
      </c>
      <c r="CQ5" s="254">
        <f t="shared" si="2"/>
        <v>5.0500000000000003E-2</v>
      </c>
      <c r="CT5" s="258" t="s">
        <v>442</v>
      </c>
      <c r="CU5" s="258" t="s">
        <v>380</v>
      </c>
      <c r="DB5" s="260" t="s">
        <v>467</v>
      </c>
      <c r="DC5" s="261" t="s">
        <v>468</v>
      </c>
      <c r="DD5" s="261" t="s">
        <v>323</v>
      </c>
      <c r="DE5" s="262">
        <f>CV12</f>
        <v>0.94499999999999995</v>
      </c>
      <c r="DF5" s="260" t="s">
        <v>322</v>
      </c>
    </row>
    <row r="6" spans="1:110" ht="15" customHeight="1" thickTop="1" thickBot="1" x14ac:dyDescent="0.3">
      <c r="A6" s="191" t="s">
        <v>34</v>
      </c>
      <c r="B6" s="192">
        <f>'Tabula data'!B4</f>
        <v>168.3</v>
      </c>
      <c r="C6" s="193" t="s">
        <v>9</v>
      </c>
      <c r="D6" s="194" t="s">
        <v>35</v>
      </c>
      <c r="E6" s="189" t="s">
        <v>36</v>
      </c>
      <c r="F6" s="195">
        <f t="shared" ref="F6:F13" si="4">H6/$G$4</f>
        <v>0.11680327868852459</v>
      </c>
      <c r="G6" s="189"/>
      <c r="H6" s="196">
        <f>'Tabula data'!B21*'Tabula Ref2'!C45</f>
        <v>2.85</v>
      </c>
      <c r="J6" s="81" t="s">
        <v>24</v>
      </c>
      <c r="K6" s="214">
        <v>0</v>
      </c>
      <c r="L6" s="215">
        <v>1</v>
      </c>
      <c r="M6" s="215" t="s">
        <v>25</v>
      </c>
      <c r="N6" s="216">
        <f>'Tabula data'!B10*C42/2*C43</f>
        <v>15.214497920380273</v>
      </c>
      <c r="O6" s="217" t="s">
        <v>26</v>
      </c>
      <c r="P6" s="30">
        <f t="shared" ref="P6:P27" si="5">VLOOKUP(M6,$W$5:$Z$391,4,0)</f>
        <v>0.19316281128097962</v>
      </c>
      <c r="Q6" s="30">
        <f t="shared" ref="Q6:Q27" si="6">P6*N6</f>
        <v>2.9388751905292714</v>
      </c>
      <c r="R6" s="30">
        <f t="shared" ref="R6:R14" si="7">VLOOKUP(M6,$W$5:$AD$391,8,0)*N6</f>
        <v>5158718.9518716577</v>
      </c>
      <c r="S6" s="30">
        <f t="shared" ref="S6:S14" si="8">R6/N6</f>
        <v>339066</v>
      </c>
      <c r="T6" s="30">
        <f t="shared" ref="T6:T14" si="9">VLOOKUP(M6,$W$5:$AF$391,10,0)*N6</f>
        <v>2754128.4135472374</v>
      </c>
      <c r="U6" s="31"/>
      <c r="V6" s="153"/>
      <c r="W6" s="233"/>
      <c r="X6" s="234" t="s">
        <v>27</v>
      </c>
      <c r="Y6" s="234" t="s">
        <v>28</v>
      </c>
      <c r="Z6" s="234" t="s">
        <v>29</v>
      </c>
      <c r="AA6" s="234" t="s">
        <v>30</v>
      </c>
      <c r="AB6" s="234" t="s">
        <v>31</v>
      </c>
      <c r="AC6" s="234" t="s">
        <v>32</v>
      </c>
      <c r="AD6" s="235" t="s">
        <v>33</v>
      </c>
      <c r="AE6" s="14"/>
      <c r="AF6" s="14"/>
      <c r="AG6" s="14"/>
      <c r="AL6" s="159" t="s">
        <v>319</v>
      </c>
      <c r="AM6" s="81" t="s">
        <v>320</v>
      </c>
      <c r="AN6" s="81" t="s">
        <v>325</v>
      </c>
      <c r="AO6" s="81">
        <f>SUM(N10:N13)/SUM($N$6:$N$14,$N$26:$N$27)</f>
        <v>5.1982454246253092E-2</v>
      </c>
      <c r="AP6" s="81" t="s">
        <v>322</v>
      </c>
      <c r="AQ6" s="167">
        <v>0.13510150000000001</v>
      </c>
      <c r="AU6" s="168" t="s">
        <v>319</v>
      </c>
      <c r="AV6" s="168" t="s">
        <v>320</v>
      </c>
      <c r="AW6" s="168" t="s">
        <v>325</v>
      </c>
      <c r="AX6" s="169" t="s">
        <v>323</v>
      </c>
      <c r="AY6" s="162">
        <f t="shared" si="3"/>
        <v>5.1982454246253092E-2</v>
      </c>
      <c r="AZ6" s="168" t="s">
        <v>322</v>
      </c>
      <c r="BB6" s="81" t="s">
        <v>387</v>
      </c>
      <c r="BC6" s="167">
        <v>299</v>
      </c>
      <c r="BD6" s="167">
        <v>9.6299999999999997E-2</v>
      </c>
      <c r="BE6" s="81">
        <v>3101.23</v>
      </c>
      <c r="BF6" s="81" t="s">
        <v>388</v>
      </c>
      <c r="BI6" s="175" t="s">
        <v>319</v>
      </c>
      <c r="BJ6" s="175" t="s">
        <v>320</v>
      </c>
      <c r="BK6" s="175" t="s">
        <v>325</v>
      </c>
      <c r="BL6" s="175" t="s">
        <v>323</v>
      </c>
      <c r="BM6" s="174">
        <f>BC13</f>
        <v>0.26200000000000001</v>
      </c>
      <c r="BN6" s="175" t="s">
        <v>322</v>
      </c>
      <c r="BP6" s="81" t="s">
        <v>387</v>
      </c>
      <c r="BQ6" s="167">
        <v>291</v>
      </c>
      <c r="BR6" s="167">
        <v>0.14199999999999999</v>
      </c>
      <c r="BS6" s="81">
        <v>2053.1799999999998</v>
      </c>
      <c r="BT6" s="81" t="s">
        <v>422</v>
      </c>
      <c r="BU6" s="167">
        <v>2E-16</v>
      </c>
      <c r="BV6" s="81" t="s">
        <v>389</v>
      </c>
      <c r="BX6" s="178" t="s">
        <v>319</v>
      </c>
      <c r="BY6" s="178" t="s">
        <v>320</v>
      </c>
      <c r="BZ6" s="178" t="s">
        <v>321</v>
      </c>
      <c r="CA6" s="178" t="s">
        <v>323</v>
      </c>
      <c r="CB6" s="177">
        <f>BQ11</f>
        <v>0.19</v>
      </c>
      <c r="CC6" s="178" t="s">
        <v>322</v>
      </c>
      <c r="CN6" s="81" t="s">
        <v>326</v>
      </c>
      <c r="CO6" s="254">
        <f t="shared" si="0"/>
        <v>0.26417312813669608</v>
      </c>
      <c r="CP6" s="254">
        <f t="shared" si="1"/>
        <v>0.156</v>
      </c>
      <c r="CQ6" s="254">
        <f t="shared" si="2"/>
        <v>0.20300000000000001</v>
      </c>
      <c r="CT6" s="258" t="s">
        <v>442</v>
      </c>
      <c r="CU6" s="258" t="s">
        <v>381</v>
      </c>
      <c r="CV6" s="258" t="s">
        <v>382</v>
      </c>
      <c r="CW6" s="258" t="s">
        <v>383</v>
      </c>
      <c r="CX6" s="258" t="s">
        <v>384</v>
      </c>
      <c r="CY6" s="258" t="s">
        <v>385</v>
      </c>
      <c r="CZ6" s="81" t="s">
        <v>386</v>
      </c>
      <c r="DB6" s="260" t="s">
        <v>467</v>
      </c>
      <c r="DC6" s="261" t="s">
        <v>469</v>
      </c>
      <c r="DD6" s="261" t="s">
        <v>323</v>
      </c>
      <c r="DE6" s="262">
        <f t="shared" ref="DE6:DE24" si="10">CV13</f>
        <v>0.79800000000000004</v>
      </c>
      <c r="DF6" s="260" t="s">
        <v>322</v>
      </c>
    </row>
    <row r="7" spans="1:110" ht="15" customHeight="1" thickTop="1" thickBot="1" x14ac:dyDescent="0.3">
      <c r="A7" s="194" t="s">
        <v>42</v>
      </c>
      <c r="B7" s="197">
        <f>'Tabula data'!B14</f>
        <v>62</v>
      </c>
      <c r="C7" s="198" t="s">
        <v>9</v>
      </c>
      <c r="D7" s="194" t="s">
        <v>43</v>
      </c>
      <c r="E7" s="189" t="s">
        <v>36</v>
      </c>
      <c r="F7" s="195">
        <f t="shared" si="4"/>
        <v>0.12909836065573771</v>
      </c>
      <c r="G7" s="189"/>
      <c r="H7" s="196">
        <f>'Tabula data'!B22*'Tabula Ref2'!C45</f>
        <v>3.15</v>
      </c>
      <c r="J7" s="81" t="s">
        <v>38</v>
      </c>
      <c r="K7" s="218">
        <v>0</v>
      </c>
      <c r="L7" s="219">
        <v>1</v>
      </c>
      <c r="M7" s="219" t="s">
        <v>25</v>
      </c>
      <c r="N7" s="220">
        <f>'Tabula data'!B10*(1-C42)/2*C44</f>
        <v>0</v>
      </c>
      <c r="O7" s="221" t="s">
        <v>39</v>
      </c>
      <c r="P7" s="30">
        <f t="shared" si="5"/>
        <v>0.19316281128097962</v>
      </c>
      <c r="Q7" s="30">
        <f t="shared" si="6"/>
        <v>0</v>
      </c>
      <c r="R7" s="30">
        <f t="shared" si="7"/>
        <v>0</v>
      </c>
      <c r="S7" s="30" t="e">
        <f t="shared" si="8"/>
        <v>#DIV/0!</v>
      </c>
      <c r="T7" s="30">
        <f t="shared" si="9"/>
        <v>0</v>
      </c>
      <c r="U7" s="31"/>
      <c r="V7" s="153"/>
      <c r="W7" s="188"/>
      <c r="X7" s="189" t="s">
        <v>40</v>
      </c>
      <c r="Y7" s="189">
        <v>2.5000000000000001E-2</v>
      </c>
      <c r="Z7" s="189">
        <v>1.3</v>
      </c>
      <c r="AA7" s="189">
        <v>1700</v>
      </c>
      <c r="AB7" s="189">
        <v>840</v>
      </c>
      <c r="AC7" s="236">
        <f>Y7/Z7</f>
        <v>1.9230769230769232E-2</v>
      </c>
      <c r="AD7" s="190">
        <f>Y7*AA7*AB7</f>
        <v>35700</v>
      </c>
      <c r="AE7" s="14" t="s">
        <v>41</v>
      </c>
      <c r="AF7" s="14"/>
      <c r="AG7" s="14"/>
      <c r="AL7" s="159" t="s">
        <v>319</v>
      </c>
      <c r="AM7" s="81" t="s">
        <v>320</v>
      </c>
      <c r="AN7" s="81" t="s">
        <v>326</v>
      </c>
      <c r="AO7" s="81">
        <f>SUM(N14)/SUM(N6:N14,N27,N26)</f>
        <v>0.26417312813669608</v>
      </c>
      <c r="AP7" s="81" t="s">
        <v>322</v>
      </c>
      <c r="AQ7" s="167">
        <v>0.161666</v>
      </c>
      <c r="AU7" s="168" t="s">
        <v>319</v>
      </c>
      <c r="AV7" s="168" t="s">
        <v>320</v>
      </c>
      <c r="AW7" s="168" t="s">
        <v>326</v>
      </c>
      <c r="AX7" s="169" t="s">
        <v>323</v>
      </c>
      <c r="AY7" s="162">
        <f t="shared" si="3"/>
        <v>0.26417312813669608</v>
      </c>
      <c r="AZ7" s="168" t="s">
        <v>322</v>
      </c>
      <c r="BB7" s="81" t="s">
        <v>390</v>
      </c>
      <c r="BC7" s="167">
        <v>295</v>
      </c>
      <c r="BD7" s="167">
        <v>4.9200000000000001E-2</v>
      </c>
      <c r="BE7" s="81">
        <v>5996.7</v>
      </c>
      <c r="BF7" s="81" t="s">
        <v>388</v>
      </c>
      <c r="BI7" s="175" t="s">
        <v>319</v>
      </c>
      <c r="BJ7" s="175" t="s">
        <v>320</v>
      </c>
      <c r="BK7" s="175" t="s">
        <v>326</v>
      </c>
      <c r="BL7" s="175" t="s">
        <v>323</v>
      </c>
      <c r="BM7" s="174">
        <f>BC14</f>
        <v>0.156</v>
      </c>
      <c r="BN7" s="175" t="s">
        <v>322</v>
      </c>
      <c r="BP7" s="81" t="s">
        <v>390</v>
      </c>
      <c r="BQ7" s="167">
        <v>289</v>
      </c>
      <c r="BR7" s="167">
        <v>0.112</v>
      </c>
      <c r="BS7" s="81">
        <v>2573.84</v>
      </c>
      <c r="BT7" s="81" t="s">
        <v>422</v>
      </c>
      <c r="BU7" s="167">
        <v>2E-16</v>
      </c>
      <c r="BV7" s="81" t="s">
        <v>389</v>
      </c>
      <c r="BX7" s="178" t="s">
        <v>319</v>
      </c>
      <c r="BY7" s="178" t="s">
        <v>320</v>
      </c>
      <c r="BZ7" s="178" t="s">
        <v>324</v>
      </c>
      <c r="CA7" s="178" t="s">
        <v>323</v>
      </c>
      <c r="CB7" s="177">
        <f t="shared" ref="CB7:CB9" si="11">BQ12</f>
        <v>0.38</v>
      </c>
      <c r="CC7" s="178" t="s">
        <v>322</v>
      </c>
      <c r="CO7" s="255"/>
      <c r="CP7" s="255"/>
      <c r="CQ7" s="255"/>
      <c r="CT7" s="258" t="s">
        <v>442</v>
      </c>
      <c r="CU7" s="258" t="s">
        <v>387</v>
      </c>
      <c r="CV7" s="259">
        <v>291</v>
      </c>
      <c r="CW7" s="259">
        <v>0.13900000000000001</v>
      </c>
      <c r="CX7" s="258">
        <v>2093.4699999999998</v>
      </c>
      <c r="CY7" s="258" t="s">
        <v>422</v>
      </c>
      <c r="CZ7" s="167">
        <v>2E-16</v>
      </c>
      <c r="DA7" s="81" t="s">
        <v>389</v>
      </c>
      <c r="DB7" s="260" t="s">
        <v>467</v>
      </c>
      <c r="DC7" s="263" t="s">
        <v>470</v>
      </c>
      <c r="DD7" s="261" t="s">
        <v>323</v>
      </c>
      <c r="DE7" s="262">
        <f t="shared" si="10"/>
        <v>1.04</v>
      </c>
      <c r="DF7" s="260" t="s">
        <v>322</v>
      </c>
    </row>
    <row r="8" spans="1:110" ht="15" customHeight="1" thickTop="1" thickBot="1" x14ac:dyDescent="0.3">
      <c r="A8" s="194" t="s">
        <v>47</v>
      </c>
      <c r="B8" s="197">
        <f>B6-B7</f>
        <v>106.30000000000001</v>
      </c>
      <c r="C8" s="189" t="s">
        <v>9</v>
      </c>
      <c r="D8" s="194" t="s">
        <v>48</v>
      </c>
      <c r="E8" s="189" t="s">
        <v>36</v>
      </c>
      <c r="F8" s="195">
        <f t="shared" si="4"/>
        <v>0.1209016393442623</v>
      </c>
      <c r="G8" s="189"/>
      <c r="H8" s="196">
        <f>'Tabula data'!B23*C45</f>
        <v>2.95</v>
      </c>
      <c r="J8" s="81" t="s">
        <v>44</v>
      </c>
      <c r="K8" s="218">
        <v>0</v>
      </c>
      <c r="L8" s="219">
        <v>1</v>
      </c>
      <c r="M8" s="219" t="s">
        <v>25</v>
      </c>
      <c r="N8" s="220">
        <f>N6</f>
        <v>15.214497920380273</v>
      </c>
      <c r="O8" s="221" t="s">
        <v>45</v>
      </c>
      <c r="P8" s="30">
        <f t="shared" si="5"/>
        <v>0.19316281128097962</v>
      </c>
      <c r="Q8" s="30">
        <f t="shared" si="6"/>
        <v>2.9388751905292714</v>
      </c>
      <c r="R8" s="30">
        <f t="shared" si="7"/>
        <v>5158718.9518716577</v>
      </c>
      <c r="S8" s="30">
        <f t="shared" si="8"/>
        <v>339066</v>
      </c>
      <c r="T8" s="30">
        <f t="shared" si="9"/>
        <v>2754128.4135472374</v>
      </c>
      <c r="U8" s="31"/>
      <c r="V8" s="153"/>
      <c r="W8" s="188"/>
      <c r="X8" s="189" t="s">
        <v>46</v>
      </c>
      <c r="Y8" s="189">
        <v>0.03</v>
      </c>
      <c r="Z8" s="189">
        <f>0.18/Y8</f>
        <v>6</v>
      </c>
      <c r="AA8" s="189">
        <v>0</v>
      </c>
      <c r="AB8" s="189">
        <v>0</v>
      </c>
      <c r="AC8" s="236">
        <v>0.18</v>
      </c>
      <c r="AD8" s="190">
        <f>Y8*AA8*AB8</f>
        <v>0</v>
      </c>
      <c r="AE8" s="14"/>
      <c r="AF8" s="14"/>
      <c r="AG8" s="14"/>
      <c r="AP8" s="81" t="s">
        <v>322</v>
      </c>
      <c r="AQ8" s="167"/>
      <c r="AU8" s="168"/>
      <c r="AV8" s="168"/>
      <c r="AW8" s="168"/>
      <c r="AX8" s="169"/>
      <c r="AZ8" s="168"/>
      <c r="BB8" s="81" t="s">
        <v>391</v>
      </c>
      <c r="BC8" s="167">
        <v>299</v>
      </c>
      <c r="BD8" s="167">
        <v>2.6599999999999999E-2</v>
      </c>
      <c r="BE8" s="81">
        <v>11253.68</v>
      </c>
      <c r="BF8" s="81" t="s">
        <v>388</v>
      </c>
      <c r="BI8" s="175"/>
      <c r="BJ8" s="175"/>
      <c r="BK8" s="175"/>
      <c r="BL8" s="175"/>
      <c r="BM8" s="174"/>
      <c r="BN8" s="175"/>
      <c r="BP8" s="81" t="s">
        <v>391</v>
      </c>
      <c r="BQ8" s="167">
        <v>295</v>
      </c>
      <c r="BR8" s="167">
        <v>5.5100000000000003E-2</v>
      </c>
      <c r="BS8" s="81">
        <v>5345.13</v>
      </c>
      <c r="BT8" s="81" t="s">
        <v>422</v>
      </c>
      <c r="BU8" s="167">
        <v>2E-16</v>
      </c>
      <c r="BV8" s="81" t="s">
        <v>389</v>
      </c>
      <c r="BX8" s="178" t="s">
        <v>319</v>
      </c>
      <c r="BY8" s="178" t="s">
        <v>320</v>
      </c>
      <c r="BZ8" s="178" t="s">
        <v>325</v>
      </c>
      <c r="CA8" s="178" t="s">
        <v>323</v>
      </c>
      <c r="CB8" s="177">
        <f t="shared" si="11"/>
        <v>5.0500000000000003E-2</v>
      </c>
      <c r="CC8" s="178" t="s">
        <v>322</v>
      </c>
      <c r="CN8" s="81" t="s">
        <v>327</v>
      </c>
      <c r="CO8" s="256">
        <f t="shared" si="0"/>
        <v>897190.73464052298</v>
      </c>
      <c r="CP8" s="256">
        <f t="shared" si="1"/>
        <v>2950000</v>
      </c>
      <c r="CQ8" s="256">
        <f t="shared" si="2"/>
        <v>3560000</v>
      </c>
      <c r="CT8" s="258" t="s">
        <v>442</v>
      </c>
      <c r="CU8" s="258" t="s">
        <v>390</v>
      </c>
      <c r="CV8" s="259">
        <v>289</v>
      </c>
      <c r="CW8" s="259">
        <v>0.107</v>
      </c>
      <c r="CX8" s="258">
        <v>2703.03</v>
      </c>
      <c r="CY8" s="258" t="s">
        <v>422</v>
      </c>
      <c r="CZ8" s="167">
        <v>2E-16</v>
      </c>
      <c r="DA8" s="81" t="s">
        <v>389</v>
      </c>
      <c r="DB8" s="260" t="s">
        <v>467</v>
      </c>
      <c r="DC8" s="264" t="s">
        <v>471</v>
      </c>
      <c r="DD8" s="261" t="s">
        <v>323</v>
      </c>
      <c r="DE8" s="262">
        <f t="shared" si="10"/>
        <v>0.82699999999999996</v>
      </c>
      <c r="DF8" s="260" t="s">
        <v>322</v>
      </c>
    </row>
    <row r="9" spans="1:110" ht="15" customHeight="1" thickTop="1" thickBot="1" x14ac:dyDescent="0.3">
      <c r="A9" s="188"/>
      <c r="B9" s="189"/>
      <c r="C9" s="189"/>
      <c r="D9" s="194" t="s">
        <v>52</v>
      </c>
      <c r="E9" s="199" t="s">
        <v>36</v>
      </c>
      <c r="F9" s="195">
        <f t="shared" si="4"/>
        <v>0.13319672131147542</v>
      </c>
      <c r="G9" s="189"/>
      <c r="H9" s="196">
        <f>'Tabula data'!B24*'Tabula Ref2'!C45</f>
        <v>3.25</v>
      </c>
      <c r="J9" s="81" t="s">
        <v>49</v>
      </c>
      <c r="K9" s="218">
        <v>0</v>
      </c>
      <c r="L9" s="219">
        <v>1</v>
      </c>
      <c r="M9" s="219" t="s">
        <v>25</v>
      </c>
      <c r="N9" s="220">
        <f>'Tabula data'!B10*(1-C42)/2*C44</f>
        <v>0</v>
      </c>
      <c r="O9" s="221" t="s">
        <v>50</v>
      </c>
      <c r="P9" s="30">
        <f t="shared" si="5"/>
        <v>0.19316281128097962</v>
      </c>
      <c r="Q9" s="30">
        <f t="shared" si="6"/>
        <v>0</v>
      </c>
      <c r="R9" s="30">
        <f t="shared" si="7"/>
        <v>0</v>
      </c>
      <c r="S9" s="30" t="e">
        <f t="shared" si="8"/>
        <v>#DIV/0!</v>
      </c>
      <c r="T9" s="30">
        <f t="shared" si="9"/>
        <v>0</v>
      </c>
      <c r="U9" s="31"/>
      <c r="V9" s="153"/>
      <c r="W9" s="188"/>
      <c r="X9" s="199" t="s">
        <v>51</v>
      </c>
      <c r="Y9" s="286">
        <v>0.23</v>
      </c>
      <c r="Z9" s="286">
        <v>3.5999999999999997E-2</v>
      </c>
      <c r="AA9" s="189">
        <v>80</v>
      </c>
      <c r="AB9" s="189">
        <v>840</v>
      </c>
      <c r="AC9" s="236">
        <f>Y9/Z9</f>
        <v>6.3888888888888893</v>
      </c>
      <c r="AD9" s="190">
        <f>Y9*AA9*AB9</f>
        <v>15456.000000000002</v>
      </c>
      <c r="AE9" s="149" t="s">
        <v>270</v>
      </c>
      <c r="AF9" s="14"/>
      <c r="AG9" s="14"/>
      <c r="AL9" s="159" t="s">
        <v>319</v>
      </c>
      <c r="AM9" s="81" t="s">
        <v>320</v>
      </c>
      <c r="AN9" s="81" t="s">
        <v>327</v>
      </c>
      <c r="AO9" s="167">
        <f>B34*1.04*1012*5</f>
        <v>897190.73464052298</v>
      </c>
      <c r="AP9" s="81" t="s">
        <v>322</v>
      </c>
      <c r="AQ9" s="167">
        <v>2745646</v>
      </c>
      <c r="AU9" s="168" t="s">
        <v>319</v>
      </c>
      <c r="AV9" s="168" t="s">
        <v>320</v>
      </c>
      <c r="AW9" s="168" t="s">
        <v>327</v>
      </c>
      <c r="AX9" s="169" t="s">
        <v>323</v>
      </c>
      <c r="AY9" s="162">
        <f>AO9</f>
        <v>897190.73464052298</v>
      </c>
      <c r="AZ9" s="168" t="s">
        <v>322</v>
      </c>
      <c r="BB9" s="81" t="s">
        <v>392</v>
      </c>
      <c r="BC9" s="167">
        <v>297</v>
      </c>
      <c r="BD9" s="167">
        <v>9.3200000000000005E-2</v>
      </c>
      <c r="BE9" s="81">
        <v>3182.59</v>
      </c>
      <c r="BF9" s="81" t="s">
        <v>388</v>
      </c>
      <c r="BI9" s="175" t="s">
        <v>319</v>
      </c>
      <c r="BJ9" s="175" t="s">
        <v>320</v>
      </c>
      <c r="BK9" s="175" t="s">
        <v>327</v>
      </c>
      <c r="BL9" s="175" t="s">
        <v>323</v>
      </c>
      <c r="BM9" s="174">
        <f>BC19</f>
        <v>2950000</v>
      </c>
      <c r="BN9" s="175" t="s">
        <v>322</v>
      </c>
      <c r="BP9" s="81" t="s">
        <v>392</v>
      </c>
      <c r="BQ9" s="167">
        <v>290</v>
      </c>
      <c r="BR9" s="167">
        <v>0.124</v>
      </c>
      <c r="BS9" s="81">
        <v>2333.5300000000002</v>
      </c>
      <c r="BT9" s="81" t="s">
        <v>422</v>
      </c>
      <c r="BU9" s="167">
        <v>2E-16</v>
      </c>
      <c r="BV9" s="81" t="s">
        <v>389</v>
      </c>
      <c r="BX9" s="178" t="s">
        <v>319</v>
      </c>
      <c r="BY9" s="178" t="s">
        <v>320</v>
      </c>
      <c r="BZ9" s="178" t="s">
        <v>326</v>
      </c>
      <c r="CA9" s="178" t="s">
        <v>323</v>
      </c>
      <c r="CB9" s="177">
        <f t="shared" si="11"/>
        <v>0.20300000000000001</v>
      </c>
      <c r="CC9" s="178" t="s">
        <v>322</v>
      </c>
      <c r="CN9" s="81" t="s">
        <v>328</v>
      </c>
      <c r="CO9" s="256">
        <f t="shared" si="0"/>
        <v>5508256.8270944748</v>
      </c>
      <c r="CP9" s="256">
        <f t="shared" si="1"/>
        <v>23100000</v>
      </c>
      <c r="CQ9" s="256">
        <f t="shared" si="2"/>
        <v>32200000</v>
      </c>
      <c r="CT9" s="258" t="s">
        <v>442</v>
      </c>
      <c r="CU9" s="258" t="s">
        <v>391</v>
      </c>
      <c r="CV9" s="259">
        <v>295</v>
      </c>
      <c r="CW9" s="259">
        <v>5.5599999999999997E-2</v>
      </c>
      <c r="CX9" s="258">
        <v>5294.33</v>
      </c>
      <c r="CY9" s="258" t="s">
        <v>422</v>
      </c>
      <c r="CZ9" s="167">
        <v>2E-16</v>
      </c>
      <c r="DA9" s="81" t="s">
        <v>389</v>
      </c>
      <c r="DB9" s="260" t="s">
        <v>467</v>
      </c>
      <c r="DC9" s="264" t="s">
        <v>472</v>
      </c>
      <c r="DD9" s="261" t="s">
        <v>323</v>
      </c>
      <c r="DE9" s="262">
        <f t="shared" si="10"/>
        <v>1.83</v>
      </c>
      <c r="DF9" s="260" t="s">
        <v>322</v>
      </c>
    </row>
    <row r="10" spans="1:110" ht="15" customHeight="1" thickTop="1" thickBot="1" x14ac:dyDescent="0.3">
      <c r="A10" s="188"/>
      <c r="B10" s="189"/>
      <c r="C10" s="189"/>
      <c r="D10" s="194" t="s">
        <v>35</v>
      </c>
      <c r="E10" s="199" t="s">
        <v>56</v>
      </c>
      <c r="F10" s="195">
        <f t="shared" si="4"/>
        <v>0.11680327868852459</v>
      </c>
      <c r="G10" s="189"/>
      <c r="H10" s="200">
        <f>'Tabula data'!B21*(1-C45)</f>
        <v>2.85</v>
      </c>
      <c r="J10" s="81" t="s">
        <v>53</v>
      </c>
      <c r="K10" s="218">
        <v>0</v>
      </c>
      <c r="L10" s="219">
        <v>1</v>
      </c>
      <c r="M10" s="219" t="s">
        <v>54</v>
      </c>
      <c r="N10" s="220">
        <f>H6</f>
        <v>2.85</v>
      </c>
      <c r="O10" s="221" t="s">
        <v>26</v>
      </c>
      <c r="P10" s="30">
        <f t="shared" si="5"/>
        <v>1.1000000000000001</v>
      </c>
      <c r="Q10" s="30">
        <f t="shared" si="6"/>
        <v>3.1350000000000002</v>
      </c>
      <c r="R10" s="30">
        <f t="shared" si="7"/>
        <v>0</v>
      </c>
      <c r="S10" s="30">
        <f t="shared" si="8"/>
        <v>0</v>
      </c>
      <c r="T10" s="30">
        <f t="shared" si="9"/>
        <v>0</v>
      </c>
      <c r="U10" s="31"/>
      <c r="V10" s="153"/>
      <c r="W10" s="205"/>
      <c r="X10" s="187" t="s">
        <v>58</v>
      </c>
      <c r="Y10" s="187">
        <v>0.02</v>
      </c>
      <c r="Z10" s="187">
        <v>0.6</v>
      </c>
      <c r="AA10" s="187">
        <v>975</v>
      </c>
      <c r="AB10" s="187">
        <v>840</v>
      </c>
      <c r="AC10" s="237">
        <f>Y10/Z10</f>
        <v>3.3333333333333333E-2</v>
      </c>
      <c r="AD10" s="210">
        <f>Y10*AA10*AB10</f>
        <v>16380</v>
      </c>
      <c r="AE10" s="14"/>
      <c r="AF10" s="14"/>
      <c r="AG10" s="14"/>
      <c r="AL10" s="159" t="s">
        <v>319</v>
      </c>
      <c r="AM10" s="81" t="s">
        <v>320</v>
      </c>
      <c r="AN10" s="81" t="s">
        <v>328</v>
      </c>
      <c r="AO10" s="167">
        <f>SUM(T6:T9)</f>
        <v>5508256.8270944748</v>
      </c>
      <c r="AP10" s="81" t="s">
        <v>322</v>
      </c>
      <c r="AQ10" s="167">
        <v>14395560</v>
      </c>
      <c r="AU10" s="168" t="s">
        <v>319</v>
      </c>
      <c r="AV10" s="168" t="s">
        <v>320</v>
      </c>
      <c r="AW10" s="168" t="s">
        <v>328</v>
      </c>
      <c r="AX10" s="169" t="s">
        <v>323</v>
      </c>
      <c r="AY10" s="162">
        <f t="shared" ref="AY10:AY12" si="12">AO10</f>
        <v>5508256.8270944748</v>
      </c>
      <c r="AZ10" s="168" t="s">
        <v>322</v>
      </c>
      <c r="BB10" s="81" t="s">
        <v>393</v>
      </c>
      <c r="BC10" s="167">
        <v>297</v>
      </c>
      <c r="BD10" s="167">
        <v>2.92E-2</v>
      </c>
      <c r="BE10" s="81">
        <v>10162.700000000001</v>
      </c>
      <c r="BF10" s="81" t="s">
        <v>388</v>
      </c>
      <c r="BI10" s="175" t="s">
        <v>319</v>
      </c>
      <c r="BJ10" s="175" t="s">
        <v>320</v>
      </c>
      <c r="BK10" s="175" t="s">
        <v>328</v>
      </c>
      <c r="BL10" s="175" t="s">
        <v>323</v>
      </c>
      <c r="BM10" s="174">
        <f>BC20</f>
        <v>23100000</v>
      </c>
      <c r="BN10" s="175" t="s">
        <v>322</v>
      </c>
      <c r="BP10" s="81" t="s">
        <v>393</v>
      </c>
      <c r="BQ10" s="167">
        <v>292</v>
      </c>
      <c r="BR10" s="167">
        <v>7.2499999999999995E-2</v>
      </c>
      <c r="BS10" s="81">
        <v>4026.39</v>
      </c>
      <c r="BT10" s="81" t="s">
        <v>422</v>
      </c>
      <c r="BU10" s="167">
        <v>2E-16</v>
      </c>
      <c r="BV10" s="81" t="s">
        <v>389</v>
      </c>
      <c r="BX10" s="178"/>
      <c r="BY10" s="178"/>
      <c r="BZ10" s="178"/>
      <c r="CA10" s="178"/>
      <c r="CB10" s="179"/>
      <c r="CC10" s="178"/>
      <c r="CN10" s="81" t="s">
        <v>329</v>
      </c>
      <c r="CO10" s="256">
        <f t="shared" si="0"/>
        <v>13436145.300282264</v>
      </c>
      <c r="CP10" s="256">
        <f t="shared" si="1"/>
        <v>30400000</v>
      </c>
      <c r="CQ10" s="256">
        <f t="shared" si="2"/>
        <v>25400000</v>
      </c>
      <c r="CT10" s="258" t="s">
        <v>442</v>
      </c>
      <c r="CU10" s="258" t="s">
        <v>392</v>
      </c>
      <c r="CV10" s="259">
        <v>290</v>
      </c>
      <c r="CW10" s="259">
        <v>9.0300000000000005E-2</v>
      </c>
      <c r="CX10" s="258">
        <v>3213.33</v>
      </c>
      <c r="CY10" s="258" t="s">
        <v>422</v>
      </c>
      <c r="CZ10" s="167">
        <v>2E-16</v>
      </c>
      <c r="DA10" s="81" t="s">
        <v>389</v>
      </c>
      <c r="DB10" s="260" t="s">
        <v>467</v>
      </c>
      <c r="DC10" s="264" t="s">
        <v>473</v>
      </c>
      <c r="DD10" s="261" t="s">
        <v>323</v>
      </c>
      <c r="DE10" s="262">
        <f t="shared" si="10"/>
        <v>1.22</v>
      </c>
      <c r="DF10" s="260" t="s">
        <v>322</v>
      </c>
    </row>
    <row r="11" spans="1:110" ht="15" customHeight="1" thickTop="1" thickBot="1" x14ac:dyDescent="0.3">
      <c r="A11" s="188"/>
      <c r="B11" s="189"/>
      <c r="C11" s="189"/>
      <c r="D11" s="194" t="s">
        <v>43</v>
      </c>
      <c r="E11" s="199" t="s">
        <v>56</v>
      </c>
      <c r="F11" s="195">
        <f t="shared" si="4"/>
        <v>0.12909836065573771</v>
      </c>
      <c r="G11" s="189"/>
      <c r="H11" s="200">
        <f>'Tabula data'!B22*(1-'Tabula Ref2'!C45)</f>
        <v>3.15</v>
      </c>
      <c r="J11" s="81" t="s">
        <v>57</v>
      </c>
      <c r="K11" s="218">
        <v>0</v>
      </c>
      <c r="L11" s="219">
        <v>1</v>
      </c>
      <c r="M11" s="219" t="s">
        <v>54</v>
      </c>
      <c r="N11" s="220">
        <f>H7</f>
        <v>3.15</v>
      </c>
      <c r="O11" s="221" t="s">
        <v>39</v>
      </c>
      <c r="P11" s="30">
        <f t="shared" si="5"/>
        <v>1.1000000000000001</v>
      </c>
      <c r="Q11" s="30">
        <f t="shared" si="6"/>
        <v>3.4650000000000003</v>
      </c>
      <c r="R11" s="30">
        <f t="shared" si="7"/>
        <v>0</v>
      </c>
      <c r="S11" s="30">
        <f t="shared" si="8"/>
        <v>0</v>
      </c>
      <c r="T11" s="30">
        <f t="shared" si="9"/>
        <v>0</v>
      </c>
      <c r="U11" s="31"/>
      <c r="V11" s="153"/>
      <c r="W11" s="189"/>
      <c r="X11" s="189"/>
      <c r="Y11" s="238"/>
      <c r="Z11" s="238"/>
      <c r="AA11" s="238"/>
      <c r="AB11" s="189"/>
      <c r="AC11" s="236"/>
      <c r="AD11" s="189"/>
      <c r="AE11" s="14"/>
      <c r="AF11" s="14"/>
      <c r="AG11" s="14"/>
      <c r="AL11" s="159" t="s">
        <v>319</v>
      </c>
      <c r="AM11" s="81" t="s">
        <v>320</v>
      </c>
      <c r="AN11" s="81" t="s">
        <v>329</v>
      </c>
      <c r="AO11" s="167">
        <f>SUM(T27)</f>
        <v>13436145.300282264</v>
      </c>
      <c r="AP11" s="81" t="s">
        <v>322</v>
      </c>
      <c r="AQ11" s="167">
        <v>26154150</v>
      </c>
      <c r="AU11" s="168" t="s">
        <v>319</v>
      </c>
      <c r="AV11" s="168" t="s">
        <v>320</v>
      </c>
      <c r="AW11" s="168" t="s">
        <v>329</v>
      </c>
      <c r="AX11" s="169" t="s">
        <v>323</v>
      </c>
      <c r="AY11" s="162">
        <f t="shared" si="12"/>
        <v>13436145.300282264</v>
      </c>
      <c r="AZ11" s="168" t="s">
        <v>322</v>
      </c>
      <c r="BB11" s="81" t="s">
        <v>394</v>
      </c>
      <c r="BC11" s="167">
        <v>0.16</v>
      </c>
      <c r="BD11" s="167">
        <v>1.5399999999999999E-3</v>
      </c>
      <c r="BE11" s="81">
        <v>103.9</v>
      </c>
      <c r="BF11" s="81" t="s">
        <v>388</v>
      </c>
      <c r="BI11" s="175" t="s">
        <v>319</v>
      </c>
      <c r="BJ11" s="175" t="s">
        <v>320</v>
      </c>
      <c r="BK11" s="175" t="s">
        <v>329</v>
      </c>
      <c r="BL11" s="175" t="s">
        <v>323</v>
      </c>
      <c r="BM11" s="174">
        <f>BC21</f>
        <v>30400000</v>
      </c>
      <c r="BN11" s="175" t="s">
        <v>322</v>
      </c>
      <c r="BP11" s="81" t="s">
        <v>394</v>
      </c>
      <c r="BQ11" s="167">
        <v>0.19</v>
      </c>
      <c r="BR11" s="167">
        <v>2.31E-3</v>
      </c>
      <c r="BS11" s="81">
        <v>82.21</v>
      </c>
      <c r="BT11" s="81" t="s">
        <v>422</v>
      </c>
      <c r="BU11" s="167">
        <v>2E-16</v>
      </c>
      <c r="BV11" s="81" t="s">
        <v>389</v>
      </c>
      <c r="BX11" s="178" t="s">
        <v>319</v>
      </c>
      <c r="BY11" s="178" t="s">
        <v>320</v>
      </c>
      <c r="BZ11" s="178" t="s">
        <v>327</v>
      </c>
      <c r="CA11" s="178" t="s">
        <v>323</v>
      </c>
      <c r="CB11" s="179">
        <f>BQ19</f>
        <v>3560000</v>
      </c>
      <c r="CC11" s="178" t="s">
        <v>322</v>
      </c>
      <c r="CN11" s="81" t="s">
        <v>330</v>
      </c>
      <c r="CO11" s="256">
        <f t="shared" si="0"/>
        <v>6879520</v>
      </c>
      <c r="CP11" s="256">
        <f t="shared" si="1"/>
        <v>15600000</v>
      </c>
      <c r="CQ11" s="256">
        <f t="shared" si="2"/>
        <v>0</v>
      </c>
      <c r="CT11" s="258" t="s">
        <v>442</v>
      </c>
      <c r="CU11" s="258" t="s">
        <v>393</v>
      </c>
      <c r="CV11" s="259">
        <v>292</v>
      </c>
      <c r="CW11" s="259">
        <v>6.2199999999999998E-2</v>
      </c>
      <c r="CX11" s="258">
        <v>4695.8100000000004</v>
      </c>
      <c r="CY11" s="258" t="s">
        <v>422</v>
      </c>
      <c r="CZ11" s="167">
        <v>2E-16</v>
      </c>
      <c r="DA11" s="81" t="s">
        <v>389</v>
      </c>
      <c r="DB11" s="260" t="s">
        <v>467</v>
      </c>
      <c r="DC11" s="264" t="s">
        <v>474</v>
      </c>
      <c r="DD11" s="261" t="s">
        <v>323</v>
      </c>
      <c r="DE11" s="262">
        <f t="shared" si="10"/>
        <v>2.1</v>
      </c>
      <c r="DF11" s="260" t="s">
        <v>322</v>
      </c>
    </row>
    <row r="12" spans="1:110" ht="15" customHeight="1" thickTop="1" thickBot="1" x14ac:dyDescent="0.3">
      <c r="A12" s="188"/>
      <c r="B12" s="189"/>
      <c r="C12" s="189"/>
      <c r="D12" s="194" t="s">
        <v>48</v>
      </c>
      <c r="E12" s="199" t="s">
        <v>56</v>
      </c>
      <c r="F12" s="195">
        <f t="shared" si="4"/>
        <v>0.1209016393442623</v>
      </c>
      <c r="G12" s="189"/>
      <c r="H12" s="200">
        <f>'Tabula data'!B23*(1-'Tabula Ref2'!C45)</f>
        <v>2.95</v>
      </c>
      <c r="J12" s="81" t="s">
        <v>59</v>
      </c>
      <c r="K12" s="218">
        <v>0</v>
      </c>
      <c r="L12" s="219">
        <v>1</v>
      </c>
      <c r="M12" s="219" t="s">
        <v>54</v>
      </c>
      <c r="N12" s="220">
        <f>H8</f>
        <v>2.95</v>
      </c>
      <c r="O12" s="221" t="s">
        <v>45</v>
      </c>
      <c r="P12" s="30">
        <f t="shared" si="5"/>
        <v>1.1000000000000001</v>
      </c>
      <c r="Q12" s="30">
        <f t="shared" si="6"/>
        <v>3.2450000000000006</v>
      </c>
      <c r="R12" s="30">
        <f t="shared" si="7"/>
        <v>0</v>
      </c>
      <c r="S12" s="30">
        <f t="shared" si="8"/>
        <v>0</v>
      </c>
      <c r="T12" s="30">
        <f t="shared" si="9"/>
        <v>0</v>
      </c>
      <c r="U12" s="31"/>
      <c r="V12" s="153"/>
      <c r="W12" s="226"/>
      <c r="X12" s="226"/>
      <c r="Y12" s="227" t="s">
        <v>4</v>
      </c>
      <c r="Z12" s="227">
        <v>1</v>
      </c>
      <c r="AA12" s="227" t="s">
        <v>5</v>
      </c>
      <c r="AB12" s="226"/>
      <c r="AC12" s="226"/>
      <c r="AD12" s="226"/>
      <c r="AE12" s="14"/>
      <c r="AF12" s="14"/>
      <c r="AG12" s="14"/>
      <c r="AL12" s="159" t="s">
        <v>319</v>
      </c>
      <c r="AM12" s="81" t="s">
        <v>320</v>
      </c>
      <c r="AN12" s="81" t="s">
        <v>330</v>
      </c>
      <c r="AO12" s="167">
        <f>SUM(T14)</f>
        <v>6879520</v>
      </c>
      <c r="AP12" s="81" t="s">
        <v>322</v>
      </c>
      <c r="AQ12" s="167">
        <v>12228720</v>
      </c>
      <c r="AU12" s="168" t="s">
        <v>319</v>
      </c>
      <c r="AV12" s="168" t="s">
        <v>320</v>
      </c>
      <c r="AW12" s="168" t="s">
        <v>330</v>
      </c>
      <c r="AX12" s="169" t="s">
        <v>323</v>
      </c>
      <c r="AY12" s="162">
        <f t="shared" si="12"/>
        <v>6879520</v>
      </c>
      <c r="AZ12" s="168" t="s">
        <v>322</v>
      </c>
      <c r="BB12" s="81" t="s">
        <v>395</v>
      </c>
      <c r="BC12" s="167">
        <v>0.318</v>
      </c>
      <c r="BD12" s="167">
        <v>2.1299999999999999E-3</v>
      </c>
      <c r="BE12" s="81">
        <v>149.15</v>
      </c>
      <c r="BF12" s="81" t="s">
        <v>388</v>
      </c>
      <c r="BI12" s="175" t="s">
        <v>319</v>
      </c>
      <c r="BJ12" s="175" t="s">
        <v>320</v>
      </c>
      <c r="BK12" s="175" t="s">
        <v>330</v>
      </c>
      <c r="BL12" s="175" t="s">
        <v>323</v>
      </c>
      <c r="BM12" s="174">
        <f>BC18</f>
        <v>15600000</v>
      </c>
      <c r="BN12" s="175" t="s">
        <v>322</v>
      </c>
      <c r="BP12" s="81" t="s">
        <v>395</v>
      </c>
      <c r="BQ12" s="167">
        <v>0.38</v>
      </c>
      <c r="BR12" s="167">
        <v>1.3600000000000001E-3</v>
      </c>
      <c r="BS12" s="81">
        <v>278.99</v>
      </c>
      <c r="BT12" s="81" t="s">
        <v>422</v>
      </c>
      <c r="BU12" s="167">
        <v>2E-16</v>
      </c>
      <c r="BV12" s="81" t="s">
        <v>389</v>
      </c>
      <c r="BX12" s="178" t="s">
        <v>319</v>
      </c>
      <c r="BY12" s="178" t="s">
        <v>320</v>
      </c>
      <c r="BZ12" s="178" t="s">
        <v>328</v>
      </c>
      <c r="CA12" s="178" t="s">
        <v>323</v>
      </c>
      <c r="CB12" s="179">
        <f t="shared" ref="CB12:CB13" si="13">BQ20</f>
        <v>32200000</v>
      </c>
      <c r="CC12" s="178" t="s">
        <v>322</v>
      </c>
      <c r="CO12" s="255"/>
      <c r="CP12" s="255"/>
      <c r="CQ12" s="255"/>
      <c r="CT12" s="258" t="s">
        <v>442</v>
      </c>
      <c r="CU12" s="258" t="s">
        <v>444</v>
      </c>
      <c r="CV12" s="259">
        <v>0.94499999999999995</v>
      </c>
      <c r="CW12" s="259">
        <v>2.9100000000000001E-2</v>
      </c>
      <c r="CX12" s="258">
        <v>32.43</v>
      </c>
      <c r="CY12" s="258" t="s">
        <v>422</v>
      </c>
      <c r="CZ12" s="167">
        <v>2E-16</v>
      </c>
      <c r="DA12" s="81" t="s">
        <v>389</v>
      </c>
      <c r="DB12" s="260" t="s">
        <v>467</v>
      </c>
      <c r="DC12" s="263" t="s">
        <v>475</v>
      </c>
      <c r="DD12" s="261" t="s">
        <v>323</v>
      </c>
      <c r="DE12" s="262">
        <f t="shared" si="10"/>
        <v>1.77</v>
      </c>
      <c r="DF12" s="260" t="s">
        <v>322</v>
      </c>
    </row>
    <row r="13" spans="1:110" ht="15" customHeight="1" thickTop="1" thickBot="1" x14ac:dyDescent="0.3">
      <c r="A13" s="188"/>
      <c r="B13" s="189"/>
      <c r="C13" s="189"/>
      <c r="D13" s="194" t="s">
        <v>52</v>
      </c>
      <c r="E13" s="199" t="s">
        <v>56</v>
      </c>
      <c r="F13" s="195">
        <f t="shared" si="4"/>
        <v>0.13319672131147542</v>
      </c>
      <c r="G13" s="189"/>
      <c r="H13" s="200">
        <f>'Tabula data'!B24*(1-'Tabula Ref2'!C45)</f>
        <v>3.25</v>
      </c>
      <c r="J13" s="81" t="s">
        <v>60</v>
      </c>
      <c r="K13" s="218">
        <v>0</v>
      </c>
      <c r="L13" s="219">
        <v>1</v>
      </c>
      <c r="M13" s="219" t="s">
        <v>54</v>
      </c>
      <c r="N13" s="220">
        <f>H9</f>
        <v>3.25</v>
      </c>
      <c r="O13" s="221" t="s">
        <v>50</v>
      </c>
      <c r="P13" s="30">
        <f t="shared" si="5"/>
        <v>1.1000000000000001</v>
      </c>
      <c r="Q13" s="30">
        <f t="shared" si="6"/>
        <v>3.5750000000000002</v>
      </c>
      <c r="R13" s="30">
        <f t="shared" si="7"/>
        <v>0</v>
      </c>
      <c r="S13" s="30">
        <f t="shared" si="8"/>
        <v>0</v>
      </c>
      <c r="T13" s="30">
        <f t="shared" si="9"/>
        <v>0</v>
      </c>
      <c r="U13" s="31"/>
      <c r="V13" s="153"/>
      <c r="W13" s="228" t="s">
        <v>64</v>
      </c>
      <c r="X13" s="229"/>
      <c r="Y13" s="230" t="s">
        <v>21</v>
      </c>
      <c r="Z13" s="231">
        <f>1/(1/8+SUM(AC15:AC21)+1/23)</f>
        <v>0.19316281128097962</v>
      </c>
      <c r="AA13" s="229" t="s">
        <v>5</v>
      </c>
      <c r="AB13" s="229"/>
      <c r="AC13" s="229" t="s">
        <v>22</v>
      </c>
      <c r="AD13" s="232">
        <f>SUM(AD17:AD22)</f>
        <v>339066</v>
      </c>
      <c r="AE13" s="14" t="s">
        <v>23</v>
      </c>
      <c r="AF13" s="14">
        <f>SUM(AD20:AD21)</f>
        <v>181020.00000000003</v>
      </c>
      <c r="AG13" s="14"/>
      <c r="AO13" s="167"/>
      <c r="AP13" s="81" t="s">
        <v>322</v>
      </c>
      <c r="AQ13" s="167"/>
      <c r="AU13" s="168"/>
      <c r="AV13" s="168"/>
      <c r="AW13" s="168"/>
      <c r="AX13" s="169"/>
      <c r="AZ13" s="168"/>
      <c r="BB13" s="81" t="s">
        <v>396</v>
      </c>
      <c r="BC13" s="167">
        <v>0.26200000000000001</v>
      </c>
      <c r="BD13" s="167">
        <v>8.6800000000000002E-3</v>
      </c>
      <c r="BE13" s="81">
        <v>30.21</v>
      </c>
      <c r="BF13" s="81" t="s">
        <v>388</v>
      </c>
      <c r="BI13" s="175"/>
      <c r="BJ13" s="175"/>
      <c r="BK13" s="175"/>
      <c r="BL13" s="175"/>
      <c r="BM13" s="174"/>
      <c r="BN13" s="175"/>
      <c r="BP13" s="81" t="s">
        <v>396</v>
      </c>
      <c r="BQ13" s="167">
        <v>5.0500000000000003E-2</v>
      </c>
      <c r="BR13" s="167">
        <v>8.2699999999999996E-3</v>
      </c>
      <c r="BS13" s="81">
        <v>6.11</v>
      </c>
      <c r="BT13" s="167">
        <v>1.0999999999999999E-9</v>
      </c>
      <c r="BU13" s="81" t="s">
        <v>389</v>
      </c>
      <c r="BX13" s="178" t="s">
        <v>319</v>
      </c>
      <c r="BY13" s="178" t="s">
        <v>320</v>
      </c>
      <c r="BZ13" s="178" t="s">
        <v>329</v>
      </c>
      <c r="CA13" s="178" t="s">
        <v>323</v>
      </c>
      <c r="CB13" s="179">
        <f t="shared" si="13"/>
        <v>25400000</v>
      </c>
      <c r="CC13" s="178" t="s">
        <v>322</v>
      </c>
      <c r="CN13" s="81" t="s">
        <v>331</v>
      </c>
      <c r="CO13" s="254">
        <f t="shared" si="0"/>
        <v>3.8896079116026903E-2</v>
      </c>
      <c r="CP13" s="254">
        <f t="shared" si="1"/>
        <v>0.11700000000000001</v>
      </c>
      <c r="CQ13" s="254">
        <f t="shared" si="2"/>
        <v>7.0400000000000004E-2</v>
      </c>
      <c r="CT13" s="258" t="s">
        <v>442</v>
      </c>
      <c r="CU13" s="258" t="s">
        <v>341</v>
      </c>
      <c r="CV13" s="259">
        <v>0.79800000000000004</v>
      </c>
      <c r="CW13" s="259">
        <v>9.8000000000000004E-2</v>
      </c>
      <c r="CX13" s="258">
        <v>8.14</v>
      </c>
      <c r="CY13" s="259">
        <v>4.4E-16</v>
      </c>
      <c r="CZ13" s="81" t="s">
        <v>389</v>
      </c>
      <c r="DB13" s="260" t="s">
        <v>467</v>
      </c>
      <c r="DC13" s="265" t="s">
        <v>476</v>
      </c>
      <c r="DD13" s="261" t="s">
        <v>323</v>
      </c>
      <c r="DE13" s="262">
        <f t="shared" si="10"/>
        <v>0.53700000000000003</v>
      </c>
      <c r="DF13" s="260" t="s">
        <v>322</v>
      </c>
    </row>
    <row r="14" spans="1:110" ht="15" customHeight="1" thickTop="1" thickBot="1" x14ac:dyDescent="0.3">
      <c r="A14" s="188"/>
      <c r="B14" s="189"/>
      <c r="C14" s="189"/>
      <c r="D14" s="201" t="s">
        <v>65</v>
      </c>
      <c r="E14" s="202"/>
      <c r="F14" s="202"/>
      <c r="G14" s="202"/>
      <c r="H14" s="203"/>
      <c r="J14" s="81" t="s">
        <v>61</v>
      </c>
      <c r="K14" s="218" t="s">
        <v>62</v>
      </c>
      <c r="L14" s="219">
        <v>1</v>
      </c>
      <c r="M14" s="219" t="s">
        <v>63</v>
      </c>
      <c r="N14" s="220">
        <f>B7</f>
        <v>62</v>
      </c>
      <c r="O14" s="221"/>
      <c r="P14" s="30">
        <f t="shared" si="5"/>
        <v>0.18202831551574691</v>
      </c>
      <c r="Q14" s="30">
        <f t="shared" si="6"/>
        <v>11.285755561976309</v>
      </c>
      <c r="R14" s="30">
        <f t="shared" si="7"/>
        <v>23640166</v>
      </c>
      <c r="S14" s="30">
        <f t="shared" si="8"/>
        <v>381293</v>
      </c>
      <c r="T14" s="30">
        <f t="shared" si="9"/>
        <v>6879520</v>
      </c>
      <c r="U14" s="31"/>
      <c r="V14" s="153"/>
      <c r="W14" s="233"/>
      <c r="X14" s="234" t="s">
        <v>27</v>
      </c>
      <c r="Y14" s="234" t="s">
        <v>28</v>
      </c>
      <c r="Z14" s="234" t="s">
        <v>29</v>
      </c>
      <c r="AA14" s="234" t="s">
        <v>30</v>
      </c>
      <c r="AB14" s="234" t="s">
        <v>31</v>
      </c>
      <c r="AC14" s="234" t="s">
        <v>32</v>
      </c>
      <c r="AD14" s="235" t="s">
        <v>33</v>
      </c>
      <c r="AE14" s="14"/>
      <c r="AF14" s="14"/>
      <c r="AG14" s="14"/>
      <c r="AL14" s="159" t="s">
        <v>319</v>
      </c>
      <c r="AM14" s="81" t="s">
        <v>320</v>
      </c>
      <c r="AN14" s="81" t="s">
        <v>331</v>
      </c>
      <c r="AO14" s="81">
        <f>AO4*0.3</f>
        <v>3.8896079116026903E-2</v>
      </c>
      <c r="AP14" s="81" t="s">
        <v>322</v>
      </c>
      <c r="AQ14" s="167">
        <v>6.5890790000000005E-2</v>
      </c>
      <c r="AU14" s="168" t="s">
        <v>319</v>
      </c>
      <c r="AV14" s="168" t="s">
        <v>320</v>
      </c>
      <c r="AW14" s="168" t="s">
        <v>331</v>
      </c>
      <c r="AX14" s="169" t="s">
        <v>323</v>
      </c>
      <c r="AY14" s="162">
        <f>AY4*0.3</f>
        <v>3.8896079116026903E-2</v>
      </c>
      <c r="AZ14" s="168" t="s">
        <v>322</v>
      </c>
      <c r="BB14" s="81" t="s">
        <v>397</v>
      </c>
      <c r="BC14" s="167">
        <v>0.156</v>
      </c>
      <c r="BD14" s="167">
        <v>1.4499999999999999E-3</v>
      </c>
      <c r="BE14" s="81">
        <v>107.8</v>
      </c>
      <c r="BF14" s="81" t="s">
        <v>388</v>
      </c>
      <c r="BI14" s="175" t="s">
        <v>319</v>
      </c>
      <c r="BJ14" s="175" t="s">
        <v>320</v>
      </c>
      <c r="BK14" s="175" t="s">
        <v>331</v>
      </c>
      <c r="BL14" s="175" t="s">
        <v>323</v>
      </c>
      <c r="BM14" s="174">
        <f>BC27</f>
        <v>0.11700000000000001</v>
      </c>
      <c r="BN14" s="175" t="s">
        <v>322</v>
      </c>
      <c r="BP14" s="81" t="s">
        <v>397</v>
      </c>
      <c r="BQ14" s="167">
        <v>0.20300000000000001</v>
      </c>
      <c r="BR14" s="167">
        <v>1.14E-3</v>
      </c>
      <c r="BS14" s="81">
        <v>177.92</v>
      </c>
      <c r="BT14" s="81" t="s">
        <v>422</v>
      </c>
      <c r="BU14" s="167">
        <v>2E-16</v>
      </c>
      <c r="BV14" s="81" t="s">
        <v>389</v>
      </c>
      <c r="BX14" s="178" t="s">
        <v>319</v>
      </c>
      <c r="BY14" s="178" t="s">
        <v>320</v>
      </c>
      <c r="BZ14" s="178" t="s">
        <v>330</v>
      </c>
      <c r="CA14" s="178" t="s">
        <v>323</v>
      </c>
      <c r="CB14" s="179">
        <v>0</v>
      </c>
      <c r="CC14" s="178" t="s">
        <v>322</v>
      </c>
      <c r="CN14" s="81" t="s">
        <v>332</v>
      </c>
      <c r="CO14" s="254">
        <f t="shared" si="0"/>
        <v>8.7005307728079531E-2</v>
      </c>
      <c r="CP14" s="254">
        <f t="shared" si="1"/>
        <v>0.22500000000000001</v>
      </c>
      <c r="CQ14" s="254">
        <f t="shared" si="2"/>
        <v>0.13700000000000001</v>
      </c>
      <c r="CT14" s="258" t="s">
        <v>442</v>
      </c>
      <c r="CU14" s="258" t="s">
        <v>445</v>
      </c>
      <c r="CV14" s="259">
        <v>1.04</v>
      </c>
      <c r="CW14" s="259">
        <v>1.66E-2</v>
      </c>
      <c r="CX14" s="258">
        <v>62.72</v>
      </c>
      <c r="CY14" s="258" t="s">
        <v>422</v>
      </c>
      <c r="CZ14" s="167">
        <v>2E-16</v>
      </c>
      <c r="DA14" s="81" t="s">
        <v>389</v>
      </c>
      <c r="DB14" s="260" t="s">
        <v>467</v>
      </c>
      <c r="DC14" s="265" t="s">
        <v>477</v>
      </c>
      <c r="DD14" s="261" t="s">
        <v>323</v>
      </c>
      <c r="DE14" s="262">
        <f t="shared" si="10"/>
        <v>1.12E-7</v>
      </c>
      <c r="DF14" s="260" t="s">
        <v>322</v>
      </c>
    </row>
    <row r="15" spans="1:110" ht="15" customHeight="1" thickTop="1" thickBot="1" x14ac:dyDescent="0.3">
      <c r="A15" s="188"/>
      <c r="B15" s="189"/>
      <c r="C15" s="189"/>
      <c r="D15" s="204"/>
      <c r="E15" s="189"/>
      <c r="F15" s="189"/>
      <c r="G15" s="189"/>
      <c r="H15" s="190"/>
      <c r="J15" s="81" t="s">
        <v>66</v>
      </c>
      <c r="K15" s="218">
        <v>0</v>
      </c>
      <c r="L15" s="219">
        <v>1</v>
      </c>
      <c r="M15" s="219" t="s">
        <v>20</v>
      </c>
      <c r="N15" s="222">
        <v>0</v>
      </c>
      <c r="O15" s="221"/>
      <c r="P15" s="30">
        <f t="shared" si="5"/>
        <v>0.1523066735339563</v>
      </c>
      <c r="Q15" s="30">
        <f t="shared" si="6"/>
        <v>0</v>
      </c>
      <c r="R15" s="30">
        <f>VLOOKUP(M15,$W$5:$AD$391,8,0)*N25</f>
        <v>5308329.5999999996</v>
      </c>
      <c r="S15" s="30">
        <f>R15/N25</f>
        <v>67536</v>
      </c>
      <c r="T15" s="30">
        <f>VLOOKUP(M15,$W$5:$AF$391,10,0)*N25</f>
        <v>1287468</v>
      </c>
      <c r="U15" s="31"/>
      <c r="V15" s="153"/>
      <c r="W15" s="188"/>
      <c r="X15" s="288" t="s">
        <v>517</v>
      </c>
      <c r="Y15" s="288">
        <v>2.5000000000000001E-2</v>
      </c>
      <c r="Z15" s="288">
        <v>0.6</v>
      </c>
      <c r="AA15" s="288"/>
      <c r="AB15" s="288"/>
      <c r="AC15" s="236">
        <f t="shared" ref="AC15:AC16" si="14">Y15/Z15</f>
        <v>4.1666666666666671E-2</v>
      </c>
      <c r="AD15" s="190">
        <f t="shared" ref="AD15:AD16" si="15">AA15*AB15*Y15</f>
        <v>0</v>
      </c>
      <c r="AE15" s="14"/>
      <c r="AF15" s="14"/>
      <c r="AG15" s="14"/>
      <c r="AL15" s="159" t="s">
        <v>319</v>
      </c>
      <c r="AM15" s="81" t="s">
        <v>320</v>
      </c>
      <c r="AN15" s="81" t="s">
        <v>332</v>
      </c>
      <c r="AO15" s="81">
        <f>AO5*0.3</f>
        <v>8.7005307728079531E-2</v>
      </c>
      <c r="AP15" s="81" t="s">
        <v>322</v>
      </c>
      <c r="AQ15" s="167">
        <v>0.1612856</v>
      </c>
      <c r="AU15" s="168" t="s">
        <v>319</v>
      </c>
      <c r="AV15" s="168" t="s">
        <v>320</v>
      </c>
      <c r="AW15" s="168" t="s">
        <v>332</v>
      </c>
      <c r="AX15" s="169" t="s">
        <v>323</v>
      </c>
      <c r="AY15" s="162">
        <f>AY5*0.3</f>
        <v>8.7005307728079531E-2</v>
      </c>
      <c r="AZ15" s="168" t="s">
        <v>322</v>
      </c>
      <c r="BB15" s="81" t="s">
        <v>398</v>
      </c>
      <c r="BC15" s="167">
        <v>9.35E-2</v>
      </c>
      <c r="BD15" s="167">
        <v>1.6000000000000001E-3</v>
      </c>
      <c r="BE15" s="81">
        <v>58.4</v>
      </c>
      <c r="BF15" s="81" t="s">
        <v>388</v>
      </c>
      <c r="BI15" s="175" t="s">
        <v>319</v>
      </c>
      <c r="BJ15" s="175" t="s">
        <v>320</v>
      </c>
      <c r="BK15" s="175" t="s">
        <v>332</v>
      </c>
      <c r="BL15" s="175" t="s">
        <v>323</v>
      </c>
      <c r="BM15" s="174">
        <f>BC28</f>
        <v>0.22500000000000001</v>
      </c>
      <c r="BN15" s="175" t="s">
        <v>322</v>
      </c>
      <c r="BP15" s="81" t="s">
        <v>398</v>
      </c>
      <c r="BQ15" s="167">
        <v>0.11799999999999999</v>
      </c>
      <c r="BR15" s="167">
        <v>5.9500000000000004E-4</v>
      </c>
      <c r="BS15" s="81">
        <v>198</v>
      </c>
      <c r="BT15" s="81" t="s">
        <v>422</v>
      </c>
      <c r="BU15" s="167">
        <v>2E-16</v>
      </c>
      <c r="BV15" s="81" t="s">
        <v>389</v>
      </c>
      <c r="BX15" s="178"/>
      <c r="BY15" s="178"/>
      <c r="BZ15" s="178"/>
      <c r="CA15" s="178"/>
      <c r="CB15" s="179"/>
      <c r="CC15" s="178"/>
      <c r="CN15" s="81" t="s">
        <v>333</v>
      </c>
      <c r="CO15" s="254">
        <f t="shared" si="0"/>
        <v>0.71559473627387593</v>
      </c>
      <c r="CP15" s="254">
        <f t="shared" si="1"/>
        <v>0.46500000000000002</v>
      </c>
      <c r="CQ15" s="254">
        <f t="shared" si="2"/>
        <v>0.76900000000000002</v>
      </c>
      <c r="CT15" s="258" t="s">
        <v>442</v>
      </c>
      <c r="CU15" s="258" t="s">
        <v>446</v>
      </c>
      <c r="CV15" s="259">
        <v>0.82699999999999996</v>
      </c>
      <c r="CW15" s="259">
        <v>2.92E-2</v>
      </c>
      <c r="CX15" s="258">
        <v>28.33</v>
      </c>
      <c r="CY15" s="258" t="s">
        <v>422</v>
      </c>
      <c r="CZ15" s="167">
        <v>2E-16</v>
      </c>
      <c r="DA15" s="81" t="s">
        <v>389</v>
      </c>
      <c r="DB15" s="260" t="s">
        <v>467</v>
      </c>
      <c r="DC15" s="265" t="s">
        <v>478</v>
      </c>
      <c r="DD15" s="261" t="s">
        <v>323</v>
      </c>
      <c r="DE15" s="262">
        <f t="shared" si="10"/>
        <v>0.34100000000000003</v>
      </c>
      <c r="DF15" s="260" t="s">
        <v>322</v>
      </c>
    </row>
    <row r="16" spans="1:110" ht="15" customHeight="1" thickTop="1" thickBot="1" x14ac:dyDescent="0.3">
      <c r="A16" s="205"/>
      <c r="B16" s="187"/>
      <c r="C16" s="187"/>
      <c r="D16" s="194" t="s">
        <v>69</v>
      </c>
      <c r="E16" s="189"/>
      <c r="F16" s="206">
        <f>B4/B26</f>
        <v>1.8014791747761778</v>
      </c>
      <c r="G16" s="199" t="s">
        <v>70</v>
      </c>
      <c r="H16" s="190"/>
      <c r="J16" s="81" t="s">
        <v>67</v>
      </c>
      <c r="K16" s="218">
        <v>0</v>
      </c>
      <c r="L16" s="219">
        <v>1</v>
      </c>
      <c r="M16" s="219" t="s">
        <v>68</v>
      </c>
      <c r="N16" s="220">
        <f>'Tabula data'!B20</f>
        <v>9.5</v>
      </c>
      <c r="O16" s="221"/>
      <c r="P16" s="30">
        <f t="shared" si="5"/>
        <v>4</v>
      </c>
      <c r="Q16" s="30">
        <f t="shared" si="6"/>
        <v>38</v>
      </c>
      <c r="R16" s="30">
        <f t="shared" ref="R16:R27" si="16">VLOOKUP(M16,$W$5:$AD$391,8,0)*N16</f>
        <v>346940</v>
      </c>
      <c r="S16" s="30">
        <f t="shared" ref="S16:S27" si="17">R16/N16</f>
        <v>36520</v>
      </c>
      <c r="T16" s="30">
        <f t="shared" ref="T16:T27" si="18">VLOOKUP(M16,$W$5:$AF$391,10,0)*N16</f>
        <v>1719690.0000000002</v>
      </c>
      <c r="U16" s="31"/>
      <c r="V16" s="153"/>
      <c r="W16" s="188"/>
      <c r="X16" s="288" t="s">
        <v>285</v>
      </c>
      <c r="Y16" s="289">
        <v>0.05</v>
      </c>
      <c r="Z16" s="288">
        <v>2.4E-2</v>
      </c>
      <c r="AA16" s="288"/>
      <c r="AB16" s="288"/>
      <c r="AC16" s="236">
        <f t="shared" si="14"/>
        <v>2.0833333333333335</v>
      </c>
      <c r="AD16" s="190">
        <f t="shared" si="15"/>
        <v>0</v>
      </c>
      <c r="AE16" s="14"/>
      <c r="AF16" s="14"/>
      <c r="AG16" s="14"/>
      <c r="AL16" s="159" t="s">
        <v>319</v>
      </c>
      <c r="AM16" s="81" t="s">
        <v>320</v>
      </c>
      <c r="AN16" s="81" t="s">
        <v>333</v>
      </c>
      <c r="AO16" s="81">
        <f>AO6*0.3+0.7</f>
        <v>0.71559473627387593</v>
      </c>
      <c r="AP16" s="81" t="s">
        <v>322</v>
      </c>
      <c r="AQ16" s="167">
        <v>0.64236059999999995</v>
      </c>
      <c r="AU16" s="168" t="s">
        <v>319</v>
      </c>
      <c r="AV16" s="168" t="s">
        <v>320</v>
      </c>
      <c r="AW16" s="168" t="s">
        <v>333</v>
      </c>
      <c r="AX16" s="169" t="s">
        <v>323</v>
      </c>
      <c r="AY16" s="162">
        <f>AY6*0.3+0.7</f>
        <v>0.71559473627387593</v>
      </c>
      <c r="AZ16" s="168" t="s">
        <v>322</v>
      </c>
      <c r="BB16" s="81" t="s">
        <v>308</v>
      </c>
      <c r="BC16" s="167">
        <v>13100000</v>
      </c>
      <c r="BD16" s="167">
        <v>252000</v>
      </c>
      <c r="BE16" s="81">
        <v>51.84</v>
      </c>
      <c r="BF16" s="81" t="s">
        <v>388</v>
      </c>
      <c r="BI16" s="175" t="s">
        <v>319</v>
      </c>
      <c r="BJ16" s="175" t="s">
        <v>320</v>
      </c>
      <c r="BK16" s="175" t="s">
        <v>333</v>
      </c>
      <c r="BL16" s="175" t="s">
        <v>323</v>
      </c>
      <c r="BM16" s="174">
        <f>BC29</f>
        <v>0.46500000000000002</v>
      </c>
      <c r="BN16" s="175" t="s">
        <v>322</v>
      </c>
      <c r="BP16" s="81" t="s">
        <v>308</v>
      </c>
      <c r="BQ16" s="167">
        <v>812000000</v>
      </c>
      <c r="BR16" s="167">
        <v>25300000</v>
      </c>
      <c r="BS16" s="81">
        <v>32.119999999999997</v>
      </c>
      <c r="BT16" s="81" t="s">
        <v>422</v>
      </c>
      <c r="BU16" s="167">
        <v>2E-16</v>
      </c>
      <c r="BV16" s="81" t="s">
        <v>389</v>
      </c>
      <c r="BX16" s="178" t="s">
        <v>319</v>
      </c>
      <c r="BY16" s="178" t="s">
        <v>320</v>
      </c>
      <c r="BZ16" s="178" t="s">
        <v>331</v>
      </c>
      <c r="CA16" s="178" t="s">
        <v>323</v>
      </c>
      <c r="CB16" s="177">
        <f>BQ27</f>
        <v>7.0400000000000004E-2</v>
      </c>
      <c r="CC16" s="178" t="s">
        <v>322</v>
      </c>
      <c r="CN16" s="81" t="s">
        <v>334</v>
      </c>
      <c r="CO16" s="254">
        <f t="shared" si="0"/>
        <v>7.9251938441008821E-2</v>
      </c>
      <c r="CP16" s="254">
        <f t="shared" si="1"/>
        <v>0.11</v>
      </c>
      <c r="CQ16" s="254">
        <f t="shared" si="2"/>
        <v>7.2499999999999995E-2</v>
      </c>
      <c r="CT16" s="258" t="s">
        <v>442</v>
      </c>
      <c r="CU16" s="258" t="s">
        <v>447</v>
      </c>
      <c r="CV16" s="259">
        <v>1.83</v>
      </c>
      <c r="CW16" s="259">
        <v>2.8799999999999999E-2</v>
      </c>
      <c r="CX16" s="258">
        <v>63.51</v>
      </c>
      <c r="CY16" s="258" t="s">
        <v>422</v>
      </c>
      <c r="CZ16" s="167">
        <v>2E-16</v>
      </c>
      <c r="DA16" s="81" t="s">
        <v>389</v>
      </c>
      <c r="DB16" s="260" t="s">
        <v>467</v>
      </c>
      <c r="DC16" s="265" t="s">
        <v>479</v>
      </c>
      <c r="DD16" s="261" t="s">
        <v>323</v>
      </c>
      <c r="DE16" s="262">
        <f t="shared" si="10"/>
        <v>5.91E-2</v>
      </c>
      <c r="DF16" s="260" t="s">
        <v>322</v>
      </c>
    </row>
    <row r="17" spans="1:110" ht="15" customHeight="1" thickTop="1" thickBot="1" x14ac:dyDescent="0.3">
      <c r="A17" s="191" t="s">
        <v>73</v>
      </c>
      <c r="B17" s="192">
        <v>0</v>
      </c>
      <c r="C17" s="202" t="s">
        <v>9</v>
      </c>
      <c r="D17" s="194" t="s">
        <v>74</v>
      </c>
      <c r="E17" s="189"/>
      <c r="F17" s="206">
        <f>B26/B23</f>
        <v>1.5264408793820556</v>
      </c>
      <c r="G17" s="199"/>
      <c r="H17" s="190"/>
      <c r="J17" s="81" t="s">
        <v>71</v>
      </c>
      <c r="K17" s="218">
        <v>0</v>
      </c>
      <c r="L17" s="219">
        <v>2</v>
      </c>
      <c r="M17" s="219" t="s">
        <v>25</v>
      </c>
      <c r="N17" s="220">
        <f>'Tabula data'!B10*'Tabula Ref2'!C42/2*(1-'Tabula Ref2'!C43)</f>
        <v>26.085502079619726</v>
      </c>
      <c r="O17" s="221" t="s">
        <v>26</v>
      </c>
      <c r="P17" s="30">
        <f t="shared" si="5"/>
        <v>0.19316281128097962</v>
      </c>
      <c r="Q17" s="30">
        <f t="shared" si="6"/>
        <v>5.0387489153751863</v>
      </c>
      <c r="R17" s="30">
        <f t="shared" si="16"/>
        <v>8844706.8481283411</v>
      </c>
      <c r="S17" s="30">
        <f t="shared" si="17"/>
        <v>339065.99999999994</v>
      </c>
      <c r="T17" s="30">
        <f t="shared" si="18"/>
        <v>4721997.5864527635</v>
      </c>
      <c r="U17" s="31"/>
      <c r="V17" s="153"/>
      <c r="W17" s="188"/>
      <c r="X17" s="189" t="s">
        <v>271</v>
      </c>
      <c r="Y17" s="189">
        <v>0.1</v>
      </c>
      <c r="Z17" s="189">
        <v>1.1000000000000001</v>
      </c>
      <c r="AA17" s="189">
        <v>1850</v>
      </c>
      <c r="AB17" s="199">
        <v>840</v>
      </c>
      <c r="AC17" s="236">
        <f>Y17/Z17</f>
        <v>9.0909090909090912E-2</v>
      </c>
      <c r="AD17" s="190">
        <f>AA17*AB17*Y17</f>
        <v>155400</v>
      </c>
      <c r="AE17" s="14"/>
      <c r="AF17" s="14"/>
      <c r="AG17" s="14"/>
      <c r="AL17" s="159" t="s">
        <v>319</v>
      </c>
      <c r="AM17" s="81" t="s">
        <v>320</v>
      </c>
      <c r="AN17" s="81" t="s">
        <v>334</v>
      </c>
      <c r="AO17" s="81">
        <f>AO7*0.3</f>
        <v>7.9251938441008821E-2</v>
      </c>
      <c r="AP17" s="81" t="s">
        <v>322</v>
      </c>
      <c r="AQ17" s="167">
        <v>6.4977720000000003E-2</v>
      </c>
      <c r="AU17" s="168" t="s">
        <v>319</v>
      </c>
      <c r="AV17" s="168" t="s">
        <v>320</v>
      </c>
      <c r="AW17" s="168" t="s">
        <v>334</v>
      </c>
      <c r="AX17" s="169" t="s">
        <v>323</v>
      </c>
      <c r="AY17" s="162">
        <f>AY7*0.3</f>
        <v>7.9251938441008821E-2</v>
      </c>
      <c r="AZ17" s="168" t="s">
        <v>322</v>
      </c>
      <c r="BI17" s="175" t="s">
        <v>319</v>
      </c>
      <c r="BJ17" s="175" t="s">
        <v>320</v>
      </c>
      <c r="BK17" s="175" t="s">
        <v>334</v>
      </c>
      <c r="BL17" s="175" t="s">
        <v>323</v>
      </c>
      <c r="BM17" s="174">
        <f>BC30</f>
        <v>0.11</v>
      </c>
      <c r="BN17" s="175" t="s">
        <v>322</v>
      </c>
      <c r="BX17" s="178" t="s">
        <v>319</v>
      </c>
      <c r="BY17" s="178" t="s">
        <v>320</v>
      </c>
      <c r="BZ17" s="178" t="s">
        <v>332</v>
      </c>
      <c r="CA17" s="178" t="s">
        <v>323</v>
      </c>
      <c r="CB17" s="177">
        <f t="shared" ref="CB17:CB19" si="19">BQ28</f>
        <v>0.13700000000000001</v>
      </c>
      <c r="CC17" s="178" t="s">
        <v>322</v>
      </c>
      <c r="CO17" s="255"/>
      <c r="CP17" s="255"/>
      <c r="CQ17" s="255"/>
      <c r="CT17" s="258" t="s">
        <v>442</v>
      </c>
      <c r="CU17" s="258" t="s">
        <v>342</v>
      </c>
      <c r="CV17" s="259">
        <v>1.22</v>
      </c>
      <c r="CW17" s="259">
        <v>8.3799999999999999E-2</v>
      </c>
      <c r="CX17" s="258">
        <v>14.59</v>
      </c>
      <c r="CY17" s="258" t="s">
        <v>422</v>
      </c>
      <c r="CZ17" s="167">
        <v>2E-16</v>
      </c>
      <c r="DA17" s="81" t="s">
        <v>389</v>
      </c>
      <c r="DB17" s="260" t="s">
        <v>467</v>
      </c>
      <c r="DC17" s="265" t="s">
        <v>480</v>
      </c>
      <c r="DD17" s="261" t="s">
        <v>323</v>
      </c>
      <c r="DE17" s="262">
        <f t="shared" si="10"/>
        <v>0.98799999999999999</v>
      </c>
      <c r="DF17" s="260" t="s">
        <v>322</v>
      </c>
    </row>
    <row r="18" spans="1:110" ht="15" customHeight="1" thickTop="1" thickBot="1" x14ac:dyDescent="0.3">
      <c r="A18" s="188" t="s">
        <v>77</v>
      </c>
      <c r="B18" s="189">
        <v>0</v>
      </c>
      <c r="C18" s="189"/>
      <c r="D18" s="194" t="s">
        <v>78</v>
      </c>
      <c r="E18" s="189"/>
      <c r="F18" s="206">
        <f>B26/B6</f>
        <v>1.5264408793820556</v>
      </c>
      <c r="G18" s="199"/>
      <c r="H18" s="190"/>
      <c r="J18" s="81" t="s">
        <v>75</v>
      </c>
      <c r="K18" s="218">
        <v>0</v>
      </c>
      <c r="L18" s="219">
        <v>2</v>
      </c>
      <c r="M18" s="219" t="s">
        <v>25</v>
      </c>
      <c r="N18" s="220">
        <f>'Tabula data'!B10*(1-'Tabula Ref2'!C42)/2*(1-'Tabula Ref2'!C44)</f>
        <v>0</v>
      </c>
      <c r="O18" s="221" t="s">
        <v>39</v>
      </c>
      <c r="P18" s="30">
        <f t="shared" si="5"/>
        <v>0.19316281128097962</v>
      </c>
      <c r="Q18" s="30">
        <f t="shared" si="6"/>
        <v>0</v>
      </c>
      <c r="R18" s="30">
        <f t="shared" si="16"/>
        <v>0</v>
      </c>
      <c r="S18" s="30" t="e">
        <f t="shared" si="17"/>
        <v>#DIV/0!</v>
      </c>
      <c r="T18" s="30">
        <f t="shared" si="18"/>
        <v>0</v>
      </c>
      <c r="U18" s="31"/>
      <c r="V18" s="153"/>
      <c r="W18" s="188"/>
      <c r="X18" s="189"/>
      <c r="Y18" s="189"/>
      <c r="Z18" s="189"/>
      <c r="AA18" s="189"/>
      <c r="AB18" s="189"/>
      <c r="AC18" s="236"/>
      <c r="AD18" s="190"/>
      <c r="AE18" s="14"/>
      <c r="AF18" s="14"/>
      <c r="AG18" s="14"/>
      <c r="AP18" s="81" t="s">
        <v>322</v>
      </c>
      <c r="AQ18" s="167"/>
      <c r="AU18" s="168"/>
      <c r="AV18" s="168"/>
      <c r="AW18" s="168"/>
      <c r="AX18" s="169"/>
      <c r="AZ18" s="168"/>
      <c r="BB18" s="81" t="s">
        <v>304</v>
      </c>
      <c r="BC18" s="167">
        <v>15600000</v>
      </c>
      <c r="BD18" s="167">
        <v>67000</v>
      </c>
      <c r="BE18" s="81">
        <v>232.84</v>
      </c>
      <c r="BF18" s="81" t="s">
        <v>388</v>
      </c>
      <c r="BI18" s="175"/>
      <c r="BJ18" s="175"/>
      <c r="BK18" s="175"/>
      <c r="BL18" s="175"/>
      <c r="BM18" s="174"/>
      <c r="BN18" s="175"/>
      <c r="BP18" s="81" t="s">
        <v>304</v>
      </c>
      <c r="BQ18" s="167">
        <v>15000000</v>
      </c>
      <c r="BR18" s="167">
        <v>733000</v>
      </c>
      <c r="BS18" s="81">
        <v>20.420000000000002</v>
      </c>
      <c r="BT18" s="81" t="s">
        <v>422</v>
      </c>
      <c r="BU18" s="167">
        <v>2E-16</v>
      </c>
      <c r="BV18" s="81" t="s">
        <v>389</v>
      </c>
      <c r="BX18" s="178" t="s">
        <v>319</v>
      </c>
      <c r="BY18" s="178" t="s">
        <v>320</v>
      </c>
      <c r="BZ18" s="178" t="s">
        <v>333</v>
      </c>
      <c r="CA18" s="178" t="s">
        <v>323</v>
      </c>
      <c r="CB18" s="177">
        <f t="shared" si="19"/>
        <v>0.76900000000000002</v>
      </c>
      <c r="CC18" s="178" t="s">
        <v>322</v>
      </c>
      <c r="CN18" s="81" t="s">
        <v>335</v>
      </c>
      <c r="CO18" s="257">
        <f t="shared" si="0"/>
        <v>22.130178793280397</v>
      </c>
      <c r="CP18" s="257">
        <f t="shared" si="1"/>
        <v>637</v>
      </c>
      <c r="CQ18" s="257">
        <f t="shared" si="2"/>
        <v>278</v>
      </c>
      <c r="CT18" s="258" t="s">
        <v>442</v>
      </c>
      <c r="CU18" s="258" t="s">
        <v>448</v>
      </c>
      <c r="CV18" s="259">
        <v>2.1</v>
      </c>
      <c r="CW18" s="259">
        <v>1.7399999999999999E-2</v>
      </c>
      <c r="CX18" s="258">
        <v>120.93</v>
      </c>
      <c r="CY18" s="258" t="s">
        <v>422</v>
      </c>
      <c r="CZ18" s="167">
        <v>2E-16</v>
      </c>
      <c r="DA18" s="81" t="s">
        <v>389</v>
      </c>
      <c r="DB18" s="260" t="s">
        <v>467</v>
      </c>
      <c r="DC18" s="265" t="s">
        <v>481</v>
      </c>
      <c r="DD18" s="261" t="s">
        <v>323</v>
      </c>
      <c r="DE18" s="262">
        <f t="shared" si="10"/>
        <v>3.1199999999999999E-7</v>
      </c>
      <c r="DF18" s="260" t="s">
        <v>322</v>
      </c>
    </row>
    <row r="19" spans="1:110" ht="15" customHeight="1" thickTop="1" thickBot="1" x14ac:dyDescent="0.3">
      <c r="A19" s="188" t="s">
        <v>81</v>
      </c>
      <c r="B19" s="197">
        <f>B17-B18</f>
        <v>0</v>
      </c>
      <c r="C19" s="189"/>
      <c r="D19" s="204"/>
      <c r="E19" s="199"/>
      <c r="F19" s="199"/>
      <c r="G19" s="199"/>
      <c r="H19" s="198"/>
      <c r="J19" s="81" t="s">
        <v>79</v>
      </c>
      <c r="K19" s="218">
        <v>0</v>
      </c>
      <c r="L19" s="219">
        <v>2</v>
      </c>
      <c r="M19" s="219" t="s">
        <v>25</v>
      </c>
      <c r="N19" s="220">
        <f>'Tabula data'!B10*'Tabula Ref2'!C42/2*(1-'Tabula Ref2'!C43)</f>
        <v>26.085502079619726</v>
      </c>
      <c r="O19" s="221" t="s">
        <v>45</v>
      </c>
      <c r="P19" s="30">
        <f t="shared" si="5"/>
        <v>0.19316281128097962</v>
      </c>
      <c r="Q19" s="30">
        <f t="shared" si="6"/>
        <v>5.0387489153751863</v>
      </c>
      <c r="R19" s="30">
        <f t="shared" si="16"/>
        <v>8844706.8481283411</v>
      </c>
      <c r="S19" s="30">
        <f t="shared" si="17"/>
        <v>339065.99999999994</v>
      </c>
      <c r="T19" s="30">
        <f t="shared" si="18"/>
        <v>4721997.5864527635</v>
      </c>
      <c r="U19" s="31"/>
      <c r="V19" s="153"/>
      <c r="W19" s="188"/>
      <c r="X19" s="189" t="s">
        <v>273</v>
      </c>
      <c r="Y19" s="189">
        <v>0.06</v>
      </c>
      <c r="Z19" s="189">
        <v>2.4E-2</v>
      </c>
      <c r="AA19" s="189">
        <v>30</v>
      </c>
      <c r="AB19" s="189">
        <v>1470</v>
      </c>
      <c r="AC19" s="236">
        <f>Y19/Z19</f>
        <v>2.5</v>
      </c>
      <c r="AD19" s="190">
        <f>Y19*AA19*AB19</f>
        <v>2645.9999999999995</v>
      </c>
      <c r="AE19" s="149" t="s">
        <v>274</v>
      </c>
      <c r="AF19" s="14"/>
      <c r="AG19" s="14"/>
      <c r="AL19" s="159" t="s">
        <v>319</v>
      </c>
      <c r="AM19" s="81" t="s">
        <v>320</v>
      </c>
      <c r="AN19" s="81" t="s">
        <v>335</v>
      </c>
      <c r="AO19" s="85">
        <f>SUM(N6:N9)*(1/(SUM(AC18:AC19)*0.5+1/8))</f>
        <v>22.130178793280397</v>
      </c>
      <c r="AP19" s="81" t="s">
        <v>322</v>
      </c>
      <c r="AQ19" s="167">
        <v>298.59179999999998</v>
      </c>
      <c r="AU19" s="168" t="s">
        <v>319</v>
      </c>
      <c r="AV19" s="168" t="s">
        <v>320</v>
      </c>
      <c r="AW19" s="168" t="s">
        <v>335</v>
      </c>
      <c r="AX19" s="169" t="s">
        <v>323</v>
      </c>
      <c r="AY19" s="162">
        <f>AO19</f>
        <v>22.130178793280397</v>
      </c>
      <c r="AZ19" s="168" t="s">
        <v>322</v>
      </c>
      <c r="BB19" s="81" t="s">
        <v>399</v>
      </c>
      <c r="BC19" s="167">
        <v>2950000</v>
      </c>
      <c r="BD19" s="167">
        <v>42900</v>
      </c>
      <c r="BE19" s="81">
        <v>68.739999999999995</v>
      </c>
      <c r="BF19" s="81" t="s">
        <v>388</v>
      </c>
      <c r="BI19" s="175" t="s">
        <v>319</v>
      </c>
      <c r="BJ19" s="175" t="s">
        <v>320</v>
      </c>
      <c r="BK19" s="175" t="s">
        <v>335</v>
      </c>
      <c r="BL19" s="175" t="s">
        <v>323</v>
      </c>
      <c r="BM19" s="181">
        <f>BC32</f>
        <v>637</v>
      </c>
      <c r="BN19" s="175" t="s">
        <v>322</v>
      </c>
      <c r="BP19" s="81" t="s">
        <v>399</v>
      </c>
      <c r="BQ19" s="167">
        <v>3560000</v>
      </c>
      <c r="BR19" s="167">
        <v>405000</v>
      </c>
      <c r="BS19" s="81">
        <v>8.81</v>
      </c>
      <c r="BT19" s="81" t="s">
        <v>422</v>
      </c>
      <c r="BU19" s="167">
        <v>2E-16</v>
      </c>
      <c r="BV19" s="81" t="s">
        <v>389</v>
      </c>
      <c r="BX19" s="178" t="s">
        <v>319</v>
      </c>
      <c r="BY19" s="178" t="s">
        <v>320</v>
      </c>
      <c r="BZ19" s="178" t="s">
        <v>334</v>
      </c>
      <c r="CA19" s="178" t="s">
        <v>323</v>
      </c>
      <c r="CB19" s="177">
        <f t="shared" si="19"/>
        <v>7.2499999999999995E-2</v>
      </c>
      <c r="CC19" s="178" t="s">
        <v>322</v>
      </c>
      <c r="CN19" s="81" t="s">
        <v>336</v>
      </c>
      <c r="CO19" s="257">
        <f t="shared" si="0"/>
        <v>372</v>
      </c>
      <c r="CP19" s="257">
        <f t="shared" si="1"/>
        <v>795</v>
      </c>
      <c r="CQ19" s="257">
        <f t="shared" si="2"/>
        <v>215</v>
      </c>
      <c r="CT19" s="258" t="s">
        <v>442</v>
      </c>
      <c r="CU19" s="258" t="s">
        <v>449</v>
      </c>
      <c r="CV19" s="259">
        <v>1.77</v>
      </c>
      <c r="CW19" s="259">
        <v>3.0800000000000001E-2</v>
      </c>
      <c r="CX19" s="258">
        <v>57.42</v>
      </c>
      <c r="CY19" s="258" t="s">
        <v>422</v>
      </c>
      <c r="CZ19" s="167">
        <v>2E-16</v>
      </c>
      <c r="DA19" s="81" t="s">
        <v>389</v>
      </c>
      <c r="DB19" s="260" t="s">
        <v>467</v>
      </c>
      <c r="DC19" s="263" t="s">
        <v>482</v>
      </c>
      <c r="DD19" s="261" t="s">
        <v>323</v>
      </c>
      <c r="DE19" s="262">
        <f t="shared" si="10"/>
        <v>1.1399999999999999</v>
      </c>
      <c r="DF19" s="260" t="s">
        <v>322</v>
      </c>
    </row>
    <row r="20" spans="1:110" ht="15" customHeight="1" thickTop="1" thickBot="1" x14ac:dyDescent="0.3">
      <c r="A20" s="188"/>
      <c r="B20" s="189"/>
      <c r="C20" s="189"/>
      <c r="D20" s="194" t="s">
        <v>83</v>
      </c>
      <c r="E20" s="199"/>
      <c r="F20" s="207">
        <f>G4/B23</f>
        <v>0.14497920380273319</v>
      </c>
      <c r="G20" s="199"/>
      <c r="H20" s="190"/>
      <c r="J20" s="81" t="s">
        <v>82</v>
      </c>
      <c r="K20" s="218">
        <v>0</v>
      </c>
      <c r="L20" s="219">
        <v>2</v>
      </c>
      <c r="M20" s="219" t="s">
        <v>25</v>
      </c>
      <c r="N20" s="220">
        <f>'Tabula data'!B10*(1-'Tabula Ref2'!C42)/2*(1-'Tabula Ref2'!C44)</f>
        <v>0</v>
      </c>
      <c r="O20" s="221" t="s">
        <v>50</v>
      </c>
      <c r="P20" s="30">
        <f t="shared" si="5"/>
        <v>0.19316281128097962</v>
      </c>
      <c r="Q20" s="30">
        <f t="shared" si="6"/>
        <v>0</v>
      </c>
      <c r="R20" s="30">
        <f t="shared" si="16"/>
        <v>0</v>
      </c>
      <c r="S20" s="30" t="e">
        <f t="shared" si="17"/>
        <v>#DIV/0!</v>
      </c>
      <c r="T20" s="30">
        <f t="shared" si="18"/>
        <v>0</v>
      </c>
      <c r="U20" s="31"/>
      <c r="V20" s="153"/>
      <c r="W20" s="188"/>
      <c r="X20" s="199" t="s">
        <v>275</v>
      </c>
      <c r="Y20" s="189">
        <v>0.14000000000000001</v>
      </c>
      <c r="Z20" s="189">
        <v>0.54</v>
      </c>
      <c r="AA20" s="189">
        <v>1400</v>
      </c>
      <c r="AB20" s="199">
        <v>840</v>
      </c>
      <c r="AC20" s="236">
        <f>Y20/Z20</f>
        <v>0.25925925925925924</v>
      </c>
      <c r="AD20" s="190">
        <f>Y20*AA20*AB20</f>
        <v>164640.00000000003</v>
      </c>
      <c r="AE20" s="14" t="s">
        <v>276</v>
      </c>
      <c r="AF20" s="14"/>
      <c r="AG20" s="14"/>
      <c r="AL20" s="159" t="s">
        <v>319</v>
      </c>
      <c r="AM20" s="81" t="s">
        <v>320</v>
      </c>
      <c r="AN20" s="81" t="s">
        <v>336</v>
      </c>
      <c r="AO20" s="85">
        <f>SUM(N14)*1/(0.5*SUM(AC42:AC43)+1/6)</f>
        <v>372</v>
      </c>
      <c r="AP20" s="81" t="s">
        <v>322</v>
      </c>
      <c r="AQ20" s="167">
        <v>278.86439999999999</v>
      </c>
      <c r="AU20" s="168" t="s">
        <v>319</v>
      </c>
      <c r="AV20" s="168" t="s">
        <v>320</v>
      </c>
      <c r="AW20" s="168" t="s">
        <v>336</v>
      </c>
      <c r="AX20" s="169" t="s">
        <v>323</v>
      </c>
      <c r="AY20" s="162">
        <f t="shared" ref="AY20:AY24" si="20">AO20</f>
        <v>372</v>
      </c>
      <c r="AZ20" s="168" t="s">
        <v>322</v>
      </c>
      <c r="BB20" s="81" t="s">
        <v>301</v>
      </c>
      <c r="BC20" s="167">
        <v>23100000</v>
      </c>
      <c r="BD20" s="167">
        <v>232000</v>
      </c>
      <c r="BE20" s="81">
        <v>99.92</v>
      </c>
      <c r="BF20" s="81" t="s">
        <v>388</v>
      </c>
      <c r="BI20" s="175" t="s">
        <v>319</v>
      </c>
      <c r="BJ20" s="175" t="s">
        <v>320</v>
      </c>
      <c r="BK20" s="175" t="s">
        <v>336</v>
      </c>
      <c r="BL20" s="175" t="s">
        <v>323</v>
      </c>
      <c r="BM20" s="181">
        <f>BC33</f>
        <v>795</v>
      </c>
      <c r="BN20" s="175" t="s">
        <v>322</v>
      </c>
      <c r="BP20" s="81" t="s">
        <v>301</v>
      </c>
      <c r="BQ20" s="167">
        <v>32200000</v>
      </c>
      <c r="BR20" s="167">
        <v>1890000</v>
      </c>
      <c r="BS20" s="81">
        <v>17.04</v>
      </c>
      <c r="BT20" s="81" t="s">
        <v>422</v>
      </c>
      <c r="BU20" s="167">
        <v>2E-16</v>
      </c>
      <c r="BV20" s="81" t="s">
        <v>389</v>
      </c>
      <c r="BX20" s="178"/>
      <c r="BY20" s="178"/>
      <c r="BZ20" s="178"/>
      <c r="CA20" s="178"/>
      <c r="CB20" s="177"/>
      <c r="CC20" s="178"/>
      <c r="CN20" s="81" t="s">
        <v>337</v>
      </c>
      <c r="CO20" s="257">
        <f t="shared" si="0"/>
        <v>163.35738966908525</v>
      </c>
      <c r="CP20" s="257">
        <f t="shared" si="1"/>
        <v>1310</v>
      </c>
      <c r="CQ20" s="257">
        <f t="shared" si="2"/>
        <v>457</v>
      </c>
      <c r="CT20" s="258" t="s">
        <v>442</v>
      </c>
      <c r="CU20" s="258" t="s">
        <v>450</v>
      </c>
      <c r="CV20" s="259">
        <v>0.53700000000000003</v>
      </c>
      <c r="CW20" s="259">
        <v>0.23799999999999999</v>
      </c>
      <c r="CX20" s="258">
        <v>2.2599999999999998</v>
      </c>
      <c r="CY20" s="258">
        <v>2.4E-2</v>
      </c>
      <c r="CZ20" s="81" t="s">
        <v>434</v>
      </c>
      <c r="DB20" s="260" t="s">
        <v>467</v>
      </c>
      <c r="DC20" s="264" t="s">
        <v>483</v>
      </c>
      <c r="DD20" s="261" t="s">
        <v>323</v>
      </c>
      <c r="DE20" s="262">
        <f t="shared" si="10"/>
        <v>0.99399999999999999</v>
      </c>
      <c r="DF20" s="260" t="s">
        <v>322</v>
      </c>
    </row>
    <row r="21" spans="1:110" ht="15" customHeight="1" thickTop="1" thickBot="1" x14ac:dyDescent="0.3">
      <c r="A21" s="188"/>
      <c r="B21" s="189"/>
      <c r="C21" s="189"/>
      <c r="D21" s="194" t="s">
        <v>86</v>
      </c>
      <c r="E21" s="199"/>
      <c r="F21" s="207">
        <f>G4/B6</f>
        <v>0.14497920380273319</v>
      </c>
      <c r="G21" s="199"/>
      <c r="H21" s="190"/>
      <c r="J21" s="81" t="s">
        <v>84</v>
      </c>
      <c r="K21" s="218">
        <v>0</v>
      </c>
      <c r="L21" s="219">
        <v>2</v>
      </c>
      <c r="M21" s="219" t="s">
        <v>54</v>
      </c>
      <c r="N21" s="220">
        <f>H10</f>
        <v>2.85</v>
      </c>
      <c r="O21" s="221" t="s">
        <v>26</v>
      </c>
      <c r="P21" s="30">
        <f t="shared" si="5"/>
        <v>1.1000000000000001</v>
      </c>
      <c r="Q21" s="30">
        <f t="shared" si="6"/>
        <v>3.1350000000000002</v>
      </c>
      <c r="R21" s="30">
        <f t="shared" si="16"/>
        <v>0</v>
      </c>
      <c r="S21" s="30">
        <f t="shared" si="17"/>
        <v>0</v>
      </c>
      <c r="T21" s="30">
        <f t="shared" si="18"/>
        <v>0</v>
      </c>
      <c r="U21" s="31"/>
      <c r="V21" s="153"/>
      <c r="W21" s="205"/>
      <c r="X21" s="187" t="s">
        <v>277</v>
      </c>
      <c r="Y21" s="187">
        <v>0.02</v>
      </c>
      <c r="Z21" s="187">
        <v>0.6</v>
      </c>
      <c r="AA21" s="187">
        <v>975</v>
      </c>
      <c r="AB21" s="187">
        <v>840</v>
      </c>
      <c r="AC21" s="237">
        <f>Y21/Z21</f>
        <v>3.3333333333333333E-2</v>
      </c>
      <c r="AD21" s="210">
        <f>Y21*AA21*AB21</f>
        <v>16380</v>
      </c>
      <c r="AE21" s="14"/>
      <c r="AF21" s="14"/>
      <c r="AG21" s="14"/>
      <c r="AL21" s="159" t="s">
        <v>319</v>
      </c>
      <c r="AM21" s="81" t="s">
        <v>320</v>
      </c>
      <c r="AN21" s="81" t="s">
        <v>337</v>
      </c>
      <c r="AO21" s="85">
        <f>4*Z21*N27</f>
        <v>163.35738966908525</v>
      </c>
      <c r="AP21" s="81" t="s">
        <v>322</v>
      </c>
      <c r="AQ21" s="167">
        <v>721.00049999999999</v>
      </c>
      <c r="AU21" s="168" t="s">
        <v>319</v>
      </c>
      <c r="AV21" s="168" t="s">
        <v>320</v>
      </c>
      <c r="AW21" s="168" t="s">
        <v>337</v>
      </c>
      <c r="AX21" s="169" t="s">
        <v>323</v>
      </c>
      <c r="AY21" s="162">
        <f t="shared" si="20"/>
        <v>163.35738966908525</v>
      </c>
      <c r="AZ21" s="168" t="s">
        <v>322</v>
      </c>
      <c r="BB21" s="81" t="s">
        <v>303</v>
      </c>
      <c r="BC21" s="167">
        <v>30400000</v>
      </c>
      <c r="BD21" s="167">
        <v>78800</v>
      </c>
      <c r="BE21" s="81">
        <v>386.04</v>
      </c>
      <c r="BF21" s="81" t="s">
        <v>388</v>
      </c>
      <c r="BI21" s="175" t="s">
        <v>319</v>
      </c>
      <c r="BJ21" s="175" t="s">
        <v>320</v>
      </c>
      <c r="BK21" s="175" t="s">
        <v>337</v>
      </c>
      <c r="BL21" s="175" t="s">
        <v>323</v>
      </c>
      <c r="BM21" s="181">
        <f>BC34</f>
        <v>1310</v>
      </c>
      <c r="BN21" s="175" t="s">
        <v>322</v>
      </c>
      <c r="BP21" s="81" t="s">
        <v>303</v>
      </c>
      <c r="BQ21" s="167">
        <v>25400000</v>
      </c>
      <c r="BR21" s="167">
        <v>316000</v>
      </c>
      <c r="BS21" s="81">
        <v>80.53</v>
      </c>
      <c r="BT21" s="81" t="s">
        <v>422</v>
      </c>
      <c r="BU21" s="167">
        <v>2E-16</v>
      </c>
      <c r="BV21" s="81" t="s">
        <v>389</v>
      </c>
      <c r="BX21" s="178" t="s">
        <v>319</v>
      </c>
      <c r="BY21" s="178" t="s">
        <v>320</v>
      </c>
      <c r="BZ21" s="178" t="s">
        <v>335</v>
      </c>
      <c r="CA21" s="178" t="s">
        <v>323</v>
      </c>
      <c r="CB21" s="180">
        <f>BQ32</f>
        <v>278</v>
      </c>
      <c r="CC21" s="178" t="s">
        <v>322</v>
      </c>
      <c r="CD21" s="167">
        <f>BR32</f>
        <v>2.25</v>
      </c>
      <c r="CN21" s="81" t="s">
        <v>338</v>
      </c>
      <c r="CO21" s="257">
        <f t="shared" si="0"/>
        <v>36.105048484848481</v>
      </c>
      <c r="CP21" s="257">
        <f t="shared" si="1"/>
        <v>253</v>
      </c>
      <c r="CQ21" s="257">
        <f t="shared" si="2"/>
        <v>272</v>
      </c>
      <c r="CT21" s="258" t="s">
        <v>442</v>
      </c>
      <c r="CU21" s="258" t="s">
        <v>343</v>
      </c>
      <c r="CV21" s="259">
        <v>1.12E-7</v>
      </c>
      <c r="CW21" s="259">
        <v>6.9500000000000004E-6</v>
      </c>
      <c r="CX21" s="258">
        <v>0.02</v>
      </c>
      <c r="CY21" s="258">
        <v>0.98699999999999999</v>
      </c>
      <c r="DB21" s="260" t="s">
        <v>467</v>
      </c>
      <c r="DC21" s="264" t="s">
        <v>484</v>
      </c>
      <c r="DD21" s="261" t="s">
        <v>323</v>
      </c>
      <c r="DE21" s="262">
        <f t="shared" si="10"/>
        <v>0.56000000000000005</v>
      </c>
      <c r="DF21" s="260" t="s">
        <v>322</v>
      </c>
    </row>
    <row r="22" spans="1:110" ht="15" customHeight="1" thickTop="1" thickBot="1" x14ac:dyDescent="0.3">
      <c r="A22" s="205"/>
      <c r="B22" s="187"/>
      <c r="C22" s="187"/>
      <c r="D22" s="188" t="s">
        <v>88</v>
      </c>
      <c r="E22" s="189"/>
      <c r="F22" s="195">
        <f>G4/B26</f>
        <v>9.497859089139743E-2</v>
      </c>
      <c r="G22" s="189"/>
      <c r="H22" s="190"/>
      <c r="J22" s="81" t="s">
        <v>87</v>
      </c>
      <c r="K22" s="218">
        <v>0</v>
      </c>
      <c r="L22" s="219">
        <v>2</v>
      </c>
      <c r="M22" s="219" t="s">
        <v>54</v>
      </c>
      <c r="N22" s="220">
        <f>H11</f>
        <v>3.15</v>
      </c>
      <c r="O22" s="221" t="s">
        <v>39</v>
      </c>
      <c r="P22" s="30">
        <f t="shared" si="5"/>
        <v>1.1000000000000001</v>
      </c>
      <c r="Q22" s="30">
        <f t="shared" si="6"/>
        <v>3.4650000000000003</v>
      </c>
      <c r="R22" s="30">
        <f t="shared" si="16"/>
        <v>0</v>
      </c>
      <c r="S22" s="30">
        <f t="shared" si="17"/>
        <v>0</v>
      </c>
      <c r="T22" s="30">
        <f t="shared" si="18"/>
        <v>0</v>
      </c>
      <c r="U22" s="31"/>
      <c r="V22" s="153"/>
      <c r="W22" s="226"/>
      <c r="X22" s="226"/>
      <c r="Y22" s="226"/>
      <c r="Z22" s="226"/>
      <c r="AA22" s="226"/>
      <c r="AB22" s="226"/>
      <c r="AC22" s="226"/>
      <c r="AD22" s="226"/>
      <c r="AE22" s="14"/>
      <c r="AF22" s="14"/>
      <c r="AG22" s="14"/>
      <c r="AL22" s="159" t="s">
        <v>319</v>
      </c>
      <c r="AM22" s="81" t="s">
        <v>320</v>
      </c>
      <c r="AN22" s="81" t="s">
        <v>338</v>
      </c>
      <c r="AO22" s="85">
        <f>'Verwarming Tabula 2zone'!B60+SUM(Q10:Q13)</f>
        <v>36.105048484848481</v>
      </c>
      <c r="AP22" s="81" t="s">
        <v>322</v>
      </c>
      <c r="AQ22" s="167">
        <v>110.5333</v>
      </c>
      <c r="AU22" s="168" t="s">
        <v>319</v>
      </c>
      <c r="AV22" s="168" t="s">
        <v>320</v>
      </c>
      <c r="AW22" s="168" t="s">
        <v>338</v>
      </c>
      <c r="AX22" s="169" t="s">
        <v>323</v>
      </c>
      <c r="AY22" s="162">
        <f t="shared" si="20"/>
        <v>36.105048484848481</v>
      </c>
      <c r="AZ22" s="168" t="s">
        <v>322</v>
      </c>
      <c r="BB22" s="81" t="s">
        <v>400</v>
      </c>
      <c r="BC22" s="167">
        <v>-5.92</v>
      </c>
      <c r="BD22" s="167">
        <v>5.1700000000000003E-2</v>
      </c>
      <c r="BE22" s="81">
        <v>-114.57</v>
      </c>
      <c r="BF22" s="81" t="s">
        <v>388</v>
      </c>
      <c r="BI22" s="175" t="s">
        <v>319</v>
      </c>
      <c r="BJ22" s="175" t="s">
        <v>320</v>
      </c>
      <c r="BK22" s="175" t="s">
        <v>338</v>
      </c>
      <c r="BL22" s="175" t="s">
        <v>323</v>
      </c>
      <c r="BM22" s="181">
        <f>BC35</f>
        <v>253</v>
      </c>
      <c r="BN22" s="175" t="s">
        <v>322</v>
      </c>
      <c r="BP22" s="81" t="s">
        <v>400</v>
      </c>
      <c r="BQ22" s="167">
        <v>-6.08</v>
      </c>
      <c r="BR22" s="167">
        <v>0.23</v>
      </c>
      <c r="BS22" s="81">
        <v>-26.41</v>
      </c>
      <c r="BT22" s="81" t="s">
        <v>422</v>
      </c>
      <c r="BU22" s="167">
        <v>2E-16</v>
      </c>
      <c r="BV22" s="81" t="s">
        <v>389</v>
      </c>
      <c r="BX22" s="178" t="s">
        <v>319</v>
      </c>
      <c r="BY22" s="178" t="s">
        <v>320</v>
      </c>
      <c r="BZ22" s="178" t="s">
        <v>336</v>
      </c>
      <c r="CA22" s="178" t="s">
        <v>323</v>
      </c>
      <c r="CB22" s="180">
        <f t="shared" ref="CB22:CB24" si="21">BQ33</f>
        <v>215</v>
      </c>
      <c r="CC22" s="178" t="s">
        <v>322</v>
      </c>
      <c r="CD22" s="167">
        <f t="shared" ref="CD22:CD24" si="22">BR33</f>
        <v>1.54</v>
      </c>
      <c r="CN22" s="81" t="s">
        <v>339</v>
      </c>
      <c r="CO22" s="257">
        <f t="shared" si="0"/>
        <v>8.6707430074193077</v>
      </c>
      <c r="CP22" s="257">
        <f t="shared" si="1"/>
        <v>217.39130434782609</v>
      </c>
      <c r="CQ22" s="257">
        <f t="shared" si="2"/>
        <v>326.79738562091507</v>
      </c>
      <c r="CT22" s="258" t="s">
        <v>442</v>
      </c>
      <c r="CU22" s="258" t="s">
        <v>451</v>
      </c>
      <c r="CV22" s="259">
        <v>0.34100000000000003</v>
      </c>
      <c r="CW22" s="259">
        <v>0.13300000000000001</v>
      </c>
      <c r="CX22" s="258">
        <v>2.56</v>
      </c>
      <c r="CY22" s="258">
        <v>1.0999999999999999E-2</v>
      </c>
      <c r="CZ22" s="81" t="s">
        <v>434</v>
      </c>
      <c r="DB22" s="260" t="s">
        <v>467</v>
      </c>
      <c r="DC22" s="264" t="s">
        <v>485</v>
      </c>
      <c r="DD22" s="261" t="s">
        <v>323</v>
      </c>
      <c r="DE22" s="262">
        <f t="shared" si="10"/>
        <v>6.1800000000000004E-10</v>
      </c>
      <c r="DF22" s="260" t="s">
        <v>322</v>
      </c>
    </row>
    <row r="23" spans="1:110" ht="15" customHeight="1" thickTop="1" thickBot="1" x14ac:dyDescent="0.3">
      <c r="A23" s="191" t="s">
        <v>91</v>
      </c>
      <c r="B23" s="192">
        <f>B17+B6</f>
        <v>168.3</v>
      </c>
      <c r="C23" s="202" t="s">
        <v>9</v>
      </c>
      <c r="D23" s="188"/>
      <c r="E23" s="189"/>
      <c r="F23" s="189"/>
      <c r="G23" s="189"/>
      <c r="H23" s="190"/>
      <c r="J23" s="81" t="s">
        <v>89</v>
      </c>
      <c r="K23" s="218">
        <v>0</v>
      </c>
      <c r="L23" s="219">
        <v>2</v>
      </c>
      <c r="M23" s="219" t="s">
        <v>54</v>
      </c>
      <c r="N23" s="220">
        <f>H12</f>
        <v>2.95</v>
      </c>
      <c r="O23" s="221" t="s">
        <v>45</v>
      </c>
      <c r="P23" s="30">
        <f t="shared" si="5"/>
        <v>1.1000000000000001</v>
      </c>
      <c r="Q23" s="30">
        <f t="shared" si="6"/>
        <v>3.2450000000000006</v>
      </c>
      <c r="R23" s="30">
        <f t="shared" si="16"/>
        <v>0</v>
      </c>
      <c r="S23" s="30">
        <f t="shared" si="17"/>
        <v>0</v>
      </c>
      <c r="T23" s="30">
        <f t="shared" si="18"/>
        <v>0</v>
      </c>
      <c r="U23" s="31"/>
      <c r="V23" s="153"/>
      <c r="W23" s="228" t="s">
        <v>85</v>
      </c>
      <c r="X23" s="229"/>
      <c r="Y23" s="230" t="s">
        <v>21</v>
      </c>
      <c r="Z23" s="231">
        <f>(1/(1/8+SUM(AC25:AC27)+1/8))</f>
        <v>1.7363344051446945</v>
      </c>
      <c r="AA23" s="229" t="s">
        <v>5</v>
      </c>
      <c r="AB23" s="229"/>
      <c r="AC23" s="229" t="s">
        <v>22</v>
      </c>
      <c r="AD23" s="232">
        <f>SUM(AD25:AD28)</f>
        <v>197400.00000000003</v>
      </c>
      <c r="AE23" s="14" t="s">
        <v>23</v>
      </c>
      <c r="AF23" s="14">
        <f>SUM(AD25:AD27)</f>
        <v>197400.00000000003</v>
      </c>
      <c r="AG23" s="14"/>
      <c r="AL23" s="159" t="s">
        <v>319</v>
      </c>
      <c r="AM23" s="81" t="s">
        <v>320</v>
      </c>
      <c r="AN23" s="81" t="s">
        <v>339</v>
      </c>
      <c r="AO23" s="85">
        <f>SUM(N6:N9)*1/(SUM(AC15:AC17)+0.5*SUM(AC18:AC19)+1/23)</f>
        <v>8.6707430074193077</v>
      </c>
      <c r="AP23" s="81" t="s">
        <v>322</v>
      </c>
      <c r="AQ23" s="81">
        <f>1/0.01496205</f>
        <v>66.83576114235683</v>
      </c>
      <c r="AU23" s="168" t="s">
        <v>319</v>
      </c>
      <c r="AV23" s="168" t="s">
        <v>320</v>
      </c>
      <c r="AW23" s="168" t="s">
        <v>339</v>
      </c>
      <c r="AX23" s="169" t="s">
        <v>323</v>
      </c>
      <c r="AY23" s="162">
        <f t="shared" si="20"/>
        <v>8.6707430074193077</v>
      </c>
      <c r="AZ23" s="168" t="s">
        <v>322</v>
      </c>
      <c r="BB23" s="81" t="s">
        <v>401</v>
      </c>
      <c r="BC23" s="167">
        <v>-13.3</v>
      </c>
      <c r="BD23" s="167">
        <v>65</v>
      </c>
      <c r="BE23" s="81">
        <v>-0.2</v>
      </c>
      <c r="BF23" s="81">
        <v>0.84</v>
      </c>
      <c r="BI23" s="175" t="s">
        <v>319</v>
      </c>
      <c r="BJ23" s="175" t="s">
        <v>320</v>
      </c>
      <c r="BK23" s="175" t="s">
        <v>339</v>
      </c>
      <c r="BL23" s="175" t="s">
        <v>323</v>
      </c>
      <c r="BM23" s="181">
        <f>1/BC41</f>
        <v>217.39130434782609</v>
      </c>
      <c r="BN23" s="175" t="s">
        <v>322</v>
      </c>
      <c r="BP23" s="81" t="s">
        <v>401</v>
      </c>
      <c r="BQ23" s="167">
        <v>-27.7</v>
      </c>
      <c r="BR23" s="167">
        <v>2.08</v>
      </c>
      <c r="BS23" s="81">
        <v>-13.34</v>
      </c>
      <c r="BT23" s="81" t="s">
        <v>422</v>
      </c>
      <c r="BU23" s="167">
        <v>2E-16</v>
      </c>
      <c r="BV23" s="81" t="s">
        <v>389</v>
      </c>
      <c r="BX23" s="178" t="s">
        <v>319</v>
      </c>
      <c r="BY23" s="178" t="s">
        <v>320</v>
      </c>
      <c r="BZ23" s="178" t="s">
        <v>337</v>
      </c>
      <c r="CA23" s="178" t="s">
        <v>323</v>
      </c>
      <c r="CB23" s="180">
        <f t="shared" si="21"/>
        <v>457</v>
      </c>
      <c r="CC23" s="178" t="s">
        <v>322</v>
      </c>
      <c r="CD23" s="167">
        <f t="shared" si="22"/>
        <v>3.7</v>
      </c>
      <c r="CN23" s="81" t="s">
        <v>340</v>
      </c>
      <c r="CO23" s="257">
        <f t="shared" si="0"/>
        <v>88.171557562076742</v>
      </c>
      <c r="CP23" s="257">
        <f t="shared" si="1"/>
        <v>81.900000000000006</v>
      </c>
      <c r="CQ23" s="257">
        <f t="shared" si="2"/>
        <v>75.900000000000006</v>
      </c>
      <c r="CT23" s="258" t="s">
        <v>442</v>
      </c>
      <c r="CU23" s="258" t="s">
        <v>452</v>
      </c>
      <c r="CV23" s="259">
        <v>5.91E-2</v>
      </c>
      <c r="CW23" s="259">
        <v>0.22700000000000001</v>
      </c>
      <c r="CX23" s="258">
        <v>0.26</v>
      </c>
      <c r="CY23" s="258">
        <v>0.79500000000000004</v>
      </c>
      <c r="DB23" s="260" t="s">
        <v>467</v>
      </c>
      <c r="DC23" s="263" t="s">
        <v>486</v>
      </c>
      <c r="DD23" s="261" t="s">
        <v>323</v>
      </c>
      <c r="DE23" s="262">
        <f t="shared" si="10"/>
        <v>0.67600000000000005</v>
      </c>
      <c r="DF23" s="260" t="s">
        <v>322</v>
      </c>
    </row>
    <row r="24" spans="1:110" ht="15" customHeight="1" thickTop="1" thickBot="1" x14ac:dyDescent="0.3">
      <c r="A24" s="188" t="s">
        <v>94</v>
      </c>
      <c r="B24" s="208">
        <f>B23/B6</f>
        <v>1</v>
      </c>
      <c r="C24" s="189"/>
      <c r="D24" s="188" t="s">
        <v>95</v>
      </c>
      <c r="E24" s="189"/>
      <c r="F24" s="208">
        <f>B8/B6</f>
        <v>0.63161021984551402</v>
      </c>
      <c r="G24" s="189"/>
      <c r="H24" s="190"/>
      <c r="J24" s="81" t="s">
        <v>92</v>
      </c>
      <c r="K24" s="218">
        <v>0</v>
      </c>
      <c r="L24" s="219">
        <v>2</v>
      </c>
      <c r="M24" s="219" t="s">
        <v>54</v>
      </c>
      <c r="N24" s="220">
        <f>H13</f>
        <v>3.25</v>
      </c>
      <c r="O24" s="221" t="s">
        <v>50</v>
      </c>
      <c r="P24" s="30">
        <f t="shared" si="5"/>
        <v>1.1000000000000001</v>
      </c>
      <c r="Q24" s="30">
        <f t="shared" si="6"/>
        <v>3.5750000000000002</v>
      </c>
      <c r="R24" s="30">
        <f t="shared" si="16"/>
        <v>0</v>
      </c>
      <c r="S24" s="30">
        <f t="shared" si="17"/>
        <v>0</v>
      </c>
      <c r="T24" s="30">
        <f t="shared" si="18"/>
        <v>0</v>
      </c>
      <c r="U24" s="31"/>
      <c r="V24" s="153"/>
      <c r="W24" s="233"/>
      <c r="X24" s="234" t="s">
        <v>27</v>
      </c>
      <c r="Y24" s="234" t="s">
        <v>28</v>
      </c>
      <c r="Z24" s="234" t="s">
        <v>29</v>
      </c>
      <c r="AA24" s="234" t="s">
        <v>30</v>
      </c>
      <c r="AB24" s="234" t="s">
        <v>31</v>
      </c>
      <c r="AC24" s="234" t="s">
        <v>32</v>
      </c>
      <c r="AD24" s="235" t="s">
        <v>33</v>
      </c>
      <c r="AE24" s="14"/>
      <c r="AF24" s="14"/>
      <c r="AG24" s="14"/>
      <c r="AL24" s="159" t="s">
        <v>319</v>
      </c>
      <c r="AM24" s="81" t="s">
        <v>320</v>
      </c>
      <c r="AN24" s="81" t="s">
        <v>340</v>
      </c>
      <c r="AO24" s="85">
        <f>SUM(N14)*1/(SUM(AC44:AC46)+0.5*SUM(AC42:AC43))</f>
        <v>88.171557562076742</v>
      </c>
      <c r="AP24" s="81" t="s">
        <v>322</v>
      </c>
      <c r="AQ24" s="167">
        <v>43.800190000000001</v>
      </c>
      <c r="AU24" s="168" t="s">
        <v>319</v>
      </c>
      <c r="AV24" s="168" t="s">
        <v>320</v>
      </c>
      <c r="AW24" s="168" t="s">
        <v>340</v>
      </c>
      <c r="AX24" s="169" t="s">
        <v>323</v>
      </c>
      <c r="AY24" s="162">
        <f t="shared" si="20"/>
        <v>88.171557562076742</v>
      </c>
      <c r="AZ24" s="168" t="s">
        <v>322</v>
      </c>
      <c r="BB24" s="81" t="s">
        <v>402</v>
      </c>
      <c r="BC24" s="167">
        <v>-15.6</v>
      </c>
      <c r="BD24" s="167">
        <v>83.5</v>
      </c>
      <c r="BE24" s="81">
        <v>-0.19</v>
      </c>
      <c r="BF24" s="81">
        <v>0.85</v>
      </c>
      <c r="BI24" s="175" t="s">
        <v>319</v>
      </c>
      <c r="BJ24" s="175" t="s">
        <v>320</v>
      </c>
      <c r="BK24" s="175" t="s">
        <v>340</v>
      </c>
      <c r="BL24" s="175" t="s">
        <v>323</v>
      </c>
      <c r="BM24" s="181">
        <f>BC44</f>
        <v>81.900000000000006</v>
      </c>
      <c r="BN24" s="175" t="s">
        <v>322</v>
      </c>
      <c r="BP24" s="81" t="s">
        <v>402</v>
      </c>
      <c r="BQ24" s="167">
        <v>-23.8</v>
      </c>
      <c r="BR24" s="167">
        <v>9</v>
      </c>
      <c r="BS24" s="81">
        <v>-2.65</v>
      </c>
      <c r="BT24" s="81">
        <v>8.0999999999999996E-3</v>
      </c>
      <c r="BU24" s="81" t="s">
        <v>425</v>
      </c>
      <c r="BX24" s="178" t="s">
        <v>319</v>
      </c>
      <c r="BY24" s="178" t="s">
        <v>320</v>
      </c>
      <c r="BZ24" s="178" t="s">
        <v>338</v>
      </c>
      <c r="CA24" s="178" t="s">
        <v>323</v>
      </c>
      <c r="CB24" s="180">
        <f t="shared" si="21"/>
        <v>272</v>
      </c>
      <c r="CC24" s="178" t="s">
        <v>322</v>
      </c>
      <c r="CD24" s="167">
        <f t="shared" si="22"/>
        <v>18.2</v>
      </c>
      <c r="CO24" s="255"/>
      <c r="CP24" s="255"/>
      <c r="CQ24" s="255"/>
      <c r="CT24" s="258" t="s">
        <v>442</v>
      </c>
      <c r="CU24" s="258" t="s">
        <v>453</v>
      </c>
      <c r="CV24" s="259">
        <v>0.98799999999999999</v>
      </c>
      <c r="CW24" s="259">
        <v>1.5599999999999999E-2</v>
      </c>
      <c r="CX24" s="258">
        <v>63.27</v>
      </c>
      <c r="CY24" s="258" t="s">
        <v>422</v>
      </c>
      <c r="CZ24" s="167">
        <v>2E-16</v>
      </c>
      <c r="DA24" s="81" t="s">
        <v>389</v>
      </c>
      <c r="DB24" s="260" t="s">
        <v>467</v>
      </c>
      <c r="DC24" s="261" t="s">
        <v>487</v>
      </c>
      <c r="DD24" s="261" t="s">
        <v>323</v>
      </c>
      <c r="DE24" s="262">
        <f t="shared" si="10"/>
        <v>0.55000000000000004</v>
      </c>
      <c r="DF24" s="260" t="s">
        <v>322</v>
      </c>
    </row>
    <row r="25" spans="1:110" ht="15" customHeight="1" thickTop="1" thickBot="1" x14ac:dyDescent="0.3">
      <c r="A25" s="205"/>
      <c r="B25" s="187"/>
      <c r="C25" s="187"/>
      <c r="D25" s="188"/>
      <c r="E25" s="189"/>
      <c r="F25" s="189"/>
      <c r="G25" s="189"/>
      <c r="H25" s="190"/>
      <c r="J25" s="81" t="s">
        <v>96</v>
      </c>
      <c r="K25" s="218">
        <v>0</v>
      </c>
      <c r="L25" s="219">
        <v>2</v>
      </c>
      <c r="M25" s="219" t="s">
        <v>20</v>
      </c>
      <c r="N25" s="220">
        <f>'Tabula data'!B7</f>
        <v>78.599999999999994</v>
      </c>
      <c r="O25" s="221" t="s">
        <v>97</v>
      </c>
      <c r="P25" s="30">
        <f t="shared" si="5"/>
        <v>0.1523066735339563</v>
      </c>
      <c r="Q25" s="30">
        <f t="shared" si="6"/>
        <v>11.971304539768964</v>
      </c>
      <c r="R25" s="30">
        <f t="shared" si="16"/>
        <v>5308329.5999999996</v>
      </c>
      <c r="S25" s="30">
        <f t="shared" si="17"/>
        <v>67536</v>
      </c>
      <c r="T25" s="30">
        <f t="shared" si="18"/>
        <v>1287468</v>
      </c>
      <c r="U25" s="31"/>
      <c r="V25" s="153"/>
      <c r="W25" s="188"/>
      <c r="X25" s="189" t="s">
        <v>90</v>
      </c>
      <c r="Y25" s="189">
        <v>0.02</v>
      </c>
      <c r="Z25" s="189">
        <v>0.6</v>
      </c>
      <c r="AA25" s="189">
        <v>975</v>
      </c>
      <c r="AB25" s="189">
        <v>840</v>
      </c>
      <c r="AC25" s="236">
        <f>Y25/Z25</f>
        <v>3.3333333333333333E-2</v>
      </c>
      <c r="AD25" s="190">
        <f>Y25*AA25*AB25</f>
        <v>16380</v>
      </c>
      <c r="AE25" s="14"/>
      <c r="AF25" s="14"/>
      <c r="AG25" s="14"/>
      <c r="AP25" s="81" t="s">
        <v>322</v>
      </c>
      <c r="AU25" s="168"/>
      <c r="AV25" s="168"/>
      <c r="AW25" s="168"/>
      <c r="AX25" s="169"/>
      <c r="AZ25" s="168"/>
      <c r="BB25" s="81" t="s">
        <v>403</v>
      </c>
      <c r="BC25" s="167">
        <v>-11.3</v>
      </c>
      <c r="BD25" s="167">
        <v>53</v>
      </c>
      <c r="BE25" s="81">
        <v>-0.21</v>
      </c>
      <c r="BF25" s="81">
        <v>0.83</v>
      </c>
      <c r="BI25" s="175"/>
      <c r="BJ25" s="175"/>
      <c r="BK25" s="175"/>
      <c r="BL25" s="175"/>
      <c r="BM25" s="174"/>
      <c r="BN25" s="175"/>
      <c r="BP25" s="81" t="s">
        <v>403</v>
      </c>
      <c r="BQ25" s="167">
        <v>-16.399999999999999</v>
      </c>
      <c r="BR25" s="167">
        <v>1.69</v>
      </c>
      <c r="BS25" s="81">
        <v>-9.69</v>
      </c>
      <c r="BT25" s="81" t="s">
        <v>422</v>
      </c>
      <c r="BU25" s="167">
        <v>2E-16</v>
      </c>
      <c r="BV25" s="81" t="s">
        <v>389</v>
      </c>
      <c r="BX25" s="178" t="s">
        <v>319</v>
      </c>
      <c r="BY25" s="178" t="s">
        <v>320</v>
      </c>
      <c r="BZ25" s="178" t="s">
        <v>339</v>
      </c>
      <c r="CA25" s="178" t="s">
        <v>323</v>
      </c>
      <c r="CB25" s="180">
        <f>1/BQ41</f>
        <v>326.79738562091507</v>
      </c>
      <c r="CC25" s="178" t="s">
        <v>322</v>
      </c>
      <c r="CD25" s="167">
        <f>CB25/50</f>
        <v>6.5359477124183014</v>
      </c>
      <c r="CN25" s="81" t="s">
        <v>341</v>
      </c>
      <c r="CO25" s="254">
        <f t="shared" si="0"/>
        <v>0.40653709003909116</v>
      </c>
      <c r="CP25" s="254">
        <f t="shared" si="1"/>
        <v>0.44900000000000001</v>
      </c>
      <c r="CQ25" s="254">
        <f t="shared" si="2"/>
        <v>0.46800000000000003</v>
      </c>
      <c r="CT25" s="258" t="s">
        <v>442</v>
      </c>
      <c r="CU25" s="258" t="s">
        <v>454</v>
      </c>
      <c r="CV25" s="259">
        <v>3.1199999999999999E-7</v>
      </c>
      <c r="CW25" s="259">
        <v>1.27E-5</v>
      </c>
      <c r="CX25" s="258">
        <v>0.02</v>
      </c>
      <c r="CY25" s="258">
        <v>0.98</v>
      </c>
      <c r="DD25" s="261"/>
    </row>
    <row r="26" spans="1:110" ht="15" customHeight="1" thickTop="1" thickBot="1" x14ac:dyDescent="0.3">
      <c r="A26" s="191" t="s">
        <v>100</v>
      </c>
      <c r="B26" s="209">
        <f>'Tabula data'!B6</f>
        <v>256.89999999999998</v>
      </c>
      <c r="C26" s="203" t="s">
        <v>9</v>
      </c>
      <c r="D26" s="188"/>
      <c r="E26" s="189"/>
      <c r="F26" s="189"/>
      <c r="G26" s="189"/>
      <c r="H26" s="190"/>
      <c r="J26" s="81" t="s">
        <v>98</v>
      </c>
      <c r="K26" s="218">
        <v>1</v>
      </c>
      <c r="L26" s="219">
        <v>2</v>
      </c>
      <c r="M26" s="219" t="s">
        <v>99</v>
      </c>
      <c r="N26" s="220">
        <f>N14</f>
        <v>62</v>
      </c>
      <c r="O26" s="221"/>
      <c r="P26" s="30">
        <f t="shared" si="5"/>
        <v>1.4911242603550294</v>
      </c>
      <c r="Q26" s="30">
        <f t="shared" si="6"/>
        <v>92.449704142011825</v>
      </c>
      <c r="R26" s="30">
        <f t="shared" si="16"/>
        <v>28355700</v>
      </c>
      <c r="S26" s="30">
        <f t="shared" si="17"/>
        <v>457350</v>
      </c>
      <c r="T26" s="30">
        <f t="shared" si="18"/>
        <v>28355700</v>
      </c>
      <c r="U26" s="31"/>
      <c r="V26" s="153"/>
      <c r="W26" s="188"/>
      <c r="X26" s="189" t="s">
        <v>93</v>
      </c>
      <c r="Y26" s="189">
        <v>0.14000000000000001</v>
      </c>
      <c r="Z26" s="189">
        <v>0.54</v>
      </c>
      <c r="AA26" s="189">
        <v>1400</v>
      </c>
      <c r="AB26" s="189">
        <v>840</v>
      </c>
      <c r="AC26" s="236">
        <f>Y26/Z26</f>
        <v>0.25925925925925924</v>
      </c>
      <c r="AD26" s="190">
        <f>Y26*AA26*AB26</f>
        <v>164640.00000000003</v>
      </c>
      <c r="AE26" s="14"/>
      <c r="AF26" s="14"/>
      <c r="AG26" s="14"/>
      <c r="AL26" s="159" t="s">
        <v>319</v>
      </c>
      <c r="AM26" s="81" t="s">
        <v>320</v>
      </c>
      <c r="AN26" s="81" t="s">
        <v>341</v>
      </c>
      <c r="AO26" s="81">
        <f>SUM(N17:N20,N25)/SUM(N$17:N$25,N$28,N$26)</f>
        <v>0.40653709003909116</v>
      </c>
      <c r="AP26" s="81" t="s">
        <v>322</v>
      </c>
      <c r="AQ26" s="167">
        <v>0.44339849999999997</v>
      </c>
      <c r="AU26" s="168" t="s">
        <v>319</v>
      </c>
      <c r="AV26" s="168" t="s">
        <v>320</v>
      </c>
      <c r="AW26" s="168" t="s">
        <v>341</v>
      </c>
      <c r="AX26" s="169" t="s">
        <v>323</v>
      </c>
      <c r="AY26" s="162">
        <f>AO26</f>
        <v>0.40653709003909116</v>
      </c>
      <c r="AZ26" s="168" t="s">
        <v>322</v>
      </c>
      <c r="BB26" s="81" t="s">
        <v>404</v>
      </c>
      <c r="BC26" s="167">
        <v>-14.8</v>
      </c>
      <c r="BD26" s="167">
        <v>69.3</v>
      </c>
      <c r="BE26" s="81">
        <v>-0.21</v>
      </c>
      <c r="BF26" s="81">
        <v>0.83</v>
      </c>
      <c r="BI26" s="175" t="s">
        <v>319</v>
      </c>
      <c r="BJ26" s="175" t="s">
        <v>320</v>
      </c>
      <c r="BK26" s="175" t="s">
        <v>341</v>
      </c>
      <c r="BL26" s="175" t="s">
        <v>323</v>
      </c>
      <c r="BM26" s="174">
        <f>BC54</f>
        <v>0.44900000000000001</v>
      </c>
      <c r="BN26" s="175" t="s">
        <v>322</v>
      </c>
      <c r="BP26" s="81" t="s">
        <v>404</v>
      </c>
      <c r="BQ26" s="167">
        <v>-21.6</v>
      </c>
      <c r="BR26" s="167">
        <v>1.83E-2</v>
      </c>
      <c r="BS26" s="81">
        <v>-1183.33</v>
      </c>
      <c r="BT26" s="81" t="s">
        <v>422</v>
      </c>
      <c r="BU26" s="167">
        <v>2E-16</v>
      </c>
      <c r="BV26" s="81" t="s">
        <v>389</v>
      </c>
      <c r="BX26" s="178" t="s">
        <v>319</v>
      </c>
      <c r="BY26" s="178" t="s">
        <v>320</v>
      </c>
      <c r="BZ26" s="178" t="s">
        <v>340</v>
      </c>
      <c r="CA26" s="178" t="s">
        <v>323</v>
      </c>
      <c r="CB26" s="180">
        <f>BQ44</f>
        <v>75.900000000000006</v>
      </c>
      <c r="CC26" s="178" t="s">
        <v>322</v>
      </c>
      <c r="CN26" s="81" t="s">
        <v>342</v>
      </c>
      <c r="CO26" s="254">
        <f t="shared" si="0"/>
        <v>0.36279211046036619</v>
      </c>
      <c r="CP26" s="254">
        <f t="shared" si="1"/>
        <v>0.111</v>
      </c>
      <c r="CQ26" s="254">
        <f t="shared" si="2"/>
        <v>0.14099999999999999</v>
      </c>
      <c r="CT26" s="258" t="s">
        <v>442</v>
      </c>
      <c r="CU26" s="258" t="s">
        <v>455</v>
      </c>
      <c r="CV26" s="259">
        <v>1.1399999999999999</v>
      </c>
      <c r="CW26" s="259">
        <v>9.3699999999999999E-3</v>
      </c>
      <c r="CX26" s="258">
        <v>121.65</v>
      </c>
      <c r="CY26" s="258" t="s">
        <v>422</v>
      </c>
      <c r="CZ26" s="167">
        <v>2E-16</v>
      </c>
      <c r="DA26" s="81" t="s">
        <v>389</v>
      </c>
      <c r="DC26" s="261"/>
      <c r="DD26" s="261"/>
      <c r="DE26" s="262"/>
    </row>
    <row r="27" spans="1:110" ht="15" customHeight="1" thickTop="1" thickBot="1" x14ac:dyDescent="0.3">
      <c r="A27" s="188"/>
      <c r="B27" s="208">
        <f>SUM(N6:N25)</f>
        <v>257.09999999999997</v>
      </c>
      <c r="C27" s="190" t="s">
        <v>9</v>
      </c>
      <c r="D27" s="188"/>
      <c r="E27" s="189"/>
      <c r="F27" s="189"/>
      <c r="G27" s="189"/>
      <c r="H27" s="190"/>
      <c r="J27" s="81" t="s">
        <v>101</v>
      </c>
      <c r="K27" s="218">
        <v>1</v>
      </c>
      <c r="L27" s="219">
        <v>1</v>
      </c>
      <c r="M27" s="219" t="s">
        <v>85</v>
      </c>
      <c r="N27" s="220">
        <f>SUM(N6:N9)+N30/2</f>
        <v>68.065579028785521</v>
      </c>
      <c r="O27" s="221"/>
      <c r="P27" s="30">
        <f t="shared" si="5"/>
        <v>1.7363344051446945</v>
      </c>
      <c r="Q27" s="30">
        <f t="shared" si="6"/>
        <v>118.18460667377551</v>
      </c>
      <c r="R27" s="30">
        <f t="shared" si="16"/>
        <v>13436145.300282264</v>
      </c>
      <c r="S27" s="30">
        <f t="shared" si="17"/>
        <v>197400.00000000003</v>
      </c>
      <c r="T27" s="30">
        <f t="shared" si="18"/>
        <v>13436145.300282264</v>
      </c>
      <c r="U27" s="31"/>
      <c r="V27" s="153"/>
      <c r="W27" s="205"/>
      <c r="X27" s="187" t="s">
        <v>90</v>
      </c>
      <c r="Y27" s="187">
        <v>0.02</v>
      </c>
      <c r="Z27" s="187">
        <v>0.6</v>
      </c>
      <c r="AA27" s="187">
        <v>975</v>
      </c>
      <c r="AB27" s="187">
        <v>840</v>
      </c>
      <c r="AC27" s="237">
        <f>Y27/Z27</f>
        <v>3.3333333333333333E-2</v>
      </c>
      <c r="AD27" s="210">
        <f>Y27*AA27*AB27</f>
        <v>16380</v>
      </c>
      <c r="AE27" s="14"/>
      <c r="AF27" s="14"/>
      <c r="AG27" s="14"/>
      <c r="AL27" s="159" t="s">
        <v>319</v>
      </c>
      <c r="AM27" s="81" t="s">
        <v>320</v>
      </c>
      <c r="AN27" s="81" t="s">
        <v>342</v>
      </c>
      <c r="AO27" s="81">
        <f>SUM(N28)/SUM(N$17:N$25,N$28,N$26)</f>
        <v>0.36279211046036619</v>
      </c>
      <c r="AP27" s="81" t="s">
        <v>322</v>
      </c>
      <c r="AQ27" s="167">
        <v>0.14522370000000001</v>
      </c>
      <c r="AU27" s="168" t="s">
        <v>319</v>
      </c>
      <c r="AV27" s="168" t="s">
        <v>320</v>
      </c>
      <c r="AW27" s="168" t="s">
        <v>342</v>
      </c>
      <c r="AX27" s="169" t="s">
        <v>323</v>
      </c>
      <c r="AY27" s="162">
        <f t="shared" ref="AY27:AY28" si="23">AO27</f>
        <v>0.36279211046036619</v>
      </c>
      <c r="AZ27" s="168" t="s">
        <v>322</v>
      </c>
      <c r="BB27" s="81" t="s">
        <v>405</v>
      </c>
      <c r="BC27" s="167">
        <v>0.11700000000000001</v>
      </c>
      <c r="BD27" s="167">
        <v>5.5000000000000003E-4</v>
      </c>
      <c r="BE27" s="81">
        <v>212.4</v>
      </c>
      <c r="BF27" s="81" t="s">
        <v>388</v>
      </c>
      <c r="BI27" s="175" t="s">
        <v>319</v>
      </c>
      <c r="BJ27" s="175" t="s">
        <v>320</v>
      </c>
      <c r="BK27" s="175" t="s">
        <v>342</v>
      </c>
      <c r="BL27" s="175" t="s">
        <v>323</v>
      </c>
      <c r="BM27" s="174">
        <f>BC55</f>
        <v>0.111</v>
      </c>
      <c r="BN27" s="175" t="s">
        <v>322</v>
      </c>
      <c r="BP27" s="81" t="s">
        <v>405</v>
      </c>
      <c r="BQ27" s="167">
        <v>7.0400000000000004E-2</v>
      </c>
      <c r="BR27" s="167">
        <v>1.0300000000000001E-3</v>
      </c>
      <c r="BS27" s="81">
        <v>68.37</v>
      </c>
      <c r="BT27" s="81" t="s">
        <v>422</v>
      </c>
      <c r="BU27" s="167">
        <v>2E-16</v>
      </c>
      <c r="BV27" s="81" t="s">
        <v>389</v>
      </c>
      <c r="BX27" s="178"/>
      <c r="BY27" s="178"/>
      <c r="BZ27" s="178"/>
      <c r="CA27" s="178"/>
      <c r="CB27" s="177"/>
      <c r="CC27" s="178"/>
      <c r="CN27" s="81" t="s">
        <v>343</v>
      </c>
      <c r="CO27" s="254">
        <f t="shared" si="0"/>
        <v>3.7927004769631019E-2</v>
      </c>
      <c r="CP27" s="254">
        <f t="shared" si="1"/>
        <v>0.255</v>
      </c>
      <c r="CQ27" s="254">
        <f t="shared" si="2"/>
        <v>0.108</v>
      </c>
      <c r="CT27" s="258" t="s">
        <v>442</v>
      </c>
      <c r="CU27" s="258" t="s">
        <v>456</v>
      </c>
      <c r="CV27" s="259">
        <v>0.99399999999999999</v>
      </c>
      <c r="CW27" s="259">
        <v>1.5900000000000001E-2</v>
      </c>
      <c r="CX27" s="258">
        <v>62.51</v>
      </c>
      <c r="CY27" s="258" t="s">
        <v>422</v>
      </c>
      <c r="CZ27" s="167">
        <v>2E-16</v>
      </c>
      <c r="DA27" s="81" t="s">
        <v>389</v>
      </c>
      <c r="DB27" s="260" t="s">
        <v>467</v>
      </c>
      <c r="DC27" s="261" t="s">
        <v>330</v>
      </c>
      <c r="DD27" s="261" t="s">
        <v>323</v>
      </c>
      <c r="DE27" s="262">
        <f>CV33</f>
        <v>14800000</v>
      </c>
      <c r="DF27" s="260" t="s">
        <v>322</v>
      </c>
    </row>
    <row r="28" spans="1:110" ht="15" customHeight="1" thickTop="1" thickBot="1" x14ac:dyDescent="0.3">
      <c r="A28" s="188"/>
      <c r="B28" s="189"/>
      <c r="C28" s="190"/>
      <c r="D28" s="188"/>
      <c r="E28" s="189"/>
      <c r="F28" s="189"/>
      <c r="G28" s="189"/>
      <c r="H28" s="190"/>
      <c r="J28" s="81" t="s">
        <v>102</v>
      </c>
      <c r="K28" s="218">
        <v>2</v>
      </c>
      <c r="L28" s="219">
        <v>2</v>
      </c>
      <c r="M28" s="219" t="s">
        <v>85</v>
      </c>
      <c r="N28" s="220">
        <f>SUM(N17:N20)+N31/2</f>
        <v>116.69953307677261</v>
      </c>
      <c r="O28" s="221"/>
      <c r="P28" s="30">
        <f>VLOOKUP(M28,$W$5:$Z$391,4,0)</f>
        <v>1.7363344051446945</v>
      </c>
      <c r="Q28" s="30">
        <f>P28*N28</f>
        <v>202.62941434552158</v>
      </c>
      <c r="R28" s="30">
        <f>VLOOKUP(M28,$W$5:$AD$391,8,0)*N28</f>
        <v>23036487.829354916</v>
      </c>
      <c r="S28" s="30">
        <f>R28/N28</f>
        <v>197400.00000000003</v>
      </c>
      <c r="T28" s="30">
        <f>VLOOKUP(M28,$W$5:$AF$391,10,0)*N28</f>
        <v>23036487.829354916</v>
      </c>
      <c r="U28" s="31"/>
      <c r="V28" s="153"/>
      <c r="W28" s="226"/>
      <c r="X28" s="226"/>
      <c r="Y28" s="226"/>
      <c r="Z28" s="226"/>
      <c r="AA28" s="226"/>
      <c r="AB28" s="226"/>
      <c r="AC28" s="226"/>
      <c r="AD28" s="226"/>
      <c r="AE28" s="14"/>
      <c r="AF28" s="14"/>
      <c r="AG28" s="14"/>
      <c r="AL28" s="159" t="s">
        <v>319</v>
      </c>
      <c r="AM28" s="81" t="s">
        <v>320</v>
      </c>
      <c r="AN28" s="81" t="s">
        <v>343</v>
      </c>
      <c r="AO28" s="81">
        <f>SUM(N21:N24)/SUM(N$17:N$25,N$28,N$26)</f>
        <v>3.7927004769631019E-2</v>
      </c>
      <c r="AP28" s="81" t="s">
        <v>322</v>
      </c>
      <c r="AQ28" s="167">
        <v>0.13569049999999999</v>
      </c>
      <c r="AU28" s="168" t="s">
        <v>319</v>
      </c>
      <c r="AV28" s="168" t="s">
        <v>320</v>
      </c>
      <c r="AW28" s="168" t="s">
        <v>343</v>
      </c>
      <c r="AX28" s="169" t="s">
        <v>323</v>
      </c>
      <c r="AY28" s="162">
        <f t="shared" si="23"/>
        <v>3.7927004769631019E-2</v>
      </c>
      <c r="AZ28" s="168" t="s">
        <v>322</v>
      </c>
      <c r="BB28" s="81" t="s">
        <v>406</v>
      </c>
      <c r="BC28" s="167">
        <v>0.22500000000000001</v>
      </c>
      <c r="BD28" s="167">
        <v>9.9500000000000001E-4</v>
      </c>
      <c r="BE28" s="81">
        <v>225.89</v>
      </c>
      <c r="BF28" s="81" t="s">
        <v>388</v>
      </c>
      <c r="BI28" s="175" t="s">
        <v>319</v>
      </c>
      <c r="BJ28" s="175" t="s">
        <v>320</v>
      </c>
      <c r="BK28" s="175" t="s">
        <v>343</v>
      </c>
      <c r="BL28" s="175" t="s">
        <v>323</v>
      </c>
      <c r="BM28" s="174">
        <f>BC56</f>
        <v>0.255</v>
      </c>
      <c r="BN28" s="175" t="s">
        <v>322</v>
      </c>
      <c r="BP28" s="81" t="s">
        <v>406</v>
      </c>
      <c r="BQ28" s="167">
        <v>0.13700000000000001</v>
      </c>
      <c r="BR28" s="167">
        <v>1.8699999999999999E-3</v>
      </c>
      <c r="BS28" s="81">
        <v>73.45</v>
      </c>
      <c r="BT28" s="81" t="s">
        <v>422</v>
      </c>
      <c r="BU28" s="167">
        <v>2E-16</v>
      </c>
      <c r="BV28" s="81" t="s">
        <v>389</v>
      </c>
      <c r="BX28" s="178" t="s">
        <v>319</v>
      </c>
      <c r="BY28" s="178" t="s">
        <v>320</v>
      </c>
      <c r="BZ28" s="178" t="s">
        <v>341</v>
      </c>
      <c r="CA28" s="178" t="s">
        <v>323</v>
      </c>
      <c r="CB28" s="177">
        <f>BQ53</f>
        <v>0.46800000000000003</v>
      </c>
      <c r="CC28" s="178" t="s">
        <v>322</v>
      </c>
      <c r="CO28" s="255"/>
      <c r="CP28" s="255"/>
      <c r="CQ28" s="255"/>
      <c r="CT28" s="258" t="s">
        <v>442</v>
      </c>
      <c r="CU28" s="258" t="s">
        <v>457</v>
      </c>
      <c r="CV28" s="259">
        <v>0.56000000000000005</v>
      </c>
      <c r="CW28" s="259">
        <v>1.11E-2</v>
      </c>
      <c r="CX28" s="258">
        <v>50.42</v>
      </c>
      <c r="CY28" s="258" t="s">
        <v>422</v>
      </c>
      <c r="CZ28" s="167">
        <v>2E-16</v>
      </c>
      <c r="DA28" s="81" t="s">
        <v>389</v>
      </c>
      <c r="DB28" s="260" t="s">
        <v>467</v>
      </c>
      <c r="DC28" s="264" t="s">
        <v>327</v>
      </c>
      <c r="DD28" s="261" t="s">
        <v>323</v>
      </c>
      <c r="DE28" s="262">
        <f t="shared" ref="DE28:DE30" si="24">CV34</f>
        <v>3530000</v>
      </c>
      <c r="DF28" s="260" t="s">
        <v>322</v>
      </c>
    </row>
    <row r="29" spans="1:110" ht="15" customHeight="1" thickTop="1" thickBot="1" x14ac:dyDescent="0.3">
      <c r="A29" s="188"/>
      <c r="B29" s="189"/>
      <c r="C29" s="190"/>
      <c r="D29" s="188"/>
      <c r="E29" s="189"/>
      <c r="F29" s="189"/>
      <c r="G29" s="189"/>
      <c r="H29" s="190"/>
      <c r="K29" s="218">
        <v>2</v>
      </c>
      <c r="L29" s="219">
        <v>2</v>
      </c>
      <c r="M29" s="219" t="s">
        <v>99</v>
      </c>
      <c r="N29" s="220">
        <f>B8-B7</f>
        <v>44.300000000000011</v>
      </c>
      <c r="O29" s="221"/>
      <c r="P29" s="30">
        <f t="shared" ref="P29:P31" si="25">VLOOKUP(M29,$W$5:$Z$391,4,0)</f>
        <v>1.4911242603550294</v>
      </c>
      <c r="Q29" s="30">
        <f t="shared" ref="Q29:Q31" si="26">P29*N29</f>
        <v>66.056804733727816</v>
      </c>
      <c r="R29" s="30">
        <f t="shared" ref="R29:R31" si="27">VLOOKUP(M29,$W$5:$AD$391,8,0)*N29</f>
        <v>20260605.000000004</v>
      </c>
      <c r="S29" s="30">
        <f t="shared" ref="S29:S31" si="28">R29/N29</f>
        <v>457349.99999999994</v>
      </c>
      <c r="T29" s="30">
        <f t="shared" ref="T29:T31" si="29">VLOOKUP(M29,$W$5:$AF$391,10,0)*N29</f>
        <v>20260605.000000004</v>
      </c>
      <c r="V29" s="153"/>
      <c r="W29" s="228" t="s">
        <v>99</v>
      </c>
      <c r="X29" s="229"/>
      <c r="Y29" s="230" t="s">
        <v>21</v>
      </c>
      <c r="Z29" s="231">
        <f>1/(1/10+SUM(AC31:AC34)+1/6)</f>
        <v>1.4911242603550294</v>
      </c>
      <c r="AA29" s="229" t="s">
        <v>5</v>
      </c>
      <c r="AB29" s="229"/>
      <c r="AC29" s="229" t="s">
        <v>22</v>
      </c>
      <c r="AD29" s="232">
        <f>SUM(AD31:AD35)</f>
        <v>457350</v>
      </c>
      <c r="AE29" s="14" t="s">
        <v>23</v>
      </c>
      <c r="AF29" s="14">
        <f>SUM(AD31:AD34)</f>
        <v>457350</v>
      </c>
      <c r="AG29" s="14"/>
      <c r="AP29" s="81" t="s">
        <v>322</v>
      </c>
      <c r="AU29" s="168"/>
      <c r="AV29" s="168"/>
      <c r="AW29" s="168"/>
      <c r="AX29" s="169"/>
      <c r="AZ29" s="168"/>
      <c r="BB29" s="81" t="s">
        <v>407</v>
      </c>
      <c r="BC29" s="167">
        <v>0.46500000000000002</v>
      </c>
      <c r="BD29" s="167">
        <v>2.8900000000000002E-3</v>
      </c>
      <c r="BE29" s="81">
        <v>161.16999999999999</v>
      </c>
      <c r="BF29" s="81" t="s">
        <v>388</v>
      </c>
      <c r="BI29" s="175"/>
      <c r="BJ29" s="175"/>
      <c r="BK29" s="175"/>
      <c r="BL29" s="175"/>
      <c r="BM29" s="174"/>
      <c r="BN29" s="175"/>
      <c r="BP29" s="81" t="s">
        <v>407</v>
      </c>
      <c r="BQ29" s="167">
        <v>0.76900000000000002</v>
      </c>
      <c r="BR29" s="167">
        <v>3.4299999999999997E-2</v>
      </c>
      <c r="BS29" s="81">
        <v>22.44</v>
      </c>
      <c r="BT29" s="81" t="s">
        <v>422</v>
      </c>
      <c r="BU29" s="167">
        <v>2E-16</v>
      </c>
      <c r="BV29" s="81" t="s">
        <v>389</v>
      </c>
      <c r="BX29" s="178" t="s">
        <v>319</v>
      </c>
      <c r="BY29" s="178" t="s">
        <v>320</v>
      </c>
      <c r="BZ29" s="178" t="s">
        <v>342</v>
      </c>
      <c r="CA29" s="178" t="s">
        <v>323</v>
      </c>
      <c r="CB29" s="177">
        <f t="shared" ref="CB29:CB30" si="30">BQ54</f>
        <v>0.14099999999999999</v>
      </c>
      <c r="CC29" s="178" t="s">
        <v>322</v>
      </c>
      <c r="CN29" s="81" t="s">
        <v>344</v>
      </c>
      <c r="CO29" s="256">
        <f t="shared" si="0"/>
        <v>1538247.9853594769</v>
      </c>
      <c r="CP29" s="256">
        <f t="shared" si="1"/>
        <v>858000</v>
      </c>
      <c r="CQ29" s="256">
        <f t="shared" si="2"/>
        <v>752000</v>
      </c>
      <c r="CT29" s="258" t="s">
        <v>442</v>
      </c>
      <c r="CU29" s="258" t="s">
        <v>360</v>
      </c>
      <c r="CV29" s="259">
        <v>6.1800000000000004E-10</v>
      </c>
      <c r="CW29" s="259">
        <v>5.9300000000000002E-8</v>
      </c>
      <c r="CX29" s="258">
        <v>0.01</v>
      </c>
      <c r="CY29" s="258">
        <v>0.99199999999999999</v>
      </c>
      <c r="DB29" s="260" t="s">
        <v>467</v>
      </c>
      <c r="DC29" s="264" t="s">
        <v>328</v>
      </c>
      <c r="DD29" s="261" t="s">
        <v>323</v>
      </c>
      <c r="DE29" s="262">
        <f t="shared" si="24"/>
        <v>31700000</v>
      </c>
      <c r="DF29" s="260" t="s">
        <v>322</v>
      </c>
    </row>
    <row r="30" spans="1:110" ht="15" customHeight="1" thickTop="1" thickBot="1" x14ac:dyDescent="0.3">
      <c r="A30" s="205"/>
      <c r="B30" s="187"/>
      <c r="C30" s="210"/>
      <c r="D30" s="205"/>
      <c r="E30" s="187"/>
      <c r="F30" s="187"/>
      <c r="G30" s="187"/>
      <c r="H30" s="210"/>
      <c r="K30" s="218" t="s">
        <v>511</v>
      </c>
      <c r="L30" s="219">
        <v>1</v>
      </c>
      <c r="M30" s="219" t="s">
        <v>512</v>
      </c>
      <c r="N30" s="220">
        <f>'Tabula data'!B$19*C$43</f>
        <v>75.273166376049957</v>
      </c>
      <c r="O30" s="221"/>
      <c r="P30" s="30">
        <f t="shared" si="25"/>
        <v>1.8430034129692836</v>
      </c>
      <c r="Q30" s="30">
        <f t="shared" si="26"/>
        <v>138.72870253606479</v>
      </c>
      <c r="R30" s="30">
        <f t="shared" si="27"/>
        <v>13625948.577392565</v>
      </c>
      <c r="S30" s="30">
        <f t="shared" si="28"/>
        <v>181020.00000000003</v>
      </c>
      <c r="T30" s="30">
        <f t="shared" si="29"/>
        <v>13625948.577392565</v>
      </c>
      <c r="W30" s="233"/>
      <c r="X30" s="234" t="s">
        <v>27</v>
      </c>
      <c r="Y30" s="234" t="s">
        <v>28</v>
      </c>
      <c r="Z30" s="234" t="s">
        <v>29</v>
      </c>
      <c r="AA30" s="234" t="s">
        <v>30</v>
      </c>
      <c r="AB30" s="234" t="s">
        <v>31</v>
      </c>
      <c r="AC30" s="234" t="s">
        <v>32</v>
      </c>
      <c r="AD30" s="235" t="s">
        <v>33</v>
      </c>
      <c r="AE30" s="14"/>
      <c r="AF30" s="14"/>
      <c r="AG30" s="14"/>
      <c r="AL30" s="159" t="s">
        <v>319</v>
      </c>
      <c r="AM30" s="81" t="s">
        <v>320</v>
      </c>
      <c r="AN30" s="81" t="s">
        <v>344</v>
      </c>
      <c r="AO30" s="167">
        <f>B35*1.04*1012*5</f>
        <v>1538247.9853594769</v>
      </c>
      <c r="AP30" s="81" t="s">
        <v>322</v>
      </c>
      <c r="AQ30" s="167">
        <v>1612741</v>
      </c>
      <c r="AU30" s="168" t="s">
        <v>319</v>
      </c>
      <c r="AV30" s="168" t="s">
        <v>320</v>
      </c>
      <c r="AW30" s="168" t="s">
        <v>344</v>
      </c>
      <c r="AX30" s="169" t="s">
        <v>323</v>
      </c>
      <c r="AY30" s="162">
        <f>AO30</f>
        <v>1538247.9853594769</v>
      </c>
      <c r="AZ30" s="168" t="s">
        <v>322</v>
      </c>
      <c r="BB30" s="81" t="s">
        <v>408</v>
      </c>
      <c r="BC30" s="167">
        <v>0.11</v>
      </c>
      <c r="BD30" s="167">
        <v>6.3400000000000001E-4</v>
      </c>
      <c r="BE30" s="81">
        <v>173.77</v>
      </c>
      <c r="BF30" s="81" t="s">
        <v>388</v>
      </c>
      <c r="BI30" s="175" t="s">
        <v>319</v>
      </c>
      <c r="BJ30" s="175" t="s">
        <v>320</v>
      </c>
      <c r="BK30" s="175" t="s">
        <v>344</v>
      </c>
      <c r="BL30" s="175" t="s">
        <v>323</v>
      </c>
      <c r="BM30" s="174">
        <f>BC59</f>
        <v>858000</v>
      </c>
      <c r="BN30" s="175" t="s">
        <v>322</v>
      </c>
      <c r="BP30" s="81" t="s">
        <v>408</v>
      </c>
      <c r="BQ30" s="167">
        <v>7.2499999999999995E-2</v>
      </c>
      <c r="BR30" s="167">
        <v>7.0500000000000001E-4</v>
      </c>
      <c r="BS30" s="81">
        <v>102.71</v>
      </c>
      <c r="BT30" s="81" t="s">
        <v>422</v>
      </c>
      <c r="BU30" s="167">
        <v>2E-16</v>
      </c>
      <c r="BV30" s="81" t="s">
        <v>389</v>
      </c>
      <c r="BX30" s="178" t="s">
        <v>319</v>
      </c>
      <c r="BY30" s="178" t="s">
        <v>320</v>
      </c>
      <c r="BZ30" s="178" t="s">
        <v>343</v>
      </c>
      <c r="CA30" s="178" t="s">
        <v>323</v>
      </c>
      <c r="CB30" s="177">
        <f t="shared" si="30"/>
        <v>0.108</v>
      </c>
      <c r="CC30" s="178" t="s">
        <v>322</v>
      </c>
      <c r="CN30" s="81" t="s">
        <v>345</v>
      </c>
      <c r="CO30" s="256">
        <f t="shared" si="0"/>
        <v>10731463.172905527</v>
      </c>
      <c r="CP30" s="256">
        <f t="shared" si="1"/>
        <v>2990000</v>
      </c>
      <c r="CQ30" s="256">
        <f t="shared" si="2"/>
        <v>8650000</v>
      </c>
      <c r="CT30" s="258" t="s">
        <v>442</v>
      </c>
      <c r="CU30" s="258" t="s">
        <v>458</v>
      </c>
      <c r="CV30" s="259">
        <v>0.67600000000000005</v>
      </c>
      <c r="CW30" s="259">
        <v>6.2399999999999999E-3</v>
      </c>
      <c r="CX30" s="258">
        <v>108.32</v>
      </c>
      <c r="CY30" s="258" t="s">
        <v>422</v>
      </c>
      <c r="CZ30" s="167">
        <v>2E-16</v>
      </c>
      <c r="DA30" s="81" t="s">
        <v>389</v>
      </c>
      <c r="DB30" s="260" t="s">
        <v>467</v>
      </c>
      <c r="DC30" s="264" t="s">
        <v>329</v>
      </c>
      <c r="DD30" s="261" t="s">
        <v>323</v>
      </c>
      <c r="DE30" s="262">
        <f t="shared" si="24"/>
        <v>25000000</v>
      </c>
      <c r="DF30" s="260" t="s">
        <v>322</v>
      </c>
    </row>
    <row r="31" spans="1:110" ht="15" customHeight="1" thickTop="1" thickBot="1" x14ac:dyDescent="0.3">
      <c r="K31" s="223" t="s">
        <v>511</v>
      </c>
      <c r="L31" s="224">
        <v>2</v>
      </c>
      <c r="M31" s="224" t="s">
        <v>512</v>
      </c>
      <c r="N31" s="220">
        <f>'Tabula data'!B$19*(1-C$43)</f>
        <v>129.05705783506633</v>
      </c>
      <c r="O31" s="225"/>
      <c r="P31" s="30">
        <f t="shared" si="25"/>
        <v>1.8430034129692836</v>
      </c>
      <c r="Q31" s="30">
        <f t="shared" si="26"/>
        <v>237.85259805780146</v>
      </c>
      <c r="R31" s="30">
        <f t="shared" si="27"/>
        <v>23361908.609303713</v>
      </c>
      <c r="S31" s="30">
        <f t="shared" si="28"/>
        <v>181020.00000000003</v>
      </c>
      <c r="T31" s="30">
        <f t="shared" si="29"/>
        <v>23361908.609303713</v>
      </c>
      <c r="W31" s="239"/>
      <c r="X31" s="240" t="s">
        <v>103</v>
      </c>
      <c r="Y31" s="240">
        <v>0.02</v>
      </c>
      <c r="Z31" s="240">
        <v>0.18</v>
      </c>
      <c r="AA31" s="240">
        <v>550</v>
      </c>
      <c r="AB31" s="240">
        <v>1880</v>
      </c>
      <c r="AC31" s="241">
        <f>Y31/Z31</f>
        <v>0.11111111111111112</v>
      </c>
      <c r="AD31" s="242">
        <f>Y31*AA31*AB31</f>
        <v>20680</v>
      </c>
      <c r="AE31" s="14" t="s">
        <v>104</v>
      </c>
      <c r="AF31" s="14"/>
      <c r="AG31" s="14"/>
      <c r="AL31" s="159" t="s">
        <v>319</v>
      </c>
      <c r="AM31" s="81" t="s">
        <v>320</v>
      </c>
      <c r="AN31" s="81" t="s">
        <v>345</v>
      </c>
      <c r="AO31" s="167">
        <f>T25+SUM(T17:T20)</f>
        <v>10731463.172905527</v>
      </c>
      <c r="AP31" s="81" t="s">
        <v>322</v>
      </c>
      <c r="AQ31" s="167">
        <v>6867267</v>
      </c>
      <c r="AU31" s="168" t="s">
        <v>319</v>
      </c>
      <c r="AV31" s="168" t="s">
        <v>320</v>
      </c>
      <c r="AW31" s="168" t="s">
        <v>345</v>
      </c>
      <c r="AX31" s="169" t="s">
        <v>323</v>
      </c>
      <c r="AY31" s="162">
        <f t="shared" ref="AY31:AY35" si="31">AO31</f>
        <v>10731463.172905527</v>
      </c>
      <c r="AZ31" s="168" t="s">
        <v>322</v>
      </c>
      <c r="BB31" s="81" t="s">
        <v>409</v>
      </c>
      <c r="BC31" s="167">
        <v>7.3400000000000007E-2</v>
      </c>
      <c r="BD31" s="167">
        <v>4.9700000000000005E-4</v>
      </c>
      <c r="BE31" s="81">
        <v>147.68</v>
      </c>
      <c r="BF31" s="81" t="s">
        <v>388</v>
      </c>
      <c r="BI31" s="175" t="s">
        <v>319</v>
      </c>
      <c r="BJ31" s="175" t="s">
        <v>320</v>
      </c>
      <c r="BK31" s="175" t="s">
        <v>345</v>
      </c>
      <c r="BL31" s="175" t="s">
        <v>323</v>
      </c>
      <c r="BM31" s="174">
        <f>BC60</f>
        <v>2990000</v>
      </c>
      <c r="BN31" s="175" t="s">
        <v>322</v>
      </c>
      <c r="BP31" s="81" t="s">
        <v>409</v>
      </c>
      <c r="BQ31" s="167">
        <v>4.4299999999999999E-2</v>
      </c>
      <c r="BR31" s="167">
        <v>3.0499999999999999E-4</v>
      </c>
      <c r="BS31" s="81">
        <v>145.31</v>
      </c>
      <c r="BT31" s="81" t="s">
        <v>422</v>
      </c>
      <c r="BU31" s="167">
        <v>2E-16</v>
      </c>
      <c r="BV31" s="81" t="s">
        <v>389</v>
      </c>
      <c r="BX31" s="178"/>
      <c r="BY31" s="178"/>
      <c r="BZ31" s="178"/>
      <c r="CA31" s="178"/>
      <c r="CB31" s="177"/>
      <c r="CC31" s="178"/>
      <c r="CN31" s="81" t="s">
        <v>346</v>
      </c>
      <c r="CO31" s="256">
        <f t="shared" si="0"/>
        <v>23036487.829354916</v>
      </c>
      <c r="CP31" s="256">
        <f t="shared" si="1"/>
        <v>5280000</v>
      </c>
      <c r="CQ31" s="256">
        <f t="shared" si="2"/>
        <v>17100000</v>
      </c>
      <c r="CT31" s="258" t="s">
        <v>442</v>
      </c>
      <c r="CU31" s="258" t="s">
        <v>459</v>
      </c>
      <c r="CV31" s="259">
        <v>0.55000000000000004</v>
      </c>
      <c r="CW31" s="259">
        <v>1.14E-2</v>
      </c>
      <c r="CX31" s="258">
        <v>48.42</v>
      </c>
      <c r="CY31" s="258" t="s">
        <v>422</v>
      </c>
      <c r="CZ31" s="167">
        <v>2E-16</v>
      </c>
      <c r="DA31" s="81" t="s">
        <v>389</v>
      </c>
      <c r="DD31" s="261"/>
    </row>
    <row r="32" spans="1:110" ht="15" customHeight="1" thickTop="1" thickBot="1" x14ac:dyDescent="0.3">
      <c r="K32" s="218"/>
      <c r="L32" s="219"/>
      <c r="M32" s="219"/>
      <c r="N32" s="220"/>
      <c r="O32" s="221"/>
      <c r="P32" s="81"/>
      <c r="Q32" s="81"/>
      <c r="W32" s="188"/>
      <c r="X32" s="189" t="s">
        <v>129</v>
      </c>
      <c r="Y32" s="189">
        <v>0.08</v>
      </c>
      <c r="Z32" s="189">
        <v>0.6</v>
      </c>
      <c r="AA32" s="189">
        <v>1100</v>
      </c>
      <c r="AB32" s="189">
        <v>860</v>
      </c>
      <c r="AC32" s="236">
        <f>Y32/Z32</f>
        <v>0.13333333333333333</v>
      </c>
      <c r="AD32" s="190">
        <f>Y32*AA32*AB32</f>
        <v>75680</v>
      </c>
      <c r="AE32" s="14"/>
      <c r="AF32" s="14"/>
      <c r="AG32" s="14"/>
      <c r="AL32" s="159" t="s">
        <v>319</v>
      </c>
      <c r="AM32" s="81" t="s">
        <v>320</v>
      </c>
      <c r="AN32" s="81" t="s">
        <v>346</v>
      </c>
      <c r="AO32" s="167">
        <f>SUM(T28)</f>
        <v>23036487.829354916</v>
      </c>
      <c r="AP32" s="81" t="s">
        <v>322</v>
      </c>
      <c r="AQ32" s="167">
        <v>4590824</v>
      </c>
      <c r="AU32" s="168" t="s">
        <v>319</v>
      </c>
      <c r="AV32" s="168" t="s">
        <v>320</v>
      </c>
      <c r="AW32" s="168" t="s">
        <v>346</v>
      </c>
      <c r="AX32" s="169" t="s">
        <v>323</v>
      </c>
      <c r="AY32" s="162">
        <f t="shared" si="31"/>
        <v>23036487.829354916</v>
      </c>
      <c r="AZ32" s="168" t="s">
        <v>322</v>
      </c>
      <c r="BB32" s="81" t="s">
        <v>410</v>
      </c>
      <c r="BC32" s="167">
        <v>637</v>
      </c>
      <c r="BD32" s="167">
        <v>4.58</v>
      </c>
      <c r="BE32" s="81">
        <v>139.22</v>
      </c>
      <c r="BF32" s="81" t="s">
        <v>388</v>
      </c>
      <c r="BI32" s="175" t="s">
        <v>319</v>
      </c>
      <c r="BJ32" s="175" t="s">
        <v>320</v>
      </c>
      <c r="BK32" s="175" t="s">
        <v>346</v>
      </c>
      <c r="BL32" s="175" t="s">
        <v>323</v>
      </c>
      <c r="BM32" s="174">
        <f>BC61</f>
        <v>5280000</v>
      </c>
      <c r="BN32" s="175" t="s">
        <v>322</v>
      </c>
      <c r="BP32" s="81" t="s">
        <v>410</v>
      </c>
      <c r="BQ32" s="167">
        <v>278</v>
      </c>
      <c r="BR32" s="167">
        <v>2.25</v>
      </c>
      <c r="BS32" s="81">
        <v>123.56</v>
      </c>
      <c r="BT32" s="81" t="s">
        <v>422</v>
      </c>
      <c r="BU32" s="167">
        <v>2E-16</v>
      </c>
      <c r="BV32" s="81" t="s">
        <v>389</v>
      </c>
      <c r="BX32" s="178" t="s">
        <v>319</v>
      </c>
      <c r="BY32" s="178" t="s">
        <v>320</v>
      </c>
      <c r="BZ32" s="178" t="s">
        <v>344</v>
      </c>
      <c r="CA32" s="178" t="s">
        <v>323</v>
      </c>
      <c r="CB32" s="177">
        <f>BQ58</f>
        <v>752000</v>
      </c>
      <c r="CC32" s="178" t="s">
        <v>322</v>
      </c>
      <c r="CN32" s="81" t="s">
        <v>347</v>
      </c>
      <c r="CO32" s="254">
        <f t="shared" si="0"/>
        <v>0.12196112701172734</v>
      </c>
      <c r="CP32" s="254">
        <f t="shared" si="1"/>
        <v>0.38</v>
      </c>
      <c r="CQ32" s="254">
        <f t="shared" si="2"/>
        <v>0.23</v>
      </c>
      <c r="CT32" s="258" t="s">
        <v>442</v>
      </c>
      <c r="CU32" s="258" t="s">
        <v>308</v>
      </c>
      <c r="CV32" s="259">
        <v>990000000</v>
      </c>
      <c r="CW32" s="259">
        <v>66300000</v>
      </c>
      <c r="CX32" s="258">
        <v>14.92</v>
      </c>
      <c r="CY32" s="258" t="s">
        <v>422</v>
      </c>
      <c r="CZ32" s="167">
        <v>2E-16</v>
      </c>
      <c r="DA32" s="81" t="s">
        <v>389</v>
      </c>
      <c r="DB32" s="260" t="s">
        <v>467</v>
      </c>
      <c r="DC32" s="264" t="s">
        <v>488</v>
      </c>
      <c r="DD32" s="261" t="s">
        <v>323</v>
      </c>
      <c r="DE32" s="262">
        <f>CV47</f>
        <v>279</v>
      </c>
      <c r="DF32" s="260" t="s">
        <v>322</v>
      </c>
    </row>
    <row r="33" spans="1:110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7" t="s">
        <v>112</v>
      </c>
      <c r="F33" s="317"/>
      <c r="G33" s="72" t="s">
        <v>113</v>
      </c>
      <c r="K33" s="223"/>
      <c r="L33" s="224"/>
      <c r="M33" s="224"/>
      <c r="N33" s="224"/>
      <c r="O33" s="225"/>
      <c r="P33" s="81"/>
      <c r="Q33" s="81"/>
      <c r="W33" s="188"/>
      <c r="X33" s="189" t="s">
        <v>278</v>
      </c>
      <c r="Y33" s="189">
        <v>0.2</v>
      </c>
      <c r="Z33" s="189">
        <v>1.4</v>
      </c>
      <c r="AA33" s="189">
        <v>2100</v>
      </c>
      <c r="AB33" s="189">
        <v>840</v>
      </c>
      <c r="AC33" s="236">
        <f>Y33/Z33</f>
        <v>0.14285714285714288</v>
      </c>
      <c r="AD33" s="190">
        <f>Y33*AA33*AB33</f>
        <v>352800</v>
      </c>
      <c r="AE33" s="14"/>
      <c r="AF33" s="14"/>
      <c r="AG33" s="14"/>
      <c r="AL33" s="159" t="s">
        <v>319</v>
      </c>
      <c r="AM33" s="81" t="s">
        <v>320</v>
      </c>
      <c r="AN33" s="81" t="s">
        <v>347</v>
      </c>
      <c r="AO33" s="81">
        <f>AO26*0.3</f>
        <v>0.12196112701172734</v>
      </c>
      <c r="AP33" s="81" t="s">
        <v>322</v>
      </c>
      <c r="AQ33" s="167">
        <v>0.1616958</v>
      </c>
      <c r="AU33" s="168" t="s">
        <v>319</v>
      </c>
      <c r="AV33" s="168" t="s">
        <v>320</v>
      </c>
      <c r="AW33" s="168" t="s">
        <v>347</v>
      </c>
      <c r="AX33" s="169" t="s">
        <v>323</v>
      </c>
      <c r="AY33" s="162">
        <f t="shared" si="31"/>
        <v>0.12196112701172734</v>
      </c>
      <c r="AZ33" s="168" t="s">
        <v>322</v>
      </c>
      <c r="BB33" s="81" t="s">
        <v>411</v>
      </c>
      <c r="BC33" s="167">
        <v>795</v>
      </c>
      <c r="BD33" s="167">
        <v>5.28</v>
      </c>
      <c r="BE33" s="81">
        <v>150.51</v>
      </c>
      <c r="BF33" s="81" t="s">
        <v>388</v>
      </c>
      <c r="BI33" s="175" t="s">
        <v>319</v>
      </c>
      <c r="BJ33" s="175" t="s">
        <v>320</v>
      </c>
      <c r="BK33" s="175" t="s">
        <v>347</v>
      </c>
      <c r="BL33" s="175" t="s">
        <v>323</v>
      </c>
      <c r="BM33" s="174">
        <f>BC66</f>
        <v>0.38</v>
      </c>
      <c r="BN33" s="175" t="s">
        <v>322</v>
      </c>
      <c r="BP33" s="81" t="s">
        <v>411</v>
      </c>
      <c r="BQ33" s="167">
        <v>215</v>
      </c>
      <c r="BR33" s="167">
        <v>1.54</v>
      </c>
      <c r="BS33" s="81">
        <v>139.77000000000001</v>
      </c>
      <c r="BT33" s="81" t="s">
        <v>422</v>
      </c>
      <c r="BU33" s="167">
        <v>2E-16</v>
      </c>
      <c r="BV33" s="81" t="s">
        <v>389</v>
      </c>
      <c r="BX33" s="178" t="s">
        <v>319</v>
      </c>
      <c r="BY33" s="178" t="s">
        <v>320</v>
      </c>
      <c r="BZ33" s="178" t="s">
        <v>345</v>
      </c>
      <c r="CA33" s="178" t="s">
        <v>323</v>
      </c>
      <c r="CB33" s="177">
        <f t="shared" ref="CB33:CB34" si="32">BQ59</f>
        <v>8650000</v>
      </c>
      <c r="CC33" s="178" t="s">
        <v>322</v>
      </c>
      <c r="CN33" s="81" t="s">
        <v>348</v>
      </c>
      <c r="CO33" s="254">
        <f t="shared" si="0"/>
        <v>0.10883763313810986</v>
      </c>
      <c r="CP33" s="254">
        <f t="shared" si="1"/>
        <v>7.2800000000000004E-2</v>
      </c>
      <c r="CQ33" s="254">
        <f t="shared" si="2"/>
        <v>4.8599999999999997E-2</v>
      </c>
      <c r="CT33" s="258" t="s">
        <v>442</v>
      </c>
      <c r="CU33" s="258" t="s">
        <v>304</v>
      </c>
      <c r="CV33" s="259">
        <v>14800000</v>
      </c>
      <c r="CW33" s="259">
        <v>257000</v>
      </c>
      <c r="CX33" s="258">
        <v>57.59</v>
      </c>
      <c r="CY33" s="258" t="s">
        <v>422</v>
      </c>
      <c r="CZ33" s="167">
        <v>2E-16</v>
      </c>
      <c r="DA33" s="81" t="s">
        <v>389</v>
      </c>
      <c r="DB33" s="260" t="s">
        <v>467</v>
      </c>
      <c r="DC33" s="264" t="s">
        <v>336</v>
      </c>
      <c r="DD33" s="261" t="s">
        <v>323</v>
      </c>
      <c r="DE33" s="262">
        <f t="shared" ref="DE33:DE35" si="33">CV48</f>
        <v>219</v>
      </c>
      <c r="DF33" s="260" t="s">
        <v>322</v>
      </c>
    </row>
    <row r="34" spans="1:110" ht="15" customHeight="1" thickTop="1" thickBot="1" x14ac:dyDescent="0.3">
      <c r="A34" s="73">
        <v>1</v>
      </c>
      <c r="B34" s="74">
        <f>B7*'Tabula data'!B16</f>
        <v>170.49079025549614</v>
      </c>
      <c r="C34" s="73"/>
      <c r="D34" s="73" t="s">
        <v>42</v>
      </c>
      <c r="E34" s="318">
        <v>21</v>
      </c>
      <c r="F34" s="318"/>
      <c r="G34" s="76">
        <f>VLOOKUP(D34,A6:B22,2,0)</f>
        <v>62</v>
      </c>
      <c r="K34" s="81"/>
      <c r="L34" s="81"/>
      <c r="M34" s="81"/>
      <c r="P34" s="69" t="s">
        <v>106</v>
      </c>
      <c r="Q34" s="70">
        <f>SUM(Q6:Q13)+0.5*Q14+SUM(Q16:Q25)</f>
        <v>98.409430532566034</v>
      </c>
      <c r="R34" s="69" t="s">
        <v>107</v>
      </c>
      <c r="W34" s="205"/>
      <c r="X34" s="187" t="s">
        <v>80</v>
      </c>
      <c r="Y34" s="187">
        <v>0.01</v>
      </c>
      <c r="Z34" s="187">
        <v>0.6</v>
      </c>
      <c r="AA34" s="187">
        <v>975</v>
      </c>
      <c r="AB34" s="187">
        <v>840</v>
      </c>
      <c r="AC34" s="237">
        <f>Y34/Z34</f>
        <v>1.6666666666666666E-2</v>
      </c>
      <c r="AD34" s="210">
        <f>Y34*AA34*AB34</f>
        <v>8190</v>
      </c>
      <c r="AE34" s="14"/>
      <c r="AF34" s="14"/>
      <c r="AG34" s="14"/>
      <c r="AL34" s="159" t="s">
        <v>319</v>
      </c>
      <c r="AM34" s="81" t="s">
        <v>320</v>
      </c>
      <c r="AN34" s="81" t="s">
        <v>348</v>
      </c>
      <c r="AO34" s="81">
        <f>AO27*0.3</f>
        <v>0.10883763313810986</v>
      </c>
      <c r="AP34" s="81" t="s">
        <v>322</v>
      </c>
      <c r="AQ34" s="81" t="s">
        <v>349</v>
      </c>
      <c r="AU34" s="168" t="s">
        <v>319</v>
      </c>
      <c r="AV34" s="168" t="s">
        <v>320</v>
      </c>
      <c r="AW34" s="168" t="s">
        <v>348</v>
      </c>
      <c r="AX34" s="169" t="s">
        <v>323</v>
      </c>
      <c r="AY34" s="162">
        <f t="shared" si="31"/>
        <v>0.10883763313810986</v>
      </c>
      <c r="AZ34" s="168" t="s">
        <v>322</v>
      </c>
      <c r="BB34" s="81" t="s">
        <v>295</v>
      </c>
      <c r="BC34" s="167">
        <v>1310</v>
      </c>
      <c r="BD34" s="167">
        <v>8.17</v>
      </c>
      <c r="BE34" s="81">
        <v>160.79</v>
      </c>
      <c r="BF34" s="81" t="s">
        <v>388</v>
      </c>
      <c r="BI34" s="175" t="s">
        <v>319</v>
      </c>
      <c r="BJ34" s="175" t="s">
        <v>320</v>
      </c>
      <c r="BK34" s="175" t="s">
        <v>348</v>
      </c>
      <c r="BL34" s="175" t="s">
        <v>323</v>
      </c>
      <c r="BM34" s="174">
        <f>BC67</f>
        <v>7.2800000000000004E-2</v>
      </c>
      <c r="BN34" s="175" t="s">
        <v>322</v>
      </c>
      <c r="BP34" s="81" t="s">
        <v>295</v>
      </c>
      <c r="BQ34" s="167">
        <v>457</v>
      </c>
      <c r="BR34" s="167">
        <v>3.7</v>
      </c>
      <c r="BS34" s="81">
        <v>123.52</v>
      </c>
      <c r="BT34" s="81" t="s">
        <v>422</v>
      </c>
      <c r="BU34" s="167">
        <v>2E-16</v>
      </c>
      <c r="BV34" s="81" t="s">
        <v>389</v>
      </c>
      <c r="BX34" s="178" t="s">
        <v>319</v>
      </c>
      <c r="BY34" s="178" t="s">
        <v>320</v>
      </c>
      <c r="BZ34" s="178" t="s">
        <v>346</v>
      </c>
      <c r="CA34" s="178" t="s">
        <v>323</v>
      </c>
      <c r="CB34" s="177">
        <f t="shared" si="32"/>
        <v>17100000</v>
      </c>
      <c r="CC34" s="178" t="s">
        <v>322</v>
      </c>
      <c r="CN34" s="81" t="s">
        <v>350</v>
      </c>
      <c r="CO34" s="254">
        <f t="shared" si="0"/>
        <v>0.71137810143088931</v>
      </c>
      <c r="CP34" s="254">
        <f t="shared" si="1"/>
        <v>0.41799999999999998</v>
      </c>
      <c r="CQ34" s="254">
        <f t="shared" si="2"/>
        <v>0.63200000000000001</v>
      </c>
      <c r="CT34" s="258" t="s">
        <v>442</v>
      </c>
      <c r="CU34" s="258" t="s">
        <v>399</v>
      </c>
      <c r="CV34" s="259">
        <v>3530000</v>
      </c>
      <c r="CW34" s="259">
        <v>54900</v>
      </c>
      <c r="CX34" s="258">
        <v>64.2</v>
      </c>
      <c r="CY34" s="258" t="s">
        <v>422</v>
      </c>
      <c r="CZ34" s="167">
        <v>2E-16</v>
      </c>
      <c r="DA34" s="81" t="s">
        <v>389</v>
      </c>
      <c r="DB34" s="260" t="s">
        <v>467</v>
      </c>
      <c r="DC34" s="265" t="s">
        <v>337</v>
      </c>
      <c r="DD34" s="261" t="s">
        <v>323</v>
      </c>
      <c r="DE34" s="262">
        <f t="shared" si="33"/>
        <v>461</v>
      </c>
      <c r="DF34" s="260" t="s">
        <v>322</v>
      </c>
    </row>
    <row r="35" spans="1:110" ht="15" customHeight="1" thickTop="1" thickBot="1" x14ac:dyDescent="0.3">
      <c r="A35" s="73">
        <v>2</v>
      </c>
      <c r="B35" s="74">
        <f>B4-B34</f>
        <v>292.30920974450385</v>
      </c>
      <c r="C35" s="73"/>
      <c r="D35" s="73" t="s">
        <v>116</v>
      </c>
      <c r="E35" s="77">
        <v>16</v>
      </c>
      <c r="F35" s="77"/>
      <c r="G35" s="76">
        <f>VLOOKUP(D35,A7:B23,2,0)</f>
        <v>106.30000000000001</v>
      </c>
      <c r="K35" s="81"/>
      <c r="L35" s="81"/>
      <c r="M35" s="81"/>
      <c r="P35" s="81" t="s">
        <v>514</v>
      </c>
      <c r="Q35" s="81">
        <f>G4*Y39</f>
        <v>7.3199999999999994</v>
      </c>
      <c r="W35" s="189"/>
      <c r="X35" s="189"/>
      <c r="Y35" s="189"/>
      <c r="Z35" s="189"/>
      <c r="AA35" s="189"/>
      <c r="AB35" s="189"/>
      <c r="AC35" s="236"/>
      <c r="AD35" s="189"/>
      <c r="AE35" s="14"/>
      <c r="AF35" s="14"/>
      <c r="AG35" s="14"/>
      <c r="AL35" s="159" t="s">
        <v>319</v>
      </c>
      <c r="AM35" s="81" t="s">
        <v>320</v>
      </c>
      <c r="AN35" s="81" t="s">
        <v>350</v>
      </c>
      <c r="AO35" s="81">
        <f>AO28*0.3+0.7</f>
        <v>0.71137810143088931</v>
      </c>
      <c r="AP35" s="81" t="s">
        <v>322</v>
      </c>
      <c r="AQ35" s="81" t="s">
        <v>351</v>
      </c>
      <c r="AU35" s="168" t="s">
        <v>319</v>
      </c>
      <c r="AV35" s="168" t="s">
        <v>320</v>
      </c>
      <c r="AW35" s="168" t="s">
        <v>350</v>
      </c>
      <c r="AX35" s="169" t="s">
        <v>323</v>
      </c>
      <c r="AY35" s="162">
        <f t="shared" si="31"/>
        <v>0.71137810143088931</v>
      </c>
      <c r="AZ35" s="168" t="s">
        <v>322</v>
      </c>
      <c r="BB35" s="81" t="s">
        <v>120</v>
      </c>
      <c r="BC35" s="167">
        <v>253</v>
      </c>
      <c r="BD35" s="167">
        <v>0.97099999999999997</v>
      </c>
      <c r="BE35" s="81">
        <v>260.89</v>
      </c>
      <c r="BF35" s="81" t="s">
        <v>388</v>
      </c>
      <c r="BI35" s="175" t="s">
        <v>319</v>
      </c>
      <c r="BJ35" s="175" t="s">
        <v>320</v>
      </c>
      <c r="BK35" s="175" t="s">
        <v>350</v>
      </c>
      <c r="BL35" s="175" t="s">
        <v>323</v>
      </c>
      <c r="BM35" s="174">
        <f>BC68</f>
        <v>0.41799999999999998</v>
      </c>
      <c r="BN35" s="175" t="s">
        <v>322</v>
      </c>
      <c r="BP35" s="81" t="s">
        <v>120</v>
      </c>
      <c r="BQ35" s="167">
        <v>272</v>
      </c>
      <c r="BR35" s="167">
        <v>18.2</v>
      </c>
      <c r="BS35" s="81">
        <v>14.96</v>
      </c>
      <c r="BT35" s="81" t="s">
        <v>422</v>
      </c>
      <c r="BU35" s="167">
        <v>2E-16</v>
      </c>
      <c r="BV35" s="81" t="s">
        <v>389</v>
      </c>
      <c r="BX35" s="178" t="s">
        <v>319</v>
      </c>
      <c r="BY35" s="178" t="s">
        <v>320</v>
      </c>
      <c r="BZ35" s="178" t="s">
        <v>347</v>
      </c>
      <c r="CA35" s="178" t="s">
        <v>323</v>
      </c>
      <c r="CB35" s="177">
        <f>BQ65</f>
        <v>0.23</v>
      </c>
      <c r="CC35" s="178" t="s">
        <v>322</v>
      </c>
      <c r="CO35" s="255"/>
      <c r="CP35" s="255"/>
      <c r="CQ35" s="255"/>
      <c r="CT35" s="258" t="s">
        <v>442</v>
      </c>
      <c r="CU35" s="258" t="s">
        <v>301</v>
      </c>
      <c r="CV35" s="259">
        <v>31700000</v>
      </c>
      <c r="CW35" s="259">
        <v>1080000</v>
      </c>
      <c r="CX35" s="258">
        <v>29.18</v>
      </c>
      <c r="CY35" s="258" t="s">
        <v>422</v>
      </c>
      <c r="CZ35" s="167">
        <v>2E-16</v>
      </c>
      <c r="DA35" s="81" t="s">
        <v>389</v>
      </c>
      <c r="DB35" s="260" t="s">
        <v>467</v>
      </c>
      <c r="DC35" s="265" t="s">
        <v>338</v>
      </c>
      <c r="DD35" s="261" t="s">
        <v>323</v>
      </c>
      <c r="DE35" s="262">
        <f t="shared" si="33"/>
        <v>272</v>
      </c>
      <c r="DF35" s="260" t="s">
        <v>322</v>
      </c>
    </row>
    <row r="36" spans="1:110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9" t="s">
        <v>119</v>
      </c>
      <c r="F36" s="319"/>
      <c r="G36" s="76">
        <f>B17</f>
        <v>0</v>
      </c>
      <c r="K36" s="81"/>
      <c r="L36" s="81"/>
      <c r="M36" s="81"/>
      <c r="P36" s="81"/>
      <c r="Q36" s="81"/>
      <c r="W36" s="226"/>
      <c r="X36" s="226"/>
      <c r="Y36" s="227" t="s">
        <v>437</v>
      </c>
      <c r="Z36" s="227">
        <v>2.8</v>
      </c>
      <c r="AA36" s="227" t="s">
        <v>5</v>
      </c>
      <c r="AB36" s="226"/>
      <c r="AC36" s="226"/>
      <c r="AD36" s="226"/>
      <c r="AE36" s="14"/>
      <c r="AF36" s="14"/>
      <c r="AG36" s="14"/>
      <c r="AP36" s="81" t="s">
        <v>322</v>
      </c>
      <c r="AU36" s="168"/>
      <c r="AV36" s="168"/>
      <c r="AW36" s="168"/>
      <c r="AX36" s="169"/>
      <c r="AZ36" s="168"/>
      <c r="BB36" s="81" t="s">
        <v>412</v>
      </c>
      <c r="BC36" s="167">
        <v>-5.43</v>
      </c>
      <c r="BD36" s="167">
        <v>2.2100000000000002E-2</v>
      </c>
      <c r="BE36" s="81">
        <v>-245.28</v>
      </c>
      <c r="BF36" s="81" t="s">
        <v>388</v>
      </c>
      <c r="BI36" s="175"/>
      <c r="BJ36" s="175"/>
      <c r="BK36" s="175"/>
      <c r="BL36" s="175"/>
      <c r="BM36" s="174"/>
      <c r="BN36" s="175"/>
      <c r="BP36" s="81" t="s">
        <v>412</v>
      </c>
      <c r="BQ36" s="167">
        <v>-5.48</v>
      </c>
      <c r="BR36" s="167">
        <v>7.46E-2</v>
      </c>
      <c r="BS36" s="81">
        <v>-73.489999999999995</v>
      </c>
      <c r="BT36" s="81" t="s">
        <v>422</v>
      </c>
      <c r="BU36" s="167">
        <v>2E-16</v>
      </c>
      <c r="BV36" s="81" t="s">
        <v>389</v>
      </c>
      <c r="BX36" s="178" t="s">
        <v>319</v>
      </c>
      <c r="BY36" s="178" t="s">
        <v>320</v>
      </c>
      <c r="BZ36" s="178" t="s">
        <v>348</v>
      </c>
      <c r="CA36" s="178" t="s">
        <v>323</v>
      </c>
      <c r="CB36" s="177">
        <f t="shared" ref="CB36:CB37" si="34">BQ66</f>
        <v>4.8599999999999997E-2</v>
      </c>
      <c r="CC36" s="178" t="s">
        <v>322</v>
      </c>
      <c r="CN36" s="81" t="s">
        <v>352</v>
      </c>
      <c r="CO36" s="257">
        <f t="shared" si="0"/>
        <v>61.502914840812402</v>
      </c>
      <c r="CP36" s="257">
        <f t="shared" si="1"/>
        <v>568</v>
      </c>
      <c r="CQ36" s="257">
        <f t="shared" si="2"/>
        <v>219</v>
      </c>
      <c r="CT36" s="258" t="s">
        <v>442</v>
      </c>
      <c r="CU36" s="258" t="s">
        <v>303</v>
      </c>
      <c r="CV36" s="259">
        <v>25000000</v>
      </c>
      <c r="CW36" s="259">
        <v>250000</v>
      </c>
      <c r="CX36" s="258">
        <v>99.96</v>
      </c>
      <c r="CY36" s="258" t="s">
        <v>422</v>
      </c>
      <c r="CZ36" s="167">
        <v>2E-16</v>
      </c>
      <c r="DA36" s="81" t="s">
        <v>389</v>
      </c>
      <c r="DB36" s="260" t="s">
        <v>467</v>
      </c>
      <c r="DC36" s="266" t="s">
        <v>340</v>
      </c>
      <c r="DD36" s="261" t="s">
        <v>323</v>
      </c>
      <c r="DE36" s="262">
        <f>CV59</f>
        <v>76.2</v>
      </c>
      <c r="DF36" s="260" t="s">
        <v>322</v>
      </c>
    </row>
    <row r="37" spans="1:110" ht="15" customHeight="1" thickTop="1" thickBot="1" x14ac:dyDescent="0.3">
      <c r="K37" s="81"/>
      <c r="L37" s="81"/>
      <c r="M37" s="81"/>
      <c r="P37" s="81"/>
      <c r="Q37" s="81"/>
      <c r="W37" s="228" t="s">
        <v>115</v>
      </c>
      <c r="X37" s="229"/>
      <c r="Y37" s="230" t="s">
        <v>21</v>
      </c>
      <c r="Z37" s="243">
        <v>1.1000000000000001</v>
      </c>
      <c r="AA37" s="229" t="s">
        <v>5</v>
      </c>
      <c r="AB37" s="229"/>
      <c r="AC37" s="229" t="s">
        <v>22</v>
      </c>
      <c r="AD37" s="232">
        <f>SUM(AD38:AD39)</f>
        <v>0</v>
      </c>
      <c r="AE37" s="14" t="s">
        <v>23</v>
      </c>
      <c r="AF37" s="14">
        <f>SUM(AD39:AD40)</f>
        <v>0</v>
      </c>
      <c r="AG37" s="14"/>
      <c r="AL37" s="159" t="s">
        <v>319</v>
      </c>
      <c r="AM37" s="81" t="s">
        <v>320</v>
      </c>
      <c r="AN37" s="81" t="s">
        <v>352</v>
      </c>
      <c r="AO37" s="81">
        <f>SUM(N17:N20)*(1/(SUM(AC18:AC19)*0.5+1/8))+N25*(1/(SUM(AC9:AC10)*0.5+1/8))</f>
        <v>61.502914840812402</v>
      </c>
      <c r="AP37" s="81" t="s">
        <v>322</v>
      </c>
      <c r="AQ37" s="81" t="s">
        <v>353</v>
      </c>
      <c r="AU37" s="168" t="s">
        <v>319</v>
      </c>
      <c r="AV37" s="168" t="s">
        <v>320</v>
      </c>
      <c r="AW37" s="168" t="s">
        <v>352</v>
      </c>
      <c r="AX37" s="169" t="s">
        <v>323</v>
      </c>
      <c r="AY37" s="162">
        <f>AO37</f>
        <v>61.502914840812402</v>
      </c>
      <c r="AZ37" s="168" t="s">
        <v>322</v>
      </c>
      <c r="BB37" s="81" t="s">
        <v>413</v>
      </c>
      <c r="BC37" s="167">
        <v>-6.85</v>
      </c>
      <c r="BD37" s="167">
        <v>1.8800000000000001E-2</v>
      </c>
      <c r="BE37" s="81">
        <v>-364.7</v>
      </c>
      <c r="BF37" s="81" t="s">
        <v>388</v>
      </c>
      <c r="BI37" s="175" t="s">
        <v>319</v>
      </c>
      <c r="BJ37" s="175" t="s">
        <v>320</v>
      </c>
      <c r="BK37" s="175" t="s">
        <v>352</v>
      </c>
      <c r="BL37" s="175" t="s">
        <v>323</v>
      </c>
      <c r="BM37" s="174">
        <f>BC70</f>
        <v>568</v>
      </c>
      <c r="BN37" s="175" t="s">
        <v>322</v>
      </c>
      <c r="BP37" s="81" t="s">
        <v>413</v>
      </c>
      <c r="BQ37" s="167">
        <v>-6.06</v>
      </c>
      <c r="BR37" s="167">
        <v>4.41E-2</v>
      </c>
      <c r="BS37" s="81">
        <v>-137.35</v>
      </c>
      <c r="BT37" s="81" t="s">
        <v>422</v>
      </c>
      <c r="BU37" s="167">
        <v>2E-16</v>
      </c>
      <c r="BV37" s="81" t="s">
        <v>389</v>
      </c>
      <c r="BX37" s="178" t="s">
        <v>319</v>
      </c>
      <c r="BY37" s="178" t="s">
        <v>320</v>
      </c>
      <c r="BZ37" s="178" t="s">
        <v>350</v>
      </c>
      <c r="CA37" s="178" t="s">
        <v>323</v>
      </c>
      <c r="CB37" s="177">
        <f t="shared" si="34"/>
        <v>0.63200000000000001</v>
      </c>
      <c r="CC37" s="178" t="s">
        <v>322</v>
      </c>
      <c r="CN37" s="81" t="s">
        <v>354</v>
      </c>
      <c r="CO37" s="257">
        <f t="shared" si="0"/>
        <v>280.07887938425426</v>
      </c>
      <c r="CP37" s="257">
        <f t="shared" si="1"/>
        <v>238</v>
      </c>
      <c r="CQ37" s="257">
        <f t="shared" si="2"/>
        <v>85.9</v>
      </c>
      <c r="CT37" s="258" t="s">
        <v>442</v>
      </c>
      <c r="CU37" s="258" t="s">
        <v>400</v>
      </c>
      <c r="CV37" s="259">
        <v>-5.76</v>
      </c>
      <c r="CW37" s="259">
        <v>6.0600000000000001E-2</v>
      </c>
      <c r="CX37" s="258">
        <v>-95.1</v>
      </c>
      <c r="CY37" s="258" t="s">
        <v>422</v>
      </c>
      <c r="CZ37" s="167">
        <v>2E-16</v>
      </c>
      <c r="DA37" s="81" t="s">
        <v>389</v>
      </c>
      <c r="DB37" s="260" t="s">
        <v>467</v>
      </c>
      <c r="DC37" s="266" t="s">
        <v>339</v>
      </c>
      <c r="DD37" s="261" t="s">
        <v>323</v>
      </c>
      <c r="DE37" s="262">
        <f>1/CV56</f>
        <v>324.6753246753247</v>
      </c>
      <c r="DF37" s="260" t="s">
        <v>322</v>
      </c>
    </row>
    <row r="38" spans="1:110" ht="15" customHeight="1" thickTop="1" thickBot="1" x14ac:dyDescent="0.3">
      <c r="B38" s="153"/>
      <c r="K38" s="81"/>
      <c r="L38" s="81"/>
      <c r="M38" s="81"/>
      <c r="P38" s="81"/>
      <c r="Q38" s="81"/>
      <c r="W38" s="239"/>
      <c r="X38" s="240" t="s">
        <v>16</v>
      </c>
      <c r="Y38" s="240">
        <v>0.7</v>
      </c>
      <c r="Z38" s="240" t="s">
        <v>5</v>
      </c>
      <c r="AA38" s="240"/>
      <c r="AB38" s="240" t="s">
        <v>515</v>
      </c>
      <c r="AC38" s="240">
        <f>(Z37-(1-AC39)*Y38)/AC39</f>
        <v>2.3000000000000007</v>
      </c>
      <c r="AD38" s="244"/>
      <c r="AE38" s="14"/>
      <c r="AF38" s="14"/>
      <c r="AG38" s="14"/>
      <c r="AL38" s="159" t="s">
        <v>319</v>
      </c>
      <c r="AM38" s="81" t="s">
        <v>320</v>
      </c>
      <c r="AN38" s="81" t="s">
        <v>354</v>
      </c>
      <c r="AO38" s="81">
        <f>4*Z21*N28</f>
        <v>280.07887938425426</v>
      </c>
      <c r="AP38" s="81" t="s">
        <v>322</v>
      </c>
      <c r="AQ38" s="167">
        <v>85.692350000000005</v>
      </c>
      <c r="AU38" s="168" t="s">
        <v>319</v>
      </c>
      <c r="AV38" s="168" t="s">
        <v>320</v>
      </c>
      <c r="AW38" s="168" t="s">
        <v>354</v>
      </c>
      <c r="AX38" s="169" t="s">
        <v>323</v>
      </c>
      <c r="AY38" s="162">
        <f t="shared" ref="AY38:AY40" si="35">AO38</f>
        <v>280.07887938425426</v>
      </c>
      <c r="AZ38" s="168" t="s">
        <v>322</v>
      </c>
      <c r="BB38" s="81" t="s">
        <v>414</v>
      </c>
      <c r="BC38" s="167">
        <v>-8.6300000000000008</v>
      </c>
      <c r="BD38" s="167">
        <v>5.8999999999999997E-2</v>
      </c>
      <c r="BE38" s="81">
        <v>-146.31</v>
      </c>
      <c r="BF38" s="81" t="s">
        <v>388</v>
      </c>
      <c r="BI38" s="175" t="s">
        <v>319</v>
      </c>
      <c r="BJ38" s="175" t="s">
        <v>320</v>
      </c>
      <c r="BK38" s="175" t="s">
        <v>354</v>
      </c>
      <c r="BL38" s="175" t="s">
        <v>323</v>
      </c>
      <c r="BM38" s="174">
        <f>BC71</f>
        <v>238</v>
      </c>
      <c r="BN38" s="175" t="s">
        <v>322</v>
      </c>
      <c r="BP38" s="81" t="s">
        <v>414</v>
      </c>
      <c r="BQ38" s="167">
        <v>-6.9</v>
      </c>
      <c r="BR38" s="167">
        <v>0.127</v>
      </c>
      <c r="BS38" s="81">
        <v>-54.4</v>
      </c>
      <c r="BT38" s="81" t="s">
        <v>422</v>
      </c>
      <c r="BU38" s="167">
        <v>2E-16</v>
      </c>
      <c r="BV38" s="81" t="s">
        <v>389</v>
      </c>
      <c r="BX38" s="178"/>
      <c r="BY38" s="178"/>
      <c r="BZ38" s="178"/>
      <c r="CA38" s="178"/>
      <c r="CB38" s="177"/>
      <c r="CC38" s="178"/>
      <c r="CN38" s="81" t="s">
        <v>355</v>
      </c>
      <c r="CO38" s="257">
        <f t="shared" si="0"/>
        <v>60.092657818181813</v>
      </c>
      <c r="CP38" s="257">
        <f t="shared" si="1"/>
        <v>58</v>
      </c>
      <c r="CQ38" s="257">
        <f t="shared" si="2"/>
        <v>49.4</v>
      </c>
      <c r="CT38" s="258" t="s">
        <v>442</v>
      </c>
      <c r="CU38" s="258" t="s">
        <v>401</v>
      </c>
      <c r="CV38" s="259">
        <v>-14.2</v>
      </c>
      <c r="CW38" s="259">
        <v>51.7</v>
      </c>
      <c r="CX38" s="258">
        <v>-0.28000000000000003</v>
      </c>
      <c r="CY38" s="258">
        <v>0.78300000000000003</v>
      </c>
      <c r="DB38" s="260" t="s">
        <v>467</v>
      </c>
      <c r="DC38" s="263" t="s">
        <v>331</v>
      </c>
      <c r="DD38" s="261" t="s">
        <v>323</v>
      </c>
      <c r="DE38" s="262">
        <f>CV42</f>
        <v>6.9599999999999995E-2</v>
      </c>
      <c r="DF38" s="260" t="s">
        <v>322</v>
      </c>
    </row>
    <row r="39" spans="1:110" ht="15" customHeight="1" thickTop="1" thickBot="1" x14ac:dyDescent="0.3">
      <c r="K39" s="81"/>
      <c r="L39" s="81"/>
      <c r="M39" s="81" t="s">
        <v>114</v>
      </c>
      <c r="N39" s="153">
        <f>SUM(Q6:Q9,Q15,Q17:Q20,Q25)</f>
        <v>27.92655275157788</v>
      </c>
      <c r="O39" s="153"/>
      <c r="Q39" s="81"/>
      <c r="W39" s="205"/>
      <c r="X39" s="187" t="s">
        <v>121</v>
      </c>
      <c r="Y39" s="187">
        <v>0.3</v>
      </c>
      <c r="Z39" s="187"/>
      <c r="AA39" s="187"/>
      <c r="AB39" s="187" t="s">
        <v>516</v>
      </c>
      <c r="AC39" s="187">
        <v>0.25</v>
      </c>
      <c r="AD39" s="210"/>
      <c r="AE39" s="149" t="s">
        <v>279</v>
      </c>
      <c r="AF39" s="14"/>
      <c r="AG39" s="14"/>
      <c r="AL39" s="159" t="s">
        <v>319</v>
      </c>
      <c r="AM39" s="81" t="s">
        <v>320</v>
      </c>
      <c r="AN39" s="81" t="s">
        <v>355</v>
      </c>
      <c r="AO39" s="153">
        <f>'Verwarming Tabula 2zone'!B139+SUM(Q21:Q24)</f>
        <v>60.092657818181813</v>
      </c>
      <c r="AP39" s="81" t="s">
        <v>322</v>
      </c>
      <c r="AQ39" s="81" t="s">
        <v>356</v>
      </c>
      <c r="AU39" s="168" t="s">
        <v>319</v>
      </c>
      <c r="AV39" s="168" t="s">
        <v>320</v>
      </c>
      <c r="AW39" s="168" t="s">
        <v>355</v>
      </c>
      <c r="AX39" s="169" t="s">
        <v>323</v>
      </c>
      <c r="AY39" s="162">
        <f t="shared" si="35"/>
        <v>60.092657818181813</v>
      </c>
      <c r="AZ39" s="168" t="s">
        <v>322</v>
      </c>
      <c r="BB39" s="81" t="s">
        <v>415</v>
      </c>
      <c r="BC39" s="167">
        <v>-6.14</v>
      </c>
      <c r="BD39" s="167">
        <v>2.1399999999999999E-2</v>
      </c>
      <c r="BE39" s="81">
        <v>-287.01</v>
      </c>
      <c r="BF39" s="81" t="s">
        <v>388</v>
      </c>
      <c r="BI39" s="175" t="s">
        <v>319</v>
      </c>
      <c r="BJ39" s="175" t="s">
        <v>320</v>
      </c>
      <c r="BK39" s="175" t="s">
        <v>355</v>
      </c>
      <c r="BL39" s="175" t="s">
        <v>323</v>
      </c>
      <c r="BM39" s="174">
        <f>BC72</f>
        <v>58</v>
      </c>
      <c r="BN39" s="175" t="s">
        <v>322</v>
      </c>
      <c r="BP39" s="81" t="s">
        <v>415</v>
      </c>
      <c r="BQ39" s="167">
        <v>-6.05</v>
      </c>
      <c r="BR39" s="167">
        <v>2.2700000000000001E-2</v>
      </c>
      <c r="BS39" s="81">
        <v>-266.10000000000002</v>
      </c>
      <c r="BT39" s="81" t="s">
        <v>422</v>
      </c>
      <c r="BU39" s="167">
        <v>2E-16</v>
      </c>
      <c r="BV39" s="81" t="s">
        <v>389</v>
      </c>
      <c r="BX39" s="178" t="s">
        <v>319</v>
      </c>
      <c r="BY39" s="178" t="s">
        <v>320</v>
      </c>
      <c r="BZ39" s="178" t="s">
        <v>352</v>
      </c>
      <c r="CA39" s="178" t="s">
        <v>323</v>
      </c>
      <c r="CB39" s="177">
        <f>BQ69</f>
        <v>219</v>
      </c>
      <c r="CC39" s="178" t="s">
        <v>322</v>
      </c>
      <c r="CN39" s="81" t="s">
        <v>357</v>
      </c>
      <c r="CO39" s="257">
        <f t="shared" si="0"/>
        <v>26.688762897652069</v>
      </c>
      <c r="CP39" s="257">
        <f t="shared" si="1"/>
        <v>215.51724137931035</v>
      </c>
      <c r="CQ39" s="257">
        <f t="shared" si="2"/>
        <v>350.87719298245611</v>
      </c>
      <c r="CT39" s="258" t="s">
        <v>442</v>
      </c>
      <c r="CU39" s="258" t="s">
        <v>402</v>
      </c>
      <c r="CV39" s="259">
        <v>-10.4</v>
      </c>
      <c r="CW39" s="259">
        <v>41.4</v>
      </c>
      <c r="CX39" s="258">
        <v>-0.25</v>
      </c>
      <c r="CY39" s="258">
        <v>0.80100000000000005</v>
      </c>
      <c r="DB39" s="260" t="s">
        <v>467</v>
      </c>
      <c r="DC39" s="264" t="s">
        <v>332</v>
      </c>
      <c r="DD39" s="261" t="s">
        <v>323</v>
      </c>
      <c r="DE39" s="262">
        <f t="shared" ref="DE39:DE42" si="36">CV43</f>
        <v>0.13600000000000001</v>
      </c>
      <c r="DF39" s="260" t="s">
        <v>322</v>
      </c>
    </row>
    <row r="40" spans="1:110" ht="15" customHeight="1" thickTop="1" thickBot="1" x14ac:dyDescent="0.3">
      <c r="A40" s="81" t="s">
        <v>280</v>
      </c>
      <c r="K40" s="81"/>
      <c r="L40" s="81"/>
      <c r="M40" s="81" t="s">
        <v>117</v>
      </c>
      <c r="N40" s="153">
        <f>SUM(Q10:Q13,Q21:Q24)</f>
        <v>26.840000000000003</v>
      </c>
      <c r="Q40" s="81"/>
      <c r="W40" s="226"/>
      <c r="X40" s="226"/>
      <c r="Y40" s="226"/>
      <c r="Z40" s="226"/>
      <c r="AA40" s="226"/>
      <c r="AB40" s="226"/>
      <c r="AC40" s="226"/>
      <c r="AD40" s="226"/>
      <c r="AE40" s="14"/>
      <c r="AF40" s="14"/>
      <c r="AG40" s="14"/>
      <c r="AL40" s="159" t="s">
        <v>319</v>
      </c>
      <c r="AM40" s="81" t="s">
        <v>320</v>
      </c>
      <c r="AN40" s="81" t="s">
        <v>357</v>
      </c>
      <c r="AO40" s="81">
        <f>SUM(N17:N20)*1/(SUM(AC15:AC17)+0.5*SUM(AC18:AC19)+1/23)+N25*1/(SUM(AC7:AC9)+0.5*SUM(AC10)+1/23)</f>
        <v>26.688762897652069</v>
      </c>
      <c r="AP40" s="81" t="s">
        <v>322</v>
      </c>
      <c r="AQ40" s="81">
        <f>1/0.01634389</f>
        <v>61.184944343115376</v>
      </c>
      <c r="AU40" s="168" t="s">
        <v>319</v>
      </c>
      <c r="AV40" s="168" t="s">
        <v>320</v>
      </c>
      <c r="AW40" s="168" t="s">
        <v>357</v>
      </c>
      <c r="AX40" s="169" t="s">
        <v>323</v>
      </c>
      <c r="AY40" s="162">
        <f t="shared" si="35"/>
        <v>26.688762897652069</v>
      </c>
      <c r="AZ40" s="168" t="s">
        <v>322</v>
      </c>
      <c r="BB40" s="81" t="s">
        <v>416</v>
      </c>
      <c r="BC40" s="167">
        <v>-7.59</v>
      </c>
      <c r="BD40" s="167">
        <v>2.3199999999999998E-2</v>
      </c>
      <c r="BE40" s="81">
        <v>-327.07</v>
      </c>
      <c r="BF40" s="81" t="s">
        <v>388</v>
      </c>
      <c r="BI40" s="175" t="s">
        <v>319</v>
      </c>
      <c r="BJ40" s="175" t="s">
        <v>320</v>
      </c>
      <c r="BK40" s="175" t="s">
        <v>357</v>
      </c>
      <c r="BL40" s="175" t="s">
        <v>323</v>
      </c>
      <c r="BM40" s="174">
        <f>1/BC77</f>
        <v>215.51724137931035</v>
      </c>
      <c r="BN40" s="175" t="s">
        <v>322</v>
      </c>
      <c r="BP40" s="81" t="s">
        <v>416</v>
      </c>
      <c r="BQ40" s="167">
        <v>-6.56</v>
      </c>
      <c r="BR40" s="167">
        <v>3.3300000000000003E-2</v>
      </c>
      <c r="BS40" s="81">
        <v>-196.87</v>
      </c>
      <c r="BT40" s="81" t="s">
        <v>422</v>
      </c>
      <c r="BU40" s="167">
        <v>2E-16</v>
      </c>
      <c r="BV40" s="81" t="s">
        <v>389</v>
      </c>
      <c r="BX40" s="178" t="s">
        <v>319</v>
      </c>
      <c r="BY40" s="178" t="s">
        <v>320</v>
      </c>
      <c r="BZ40" s="178" t="s">
        <v>354</v>
      </c>
      <c r="CA40" s="178" t="s">
        <v>323</v>
      </c>
      <c r="CB40" s="177">
        <f t="shared" ref="CB40:CB41" si="37">BQ70</f>
        <v>85.9</v>
      </c>
      <c r="CC40" s="178" t="s">
        <v>322</v>
      </c>
      <c r="CO40" s="255"/>
      <c r="CP40" s="255"/>
      <c r="CQ40" s="255"/>
      <c r="CT40" s="258" t="s">
        <v>442</v>
      </c>
      <c r="CU40" s="258" t="s">
        <v>403</v>
      </c>
      <c r="CV40" s="259">
        <v>-14.8</v>
      </c>
      <c r="CW40" s="259">
        <v>22.8</v>
      </c>
      <c r="CX40" s="258">
        <v>-0.65</v>
      </c>
      <c r="CY40" s="258">
        <v>0.51700000000000002</v>
      </c>
      <c r="DB40" s="260" t="s">
        <v>467</v>
      </c>
      <c r="DC40" s="264" t="s">
        <v>333</v>
      </c>
      <c r="DD40" s="261" t="s">
        <v>323</v>
      </c>
      <c r="DE40" s="262">
        <f t="shared" si="36"/>
        <v>0.77200000000000002</v>
      </c>
      <c r="DF40" s="260" t="s">
        <v>322</v>
      </c>
    </row>
    <row r="41" spans="1:110" ht="15" customHeight="1" thickTop="1" thickBot="1" x14ac:dyDescent="0.3">
      <c r="A41" s="150" t="s">
        <v>281</v>
      </c>
      <c r="K41" s="81"/>
      <c r="L41" s="81"/>
      <c r="M41" s="81" t="s">
        <v>120</v>
      </c>
      <c r="N41" s="153">
        <f>'Verwarming Tabula'!B60</f>
        <v>138.03320000000002</v>
      </c>
      <c r="Q41" s="81"/>
      <c r="W41" s="226"/>
      <c r="X41" s="226"/>
      <c r="Y41" s="227" t="s">
        <v>4</v>
      </c>
      <c r="Z41" s="227">
        <v>0.85</v>
      </c>
      <c r="AA41" s="227" t="s">
        <v>5</v>
      </c>
      <c r="AB41" s="226"/>
      <c r="AC41" s="226"/>
      <c r="AD41" s="226"/>
      <c r="AE41" s="14"/>
      <c r="AF41" s="14"/>
      <c r="AG41" s="14"/>
      <c r="AP41" s="81" t="s">
        <v>322</v>
      </c>
      <c r="AU41" s="168"/>
      <c r="AV41" s="168"/>
      <c r="AW41" s="168"/>
      <c r="AX41" s="169"/>
      <c r="AZ41" s="168"/>
      <c r="BB41" s="81" t="s">
        <v>417</v>
      </c>
      <c r="BC41" s="167">
        <v>4.5999999999999999E-3</v>
      </c>
      <c r="BD41" s="167">
        <v>2.5000000000000001E-5</v>
      </c>
      <c r="BE41" s="81">
        <v>184.29</v>
      </c>
      <c r="BF41" s="81" t="s">
        <v>388</v>
      </c>
      <c r="BI41" s="175"/>
      <c r="BJ41" s="175"/>
      <c r="BK41" s="175"/>
      <c r="BL41" s="175"/>
      <c r="BM41" s="174"/>
      <c r="BN41" s="175"/>
      <c r="BP41" s="81" t="s">
        <v>417</v>
      </c>
      <c r="BQ41" s="167">
        <v>3.0599999999999998E-3</v>
      </c>
      <c r="BR41" s="167">
        <v>6.4700000000000001E-5</v>
      </c>
      <c r="BS41" s="81">
        <v>47.35</v>
      </c>
      <c r="BT41" s="81" t="s">
        <v>422</v>
      </c>
      <c r="BU41" s="167">
        <v>2E-16</v>
      </c>
      <c r="BV41" s="81" t="s">
        <v>389</v>
      </c>
      <c r="BX41" s="178" t="s">
        <v>319</v>
      </c>
      <c r="BY41" s="178" t="s">
        <v>320</v>
      </c>
      <c r="BZ41" s="178" t="s">
        <v>355</v>
      </c>
      <c r="CA41" s="178" t="s">
        <v>323</v>
      </c>
      <c r="CB41" s="177">
        <f t="shared" si="37"/>
        <v>49.4</v>
      </c>
      <c r="CC41" s="178" t="s">
        <v>322</v>
      </c>
      <c r="CN41" s="81" t="s">
        <v>358</v>
      </c>
      <c r="CO41" s="254">
        <f t="shared" si="0"/>
        <v>0.26417312813669608</v>
      </c>
      <c r="CP41" s="254">
        <f t="shared" si="1"/>
        <v>9.35E-2</v>
      </c>
      <c r="CQ41" s="254">
        <f t="shared" si="2"/>
        <v>0.11799999999999999</v>
      </c>
      <c r="CT41" s="258" t="s">
        <v>442</v>
      </c>
      <c r="CU41" s="258" t="s">
        <v>404</v>
      </c>
      <c r="CV41" s="259">
        <v>-12.9</v>
      </c>
      <c r="CW41" s="259">
        <v>17</v>
      </c>
      <c r="CX41" s="258">
        <v>-0.76</v>
      </c>
      <c r="CY41" s="258">
        <v>0.44900000000000001</v>
      </c>
      <c r="DB41" s="260" t="s">
        <v>467</v>
      </c>
      <c r="DC41" s="261" t="s">
        <v>334</v>
      </c>
      <c r="DD41" s="261" t="s">
        <v>323</v>
      </c>
      <c r="DE41" s="262">
        <f t="shared" si="36"/>
        <v>7.1300000000000002E-2</v>
      </c>
      <c r="DF41" s="260" t="s">
        <v>322</v>
      </c>
    </row>
    <row r="42" spans="1:110" ht="15" customHeight="1" thickTop="1" thickBot="1" x14ac:dyDescent="0.3">
      <c r="A42" s="81" t="s">
        <v>282</v>
      </c>
      <c r="C42" s="81">
        <v>1</v>
      </c>
      <c r="K42" s="81"/>
      <c r="L42" s="81"/>
      <c r="M42" s="81"/>
      <c r="N42" s="153"/>
      <c r="Q42" s="81"/>
      <c r="W42" s="228" t="s">
        <v>63</v>
      </c>
      <c r="X42" s="229"/>
      <c r="Y42" s="230" t="s">
        <v>21</v>
      </c>
      <c r="Z42" s="231">
        <f>1/(1/10+SUM(AC44:AC48))</f>
        <v>0.18202831551574691</v>
      </c>
      <c r="AA42" s="229" t="s">
        <v>5</v>
      </c>
      <c r="AB42" s="229"/>
      <c r="AC42" s="229" t="s">
        <v>22</v>
      </c>
      <c r="AD42" s="232">
        <f>SUM(AD44:AD48)</f>
        <v>381293</v>
      </c>
      <c r="AE42" s="14" t="s">
        <v>23</v>
      </c>
      <c r="AF42" s="14">
        <f>SUM(AD44:AD45)</f>
        <v>110960</v>
      </c>
      <c r="AG42" s="14"/>
      <c r="AL42" s="159" t="s">
        <v>319</v>
      </c>
      <c r="AM42" s="81" t="s">
        <v>320</v>
      </c>
      <c r="AN42" s="81" t="s">
        <v>358</v>
      </c>
      <c r="AO42" s="81">
        <f>SUM(N26)/SUM(N6:N14,N26:N27)</f>
        <v>0.26417312813669608</v>
      </c>
      <c r="AP42" s="81" t="s">
        <v>322</v>
      </c>
      <c r="AQ42" s="81" t="s">
        <v>359</v>
      </c>
      <c r="AU42" s="168" t="s">
        <v>319</v>
      </c>
      <c r="AV42" s="168" t="s">
        <v>320</v>
      </c>
      <c r="AW42" s="168" t="s">
        <v>358</v>
      </c>
      <c r="AX42" s="169" t="s">
        <v>323</v>
      </c>
      <c r="AY42" s="162">
        <f>AO42</f>
        <v>0.26417312813669608</v>
      </c>
      <c r="AZ42" s="168" t="s">
        <v>322</v>
      </c>
      <c r="BB42" s="81" t="s">
        <v>418</v>
      </c>
      <c r="BC42" s="167">
        <v>393</v>
      </c>
      <c r="BD42" s="167">
        <v>4.21</v>
      </c>
      <c r="BE42" s="81">
        <v>93.48</v>
      </c>
      <c r="BF42" s="81" t="s">
        <v>388</v>
      </c>
      <c r="BI42" s="175" t="s">
        <v>319</v>
      </c>
      <c r="BJ42" s="175" t="s">
        <v>320</v>
      </c>
      <c r="BK42" s="175" t="s">
        <v>358</v>
      </c>
      <c r="BL42" s="175" t="s">
        <v>323</v>
      </c>
      <c r="BM42" s="174">
        <f>BC15</f>
        <v>9.35E-2</v>
      </c>
      <c r="BN42" s="175" t="s">
        <v>322</v>
      </c>
      <c r="BP42" s="81" t="s">
        <v>418</v>
      </c>
      <c r="BQ42" s="167">
        <v>113</v>
      </c>
      <c r="BR42" s="167">
        <v>2.08</v>
      </c>
      <c r="BS42" s="81">
        <v>54.6</v>
      </c>
      <c r="BT42" s="81" t="s">
        <v>422</v>
      </c>
      <c r="BU42" s="167">
        <v>2E-16</v>
      </c>
      <c r="BV42" s="81" t="s">
        <v>389</v>
      </c>
      <c r="BX42" s="178" t="s">
        <v>319</v>
      </c>
      <c r="BY42" s="178" t="s">
        <v>320</v>
      </c>
      <c r="BZ42" s="178" t="s">
        <v>357</v>
      </c>
      <c r="CA42" s="178" t="s">
        <v>323</v>
      </c>
      <c r="CB42" s="177">
        <f>1/BQ76</f>
        <v>350.87719298245611</v>
      </c>
      <c r="CC42" s="178" t="s">
        <v>322</v>
      </c>
      <c r="CN42" s="81" t="s">
        <v>360</v>
      </c>
      <c r="CO42" s="254">
        <f t="shared" si="0"/>
        <v>0.19274379473091174</v>
      </c>
      <c r="CP42" s="254">
        <f t="shared" si="1"/>
        <v>0.19800000000000001</v>
      </c>
      <c r="CQ42" s="254">
        <f t="shared" si="2"/>
        <v>0.28299999999999997</v>
      </c>
      <c r="CT42" s="258" t="s">
        <v>442</v>
      </c>
      <c r="CU42" s="258" t="s">
        <v>405</v>
      </c>
      <c r="CV42" s="259">
        <v>6.9599999999999995E-2</v>
      </c>
      <c r="CW42" s="259">
        <v>7.6499999999999995E-4</v>
      </c>
      <c r="CX42" s="258">
        <v>91.05</v>
      </c>
      <c r="CY42" s="258" t="s">
        <v>422</v>
      </c>
      <c r="CZ42" s="167">
        <v>2E-16</v>
      </c>
      <c r="DA42" s="81" t="s">
        <v>389</v>
      </c>
      <c r="DB42" s="260" t="s">
        <v>467</v>
      </c>
      <c r="DC42" s="261" t="s">
        <v>428</v>
      </c>
      <c r="DD42" s="261" t="s">
        <v>323</v>
      </c>
      <c r="DE42" s="262">
        <f t="shared" si="36"/>
        <v>4.3700000000000003E-2</v>
      </c>
      <c r="DF42" s="260" t="s">
        <v>322</v>
      </c>
    </row>
    <row r="43" spans="1:110" ht="15" customHeight="1" thickTop="1" thickBot="1" x14ac:dyDescent="0.3">
      <c r="A43" s="81" t="s">
        <v>283</v>
      </c>
      <c r="C43" s="81">
        <f>B7/B6</f>
        <v>0.36838978015448604</v>
      </c>
      <c r="D43" s="81" t="s">
        <v>284</v>
      </c>
      <c r="K43" s="81"/>
      <c r="L43" s="81"/>
      <c r="M43" s="81" t="s">
        <v>122</v>
      </c>
      <c r="N43" s="153">
        <f>B4*1.204*1012*5/1000000</f>
        <v>2.8194886719999999</v>
      </c>
      <c r="O43" s="81" t="s">
        <v>123</v>
      </c>
      <c r="P43" s="81"/>
      <c r="Q43" s="81"/>
      <c r="W43" s="233"/>
      <c r="X43" s="234" t="s">
        <v>27</v>
      </c>
      <c r="Y43" s="234" t="s">
        <v>28</v>
      </c>
      <c r="Z43" s="234" t="s">
        <v>29</v>
      </c>
      <c r="AA43" s="234" t="s">
        <v>30</v>
      </c>
      <c r="AB43" s="234" t="s">
        <v>31</v>
      </c>
      <c r="AC43" s="234" t="s">
        <v>32</v>
      </c>
      <c r="AD43" s="235" t="s">
        <v>33</v>
      </c>
      <c r="AE43" s="14"/>
      <c r="AF43" s="14"/>
      <c r="AG43" s="14"/>
      <c r="AL43" s="159" t="s">
        <v>319</v>
      </c>
      <c r="AM43" s="81" t="s">
        <v>320</v>
      </c>
      <c r="AN43" s="81" t="s">
        <v>360</v>
      </c>
      <c r="AO43" s="81">
        <f>SUM(N26)/SUM(N$17:N$25,N$28,N$26)</f>
        <v>0.19274379473091174</v>
      </c>
      <c r="AP43" s="81" t="s">
        <v>322</v>
      </c>
      <c r="AQ43" s="81" t="s">
        <v>361</v>
      </c>
      <c r="AU43" s="168" t="s">
        <v>319</v>
      </c>
      <c r="AV43" s="168" t="s">
        <v>320</v>
      </c>
      <c r="AW43" s="168" t="s">
        <v>360</v>
      </c>
      <c r="AX43" s="169" t="s">
        <v>323</v>
      </c>
      <c r="AY43" s="162">
        <f t="shared" ref="AY43:AY50" si="38">AO43</f>
        <v>0.19274379473091174</v>
      </c>
      <c r="AZ43" s="168" t="s">
        <v>322</v>
      </c>
      <c r="BB43" s="81" t="s">
        <v>419</v>
      </c>
      <c r="BC43" s="167">
        <v>141</v>
      </c>
      <c r="BD43" s="167">
        <v>4.72</v>
      </c>
      <c r="BE43" s="81">
        <v>29.84</v>
      </c>
      <c r="BF43" s="81" t="s">
        <v>388</v>
      </c>
      <c r="BI43" s="175" t="s">
        <v>319</v>
      </c>
      <c r="BJ43" s="175" t="s">
        <v>320</v>
      </c>
      <c r="BK43" s="175" t="s">
        <v>360</v>
      </c>
      <c r="BL43" s="175" t="s">
        <v>323</v>
      </c>
      <c r="BM43" s="174">
        <f>BC57</f>
        <v>0.19800000000000001</v>
      </c>
      <c r="BN43" s="175" t="s">
        <v>322</v>
      </c>
      <c r="BP43" s="81" t="s">
        <v>419</v>
      </c>
      <c r="BQ43" s="167">
        <v>4990</v>
      </c>
      <c r="BR43" s="167">
        <v>2330</v>
      </c>
      <c r="BS43" s="81">
        <v>2.14</v>
      </c>
      <c r="BT43" s="81">
        <v>3.27E-2</v>
      </c>
      <c r="BU43" s="81" t="s">
        <v>434</v>
      </c>
      <c r="BX43" s="178"/>
      <c r="BY43" s="178"/>
      <c r="BZ43" s="178"/>
      <c r="CA43" s="178"/>
      <c r="CB43" s="177"/>
      <c r="CC43" s="178"/>
      <c r="CN43" s="81" t="s">
        <v>362</v>
      </c>
      <c r="CO43" s="256">
        <f t="shared" si="0"/>
        <v>14177850</v>
      </c>
      <c r="CP43" s="256">
        <f t="shared" si="1"/>
        <v>8270000</v>
      </c>
      <c r="CQ43" s="256">
        <f t="shared" si="2"/>
        <v>19200000</v>
      </c>
      <c r="CT43" s="258" t="s">
        <v>442</v>
      </c>
      <c r="CU43" s="258" t="s">
        <v>406</v>
      </c>
      <c r="CV43" s="259">
        <v>0.13600000000000001</v>
      </c>
      <c r="CW43" s="259">
        <v>8.9300000000000002E-4</v>
      </c>
      <c r="CX43" s="258">
        <v>151.97</v>
      </c>
      <c r="CY43" s="258" t="s">
        <v>422</v>
      </c>
      <c r="CZ43" s="167">
        <v>2E-16</v>
      </c>
      <c r="DA43" s="81" t="s">
        <v>389</v>
      </c>
      <c r="DD43" s="261"/>
    </row>
    <row r="44" spans="1:110" ht="15" customHeight="1" thickTop="1" thickBot="1" x14ac:dyDescent="0.3">
      <c r="A44" s="81" t="s">
        <v>287</v>
      </c>
      <c r="C44" s="81">
        <v>0.7</v>
      </c>
      <c r="E44" s="79"/>
      <c r="K44" s="81"/>
      <c r="L44" s="81"/>
      <c r="M44" s="81" t="s">
        <v>124</v>
      </c>
      <c r="N44" s="153">
        <f>SUM(R6:R9,R15)/1000000</f>
        <v>15.625767503743315</v>
      </c>
      <c r="O44" s="81" t="s">
        <v>125</v>
      </c>
      <c r="P44" s="153">
        <f>SUM(T6:T9,T15)/1000000</f>
        <v>6.7957248270944746</v>
      </c>
      <c r="Q44" s="81"/>
      <c r="W44" s="239"/>
      <c r="X44" s="240" t="s">
        <v>128</v>
      </c>
      <c r="Y44" s="240">
        <v>0.02</v>
      </c>
      <c r="Z44" s="240">
        <v>1.4</v>
      </c>
      <c r="AA44" s="240">
        <v>2100</v>
      </c>
      <c r="AB44" s="240">
        <v>840</v>
      </c>
      <c r="AC44" s="241">
        <f>Y44/Z44</f>
        <v>1.4285714285714287E-2</v>
      </c>
      <c r="AD44" s="242">
        <f>Y44*AA44*AB44</f>
        <v>35280</v>
      </c>
      <c r="AE44" s="14" t="s">
        <v>104</v>
      </c>
      <c r="AF44" s="14"/>
      <c r="AG44" s="14"/>
      <c r="AL44" s="159" t="s">
        <v>319</v>
      </c>
      <c r="AM44" s="81" t="s">
        <v>320</v>
      </c>
      <c r="AN44" s="81" t="s">
        <v>362</v>
      </c>
      <c r="AO44" s="81">
        <f>T26/2</f>
        <v>14177850</v>
      </c>
      <c r="AP44" s="81" t="s">
        <v>322</v>
      </c>
      <c r="AQ44" s="81" t="s">
        <v>363</v>
      </c>
      <c r="AU44" s="168" t="s">
        <v>319</v>
      </c>
      <c r="AV44" s="168" t="s">
        <v>320</v>
      </c>
      <c r="AW44" s="168" t="s">
        <v>362</v>
      </c>
      <c r="AX44" s="169" t="s">
        <v>323</v>
      </c>
      <c r="AY44" s="162">
        <f t="shared" si="38"/>
        <v>14177850</v>
      </c>
      <c r="AZ44" s="168" t="s">
        <v>322</v>
      </c>
      <c r="BB44" s="81" t="s">
        <v>420</v>
      </c>
      <c r="BC44" s="167">
        <v>81.900000000000006</v>
      </c>
      <c r="BD44" s="167">
        <v>0.45900000000000002</v>
      </c>
      <c r="BE44" s="81">
        <v>178.48</v>
      </c>
      <c r="BF44" s="81" t="s">
        <v>388</v>
      </c>
      <c r="BI44" s="175" t="s">
        <v>319</v>
      </c>
      <c r="BJ44" s="175" t="s">
        <v>320</v>
      </c>
      <c r="BK44" s="175" t="s">
        <v>362</v>
      </c>
      <c r="BL44" s="175" t="s">
        <v>323</v>
      </c>
      <c r="BM44" s="174">
        <f>BC87</f>
        <v>8270000</v>
      </c>
      <c r="BN44" s="175" t="s">
        <v>322</v>
      </c>
      <c r="BP44" s="81" t="s">
        <v>420</v>
      </c>
      <c r="BQ44" s="167">
        <v>75.900000000000006</v>
      </c>
      <c r="BR44" s="167">
        <v>3.39</v>
      </c>
      <c r="BS44" s="81">
        <v>22.42</v>
      </c>
      <c r="BT44" s="81" t="s">
        <v>422</v>
      </c>
      <c r="BU44" s="167">
        <v>2E-16</v>
      </c>
      <c r="BV44" s="81" t="s">
        <v>389</v>
      </c>
      <c r="BX44" s="178" t="s">
        <v>319</v>
      </c>
      <c r="BY44" s="178" t="s">
        <v>320</v>
      </c>
      <c r="BZ44" s="178" t="s">
        <v>358</v>
      </c>
      <c r="CA44" s="178" t="s">
        <v>323</v>
      </c>
      <c r="CB44" s="177">
        <f>BQ15</f>
        <v>0.11799999999999999</v>
      </c>
      <c r="CC44" s="178" t="s">
        <v>322</v>
      </c>
      <c r="CN44" s="81" t="s">
        <v>364</v>
      </c>
      <c r="CO44" s="256">
        <f t="shared" si="0"/>
        <v>14177850</v>
      </c>
      <c r="CP44" s="256">
        <f t="shared" si="1"/>
        <v>25000000</v>
      </c>
      <c r="CQ44" s="256">
        <f t="shared" si="2"/>
        <v>65100000</v>
      </c>
      <c r="CT44" s="258" t="s">
        <v>442</v>
      </c>
      <c r="CU44" s="258" t="s">
        <v>407</v>
      </c>
      <c r="CV44" s="259">
        <v>0.77200000000000002</v>
      </c>
      <c r="CW44" s="259">
        <v>5.1200000000000004E-3</v>
      </c>
      <c r="CX44" s="258">
        <v>150.93</v>
      </c>
      <c r="CY44" s="258" t="s">
        <v>422</v>
      </c>
      <c r="CZ44" s="167">
        <v>2E-16</v>
      </c>
      <c r="DA44" s="81" t="s">
        <v>389</v>
      </c>
      <c r="DB44" s="260" t="s">
        <v>467</v>
      </c>
      <c r="DC44" s="266" t="s">
        <v>489</v>
      </c>
      <c r="DD44" s="261" t="s">
        <v>323</v>
      </c>
      <c r="DE44" s="262">
        <f>CV68</f>
        <v>0.20200000000000001</v>
      </c>
      <c r="DF44" s="260" t="s">
        <v>322</v>
      </c>
    </row>
    <row r="45" spans="1:110" ht="15" customHeight="1" thickTop="1" thickBot="1" x14ac:dyDescent="0.3">
      <c r="A45" s="81" t="s">
        <v>288</v>
      </c>
      <c r="C45" s="81">
        <v>0.5</v>
      </c>
      <c r="E45" s="79"/>
      <c r="K45" s="81"/>
      <c r="L45" s="81"/>
      <c r="M45" s="81" t="s">
        <v>126</v>
      </c>
      <c r="N45" s="153">
        <f>SUM(R26:R27)/1000000</f>
        <v>41.791845300282262</v>
      </c>
      <c r="O45" s="81" t="s">
        <v>125</v>
      </c>
      <c r="P45" s="153">
        <f>SUM(T26:T27)/1000000</f>
        <v>41.791845300282262</v>
      </c>
      <c r="Q45" s="81"/>
      <c r="W45" s="188"/>
      <c r="X45" s="189" t="s">
        <v>129</v>
      </c>
      <c r="Y45" s="189">
        <v>0.08</v>
      </c>
      <c r="Z45" s="189">
        <v>0.6</v>
      </c>
      <c r="AA45" s="189">
        <v>1100</v>
      </c>
      <c r="AB45" s="189">
        <v>860</v>
      </c>
      <c r="AC45" s="236">
        <f>Y45/Z45</f>
        <v>0.13333333333333333</v>
      </c>
      <c r="AD45" s="190">
        <f>Y45*AA45*AB45</f>
        <v>75680</v>
      </c>
      <c r="AE45" s="14"/>
      <c r="AF45" s="14"/>
      <c r="AG45" s="14"/>
      <c r="AL45" s="159" t="s">
        <v>319</v>
      </c>
      <c r="AM45" s="81" t="s">
        <v>320</v>
      </c>
      <c r="AN45" s="81" t="s">
        <v>364</v>
      </c>
      <c r="AO45" s="81">
        <f>T26/2</f>
        <v>14177850</v>
      </c>
      <c r="AP45" s="81" t="s">
        <v>322</v>
      </c>
      <c r="AQ45" s="81" t="s">
        <v>365</v>
      </c>
      <c r="AU45" s="168" t="s">
        <v>319</v>
      </c>
      <c r="AV45" s="168" t="s">
        <v>320</v>
      </c>
      <c r="AW45" s="168" t="s">
        <v>364</v>
      </c>
      <c r="AX45" s="169" t="s">
        <v>323</v>
      </c>
      <c r="AY45" s="162">
        <f t="shared" si="38"/>
        <v>14177850</v>
      </c>
      <c r="AZ45" s="168" t="s">
        <v>322</v>
      </c>
      <c r="BI45" s="175" t="s">
        <v>319</v>
      </c>
      <c r="BJ45" s="175" t="s">
        <v>320</v>
      </c>
      <c r="BK45" s="175" t="s">
        <v>364</v>
      </c>
      <c r="BL45" s="175" t="s">
        <v>323</v>
      </c>
      <c r="BM45" s="174">
        <f>BC88</f>
        <v>25000000</v>
      </c>
      <c r="BN45" s="175" t="s">
        <v>322</v>
      </c>
      <c r="BX45" s="178" t="s">
        <v>319</v>
      </c>
      <c r="BY45" s="178" t="s">
        <v>320</v>
      </c>
      <c r="BZ45" s="178" t="s">
        <v>360</v>
      </c>
      <c r="CA45" s="178" t="s">
        <v>323</v>
      </c>
      <c r="CB45" s="177">
        <f>BQ56</f>
        <v>0.28299999999999997</v>
      </c>
      <c r="CC45" s="178" t="s">
        <v>322</v>
      </c>
      <c r="CN45" s="81" t="s">
        <v>366</v>
      </c>
      <c r="CO45" s="254">
        <f t="shared" si="0"/>
        <v>7.9251938441008821E-2</v>
      </c>
      <c r="CP45" s="254">
        <f t="shared" si="1"/>
        <v>7.3400000000000007E-2</v>
      </c>
      <c r="CQ45" s="254">
        <f t="shared" si="2"/>
        <v>4.4299999999999999E-2</v>
      </c>
      <c r="CT45" s="258" t="s">
        <v>442</v>
      </c>
      <c r="CU45" s="258" t="s">
        <v>408</v>
      </c>
      <c r="CV45" s="259">
        <v>7.1300000000000002E-2</v>
      </c>
      <c r="CW45" s="259">
        <v>4.6000000000000001E-4</v>
      </c>
      <c r="CX45" s="258">
        <v>154.97999999999999</v>
      </c>
      <c r="CY45" s="258" t="s">
        <v>422</v>
      </c>
      <c r="CZ45" s="167">
        <v>2E-16</v>
      </c>
      <c r="DA45" s="81" t="s">
        <v>389</v>
      </c>
      <c r="DB45" s="260" t="s">
        <v>467</v>
      </c>
      <c r="DC45" s="266" t="s">
        <v>490</v>
      </c>
      <c r="DD45" s="261" t="s">
        <v>323</v>
      </c>
      <c r="DE45" s="262">
        <f t="shared" ref="DE45:DE59" si="39">CV69</f>
        <v>6.2900000000000003E-7</v>
      </c>
      <c r="DF45" s="260" t="s">
        <v>322</v>
      </c>
    </row>
    <row r="46" spans="1:110" ht="15" customHeight="1" thickTop="1" thickBot="1" x14ac:dyDescent="0.3">
      <c r="K46" s="81"/>
      <c r="L46" s="81"/>
      <c r="M46" s="81" t="s">
        <v>127</v>
      </c>
      <c r="N46" s="153">
        <f>R14/1000000</f>
        <v>23.640166000000001</v>
      </c>
      <c r="P46" s="153">
        <f>T14/1000000</f>
        <v>6.8795200000000003</v>
      </c>
      <c r="Q46" s="81"/>
      <c r="W46" s="188"/>
      <c r="X46" s="189" t="s">
        <v>285</v>
      </c>
      <c r="Y46" s="286">
        <v>0.02</v>
      </c>
      <c r="Z46" s="189">
        <v>3.5999999999999997E-2</v>
      </c>
      <c r="AA46" s="189">
        <v>30</v>
      </c>
      <c r="AB46" s="189">
        <v>1470</v>
      </c>
      <c r="AC46" s="236">
        <f>Y46/Z46</f>
        <v>0.55555555555555558</v>
      </c>
      <c r="AD46" s="190">
        <f>Y46*AA46*AB46</f>
        <v>882</v>
      </c>
      <c r="AE46" s="149" t="s">
        <v>286</v>
      </c>
      <c r="AF46" s="14"/>
      <c r="AG46" s="14"/>
      <c r="AL46" s="159" t="s">
        <v>319</v>
      </c>
      <c r="AM46" s="81" t="s">
        <v>320</v>
      </c>
      <c r="AN46" s="81" t="s">
        <v>366</v>
      </c>
      <c r="AO46" s="81">
        <f>AO42*0.3</f>
        <v>7.9251938441008821E-2</v>
      </c>
      <c r="AP46" s="81" t="s">
        <v>322</v>
      </c>
      <c r="AQ46" s="81" t="s">
        <v>367</v>
      </c>
      <c r="AU46" s="168" t="s">
        <v>319</v>
      </c>
      <c r="AV46" s="168" t="s">
        <v>320</v>
      </c>
      <c r="AW46" s="168" t="s">
        <v>366</v>
      </c>
      <c r="AX46" s="169" t="s">
        <v>323</v>
      </c>
      <c r="AY46" s="162">
        <f t="shared" si="38"/>
        <v>7.9251938441008821E-2</v>
      </c>
      <c r="AZ46" s="168" t="s">
        <v>322</v>
      </c>
      <c r="BI46" s="175" t="s">
        <v>319</v>
      </c>
      <c r="BJ46" s="175" t="s">
        <v>320</v>
      </c>
      <c r="BK46" s="175" t="s">
        <v>366</v>
      </c>
      <c r="BL46" s="175" t="s">
        <v>323</v>
      </c>
      <c r="BM46" s="174">
        <f>BC31</f>
        <v>7.3400000000000007E-2</v>
      </c>
      <c r="BN46" s="175" t="s">
        <v>322</v>
      </c>
      <c r="BP46" s="81" t="s">
        <v>433</v>
      </c>
      <c r="BQ46" s="81" t="s">
        <v>421</v>
      </c>
      <c r="BX46" s="178" t="s">
        <v>319</v>
      </c>
      <c r="BY46" s="178" t="s">
        <v>320</v>
      </c>
      <c r="BZ46" s="178" t="s">
        <v>362</v>
      </c>
      <c r="CA46" s="178" t="s">
        <v>323</v>
      </c>
      <c r="CB46" s="177">
        <f>BQ87</f>
        <v>19200000</v>
      </c>
      <c r="CC46" s="178" t="s">
        <v>322</v>
      </c>
      <c r="CN46" s="81" t="s">
        <v>368</v>
      </c>
      <c r="CO46" s="254">
        <f t="shared" si="0"/>
        <v>5.7823138419273522E-2</v>
      </c>
      <c r="CP46" s="254">
        <f t="shared" si="1"/>
        <v>0.126</v>
      </c>
      <c r="CQ46" s="254">
        <f t="shared" si="2"/>
        <v>7.3200000000000001E-2</v>
      </c>
      <c r="CT46" s="258" t="s">
        <v>442</v>
      </c>
      <c r="CU46" s="258" t="s">
        <v>409</v>
      </c>
      <c r="CV46" s="259">
        <v>4.3700000000000003E-2</v>
      </c>
      <c r="CW46" s="259">
        <v>2.8400000000000002E-4</v>
      </c>
      <c r="CX46" s="258">
        <v>154.13999999999999</v>
      </c>
      <c r="CY46" s="258" t="s">
        <v>422</v>
      </c>
      <c r="CZ46" s="167">
        <v>2E-16</v>
      </c>
      <c r="DA46" s="81" t="s">
        <v>389</v>
      </c>
      <c r="DB46" s="260" t="s">
        <v>467</v>
      </c>
      <c r="DC46" s="266" t="s">
        <v>491</v>
      </c>
      <c r="DD46" s="261" t="s">
        <v>323</v>
      </c>
      <c r="DE46" s="262">
        <f t="shared" si="39"/>
        <v>0.77700000000000002</v>
      </c>
      <c r="DF46" s="260" t="s">
        <v>322</v>
      </c>
    </row>
    <row r="47" spans="1:110" ht="15" customHeight="1" thickTop="1" thickBot="1" x14ac:dyDescent="0.3">
      <c r="B47" s="153"/>
      <c r="K47" s="81"/>
      <c r="L47" s="81"/>
      <c r="M47" s="81"/>
      <c r="P47" s="81"/>
      <c r="Q47" s="81"/>
      <c r="W47" s="188"/>
      <c r="X47" s="189" t="s">
        <v>131</v>
      </c>
      <c r="Y47" s="189">
        <v>0.15</v>
      </c>
      <c r="Z47" s="189">
        <v>1.4</v>
      </c>
      <c r="AA47" s="189">
        <v>2100</v>
      </c>
      <c r="AB47" s="189">
        <v>840</v>
      </c>
      <c r="AC47" s="236">
        <f>Y47/Z47</f>
        <v>0.10714285714285715</v>
      </c>
      <c r="AD47" s="190">
        <f>Y47*AA47*AB47</f>
        <v>264600</v>
      </c>
      <c r="AE47" s="14"/>
      <c r="AF47" s="14"/>
      <c r="AG47" s="14"/>
      <c r="AL47" s="159" t="s">
        <v>319</v>
      </c>
      <c r="AM47" s="81" t="s">
        <v>320</v>
      </c>
      <c r="AN47" s="81" t="s">
        <v>368</v>
      </c>
      <c r="AO47" s="81">
        <f>AO43*0.3</f>
        <v>5.7823138419273522E-2</v>
      </c>
      <c r="AP47" s="81" t="s">
        <v>322</v>
      </c>
      <c r="AQ47" s="81" t="s">
        <v>369</v>
      </c>
      <c r="AU47" s="168" t="s">
        <v>319</v>
      </c>
      <c r="AV47" s="168" t="s">
        <v>320</v>
      </c>
      <c r="AW47" s="168" t="s">
        <v>368</v>
      </c>
      <c r="AX47" s="169" t="s">
        <v>323</v>
      </c>
      <c r="AY47" s="162">
        <f t="shared" si="38"/>
        <v>5.7823138419273522E-2</v>
      </c>
      <c r="AZ47" s="168" t="s">
        <v>322</v>
      </c>
      <c r="BC47" s="172" t="s">
        <v>421</v>
      </c>
      <c r="BI47" s="175" t="s">
        <v>319</v>
      </c>
      <c r="BJ47" s="175" t="s">
        <v>320</v>
      </c>
      <c r="BK47" s="175" t="s">
        <v>368</v>
      </c>
      <c r="BL47" s="175" t="s">
        <v>323</v>
      </c>
      <c r="BM47" s="174">
        <f>BC69</f>
        <v>0.126</v>
      </c>
      <c r="BN47" s="175" t="s">
        <v>322</v>
      </c>
      <c r="BP47" s="81" t="s">
        <v>380</v>
      </c>
      <c r="BX47" s="178" t="s">
        <v>319</v>
      </c>
      <c r="BY47" s="178" t="s">
        <v>320</v>
      </c>
      <c r="BZ47" s="178" t="s">
        <v>364</v>
      </c>
      <c r="CA47" s="178" t="s">
        <v>323</v>
      </c>
      <c r="CB47" s="177">
        <f>BQ89</f>
        <v>65100000</v>
      </c>
      <c r="CC47" s="178" t="s">
        <v>322</v>
      </c>
      <c r="CN47" s="81" t="s">
        <v>370</v>
      </c>
      <c r="CO47" s="257">
        <f t="shared" si="0"/>
        <v>148.79999999999998</v>
      </c>
      <c r="CP47" s="257">
        <f t="shared" si="1"/>
        <v>502</v>
      </c>
      <c r="CQ47" s="257">
        <f t="shared" si="2"/>
        <v>198</v>
      </c>
      <c r="CT47" s="258" t="s">
        <v>442</v>
      </c>
      <c r="CU47" s="258" t="s">
        <v>410</v>
      </c>
      <c r="CV47" s="259">
        <v>279</v>
      </c>
      <c r="CW47" s="259">
        <v>2.52</v>
      </c>
      <c r="CX47" s="258">
        <v>110.69</v>
      </c>
      <c r="CY47" s="258" t="s">
        <v>422</v>
      </c>
      <c r="CZ47" s="167">
        <v>2E-16</v>
      </c>
      <c r="DA47" s="81" t="s">
        <v>389</v>
      </c>
      <c r="DB47" s="260" t="s">
        <v>467</v>
      </c>
      <c r="DC47" s="266" t="s">
        <v>492</v>
      </c>
      <c r="DD47" s="261" t="s">
        <v>323</v>
      </c>
      <c r="DE47" s="262">
        <f t="shared" si="39"/>
        <v>0.65400000000000003</v>
      </c>
      <c r="DF47" s="260" t="s">
        <v>322</v>
      </c>
    </row>
    <row r="48" spans="1:110" ht="15" customHeight="1" thickTop="1" thickBot="1" x14ac:dyDescent="0.3">
      <c r="B48" s="153"/>
      <c r="K48" s="81"/>
      <c r="L48" s="81"/>
      <c r="M48" s="81"/>
      <c r="P48" s="81"/>
      <c r="Q48" s="81"/>
      <c r="W48" s="205"/>
      <c r="X48" s="187" t="s">
        <v>132</v>
      </c>
      <c r="Y48" s="287">
        <v>0.11</v>
      </c>
      <c r="Z48" s="187">
        <v>2.4E-2</v>
      </c>
      <c r="AA48" s="187">
        <v>30</v>
      </c>
      <c r="AB48" s="187">
        <v>1470</v>
      </c>
      <c r="AC48" s="237">
        <f>Y48/Z48</f>
        <v>4.583333333333333</v>
      </c>
      <c r="AD48" s="210">
        <f>Y48*AA48*AB48</f>
        <v>4851</v>
      </c>
      <c r="AE48" s="14"/>
      <c r="AF48" s="14"/>
      <c r="AG48" s="14"/>
      <c r="AL48" s="159" t="s">
        <v>319</v>
      </c>
      <c r="AM48" s="81" t="s">
        <v>320</v>
      </c>
      <c r="AN48" s="81" t="s">
        <v>370</v>
      </c>
      <c r="AO48" s="81">
        <f>Z27*4*N26</f>
        <v>148.79999999999998</v>
      </c>
      <c r="AP48" s="81" t="s">
        <v>322</v>
      </c>
      <c r="AQ48" s="81" t="s">
        <v>371</v>
      </c>
      <c r="AU48" s="168" t="s">
        <v>319</v>
      </c>
      <c r="AV48" s="168" t="s">
        <v>320</v>
      </c>
      <c r="AW48" s="168" t="s">
        <v>370</v>
      </c>
      <c r="AX48" s="169" t="s">
        <v>323</v>
      </c>
      <c r="AY48" s="162">
        <f t="shared" si="38"/>
        <v>148.79999999999998</v>
      </c>
      <c r="AZ48" s="168" t="s">
        <v>322</v>
      </c>
      <c r="BB48" s="81" t="s">
        <v>380</v>
      </c>
      <c r="BI48" s="175" t="s">
        <v>319</v>
      </c>
      <c r="BJ48" s="175" t="s">
        <v>320</v>
      </c>
      <c r="BK48" s="175" t="s">
        <v>370</v>
      </c>
      <c r="BL48" s="175" t="s">
        <v>323</v>
      </c>
      <c r="BM48" s="174">
        <f>BC95</f>
        <v>502</v>
      </c>
      <c r="BN48" s="175" t="s">
        <v>322</v>
      </c>
      <c r="BP48" s="81" t="s">
        <v>381</v>
      </c>
      <c r="BQ48" s="81" t="s">
        <v>382</v>
      </c>
      <c r="BR48" s="81" t="s">
        <v>383</v>
      </c>
      <c r="BS48" s="81" t="s">
        <v>384</v>
      </c>
      <c r="BT48" s="81" t="s">
        <v>385</v>
      </c>
      <c r="BU48" s="81" t="s">
        <v>386</v>
      </c>
      <c r="BX48" s="178" t="s">
        <v>319</v>
      </c>
      <c r="BY48" s="178" t="s">
        <v>320</v>
      </c>
      <c r="BZ48" s="178" t="s">
        <v>366</v>
      </c>
      <c r="CA48" s="178" t="s">
        <v>323</v>
      </c>
      <c r="CB48" s="177">
        <f>BQ31</f>
        <v>4.4299999999999999E-2</v>
      </c>
      <c r="CC48" s="178" t="s">
        <v>322</v>
      </c>
      <c r="CN48" s="81" t="s">
        <v>372</v>
      </c>
      <c r="CO48" s="257">
        <f t="shared" si="0"/>
        <v>74.399999999999991</v>
      </c>
      <c r="CP48" s="257">
        <f t="shared" si="1"/>
        <v>393</v>
      </c>
      <c r="CQ48" s="257">
        <f t="shared" si="2"/>
        <v>3.48E-4</v>
      </c>
      <c r="CT48" s="258" t="s">
        <v>442</v>
      </c>
      <c r="CU48" s="258" t="s">
        <v>411</v>
      </c>
      <c r="CV48" s="259">
        <v>219</v>
      </c>
      <c r="CW48" s="259">
        <v>1.3</v>
      </c>
      <c r="CX48" s="258">
        <v>168.77</v>
      </c>
      <c r="CY48" s="258" t="s">
        <v>422</v>
      </c>
      <c r="CZ48" s="167">
        <v>2E-16</v>
      </c>
      <c r="DA48" s="81" t="s">
        <v>389</v>
      </c>
      <c r="DB48" s="260" t="s">
        <v>467</v>
      </c>
      <c r="DC48" s="266" t="s">
        <v>493</v>
      </c>
      <c r="DD48" s="261" t="s">
        <v>323</v>
      </c>
      <c r="DE48" s="262">
        <f t="shared" si="39"/>
        <v>0.23499999999999999</v>
      </c>
      <c r="DF48" s="260" t="s">
        <v>322</v>
      </c>
    </row>
    <row r="49" spans="2:110" ht="15" customHeight="1" thickTop="1" thickBot="1" x14ac:dyDescent="0.3">
      <c r="B49" s="153"/>
      <c r="K49" s="81"/>
      <c r="L49" s="81"/>
      <c r="M49" s="81"/>
      <c r="P49" s="81"/>
      <c r="Q49" s="81"/>
      <c r="W49" s="189"/>
      <c r="X49" s="189"/>
      <c r="Y49" s="189"/>
      <c r="Z49" s="189"/>
      <c r="AA49" s="189"/>
      <c r="AB49" s="189"/>
      <c r="AC49" s="236"/>
      <c r="AD49" s="189"/>
      <c r="AE49" s="14"/>
      <c r="AF49" s="14"/>
      <c r="AG49" s="14"/>
      <c r="AL49" s="159" t="s">
        <v>319</v>
      </c>
      <c r="AM49" s="81" t="s">
        <v>320</v>
      </c>
      <c r="AN49" s="81" t="s">
        <v>372</v>
      </c>
      <c r="AO49" s="81">
        <f>AO50/2</f>
        <v>74.399999999999991</v>
      </c>
      <c r="AP49" s="81" t="s">
        <v>322</v>
      </c>
      <c r="AQ49" s="81" t="s">
        <v>373</v>
      </c>
      <c r="AU49" s="168" t="s">
        <v>319</v>
      </c>
      <c r="AV49" s="168" t="s">
        <v>320</v>
      </c>
      <c r="AW49" s="168" t="s">
        <v>372</v>
      </c>
      <c r="AX49" s="169" t="s">
        <v>323</v>
      </c>
      <c r="AY49" s="162">
        <f t="shared" si="38"/>
        <v>74.399999999999991</v>
      </c>
      <c r="AZ49" s="168" t="s">
        <v>322</v>
      </c>
      <c r="BB49" s="81" t="s">
        <v>381</v>
      </c>
      <c r="BC49" s="81" t="s">
        <v>382</v>
      </c>
      <c r="BD49" s="81" t="s">
        <v>383</v>
      </c>
      <c r="BE49" s="81" t="s">
        <v>384</v>
      </c>
      <c r="BF49" s="81" t="s">
        <v>385</v>
      </c>
      <c r="BG49" s="81" t="s">
        <v>386</v>
      </c>
      <c r="BI49" s="175" t="s">
        <v>319</v>
      </c>
      <c r="BJ49" s="175" t="s">
        <v>320</v>
      </c>
      <c r="BK49" s="175" t="s">
        <v>372</v>
      </c>
      <c r="BL49" s="175" t="s">
        <v>323</v>
      </c>
      <c r="BM49" s="174">
        <f>BC96</f>
        <v>393</v>
      </c>
      <c r="BN49" s="175" t="s">
        <v>322</v>
      </c>
      <c r="BP49" s="81" t="s">
        <v>387</v>
      </c>
      <c r="BQ49" s="167">
        <v>289</v>
      </c>
      <c r="BR49" s="167">
        <v>0.27</v>
      </c>
      <c r="BS49" s="81">
        <v>1069.93</v>
      </c>
      <c r="BT49" s="81" t="s">
        <v>422</v>
      </c>
      <c r="BU49" s="167">
        <v>2E-16</v>
      </c>
      <c r="BV49" s="81" t="s">
        <v>389</v>
      </c>
      <c r="BX49" s="178" t="s">
        <v>319</v>
      </c>
      <c r="BY49" s="178" t="s">
        <v>320</v>
      </c>
      <c r="BZ49" s="178" t="s">
        <v>368</v>
      </c>
      <c r="CA49" s="178" t="s">
        <v>323</v>
      </c>
      <c r="CB49" s="177">
        <f>BQ68</f>
        <v>7.3200000000000001E-2</v>
      </c>
      <c r="CC49" s="178" t="s">
        <v>322</v>
      </c>
      <c r="CN49" s="81" t="s">
        <v>374</v>
      </c>
      <c r="CO49" s="257">
        <f t="shared" si="0"/>
        <v>148.79999999999998</v>
      </c>
      <c r="CP49" s="257">
        <f t="shared" si="1"/>
        <v>506</v>
      </c>
      <c r="CQ49" s="257">
        <f t="shared" si="2"/>
        <v>221</v>
      </c>
      <c r="CT49" s="258" t="s">
        <v>442</v>
      </c>
      <c r="CU49" s="258" t="s">
        <v>295</v>
      </c>
      <c r="CV49" s="259">
        <v>461</v>
      </c>
      <c r="CW49" s="259">
        <v>2.36</v>
      </c>
      <c r="CX49" s="258">
        <v>194.92</v>
      </c>
      <c r="CY49" s="258" t="s">
        <v>422</v>
      </c>
      <c r="CZ49" s="167">
        <v>2E-16</v>
      </c>
      <c r="DA49" s="81" t="s">
        <v>389</v>
      </c>
      <c r="DB49" s="260" t="s">
        <v>467</v>
      </c>
      <c r="DC49" s="266" t="s">
        <v>494</v>
      </c>
      <c r="DD49" s="261" t="s">
        <v>323</v>
      </c>
      <c r="DE49" s="262">
        <f t="shared" si="39"/>
        <v>0.309</v>
      </c>
      <c r="DF49" s="260" t="s">
        <v>322</v>
      </c>
    </row>
    <row r="50" spans="2:110" ht="15" customHeight="1" thickTop="1" thickBot="1" x14ac:dyDescent="0.3">
      <c r="K50" s="81"/>
      <c r="L50" s="81"/>
      <c r="M50" s="81"/>
      <c r="P50" s="81"/>
      <c r="Q50" s="81"/>
      <c r="W50" s="226"/>
      <c r="X50" s="226"/>
      <c r="Y50" s="245" t="s">
        <v>4</v>
      </c>
      <c r="Z50" s="245">
        <v>4</v>
      </c>
      <c r="AA50" s="245" t="s">
        <v>5</v>
      </c>
      <c r="AB50" s="226"/>
      <c r="AC50" s="226"/>
      <c r="AD50" s="226"/>
      <c r="AE50" s="14"/>
      <c r="AF50" s="14"/>
      <c r="AG50" s="14"/>
      <c r="AL50" s="159" t="s">
        <v>319</v>
      </c>
      <c r="AM50" s="81" t="s">
        <v>320</v>
      </c>
      <c r="AN50" s="81" t="s">
        <v>374</v>
      </c>
      <c r="AO50" s="81">
        <f>AO48</f>
        <v>148.79999999999998</v>
      </c>
      <c r="AP50" s="81" t="s">
        <v>322</v>
      </c>
      <c r="AQ50" s="81" t="s">
        <v>375</v>
      </c>
      <c r="AU50" s="168" t="s">
        <v>319</v>
      </c>
      <c r="AV50" s="168" t="s">
        <v>320</v>
      </c>
      <c r="AW50" s="168" t="s">
        <v>374</v>
      </c>
      <c r="AX50" s="169" t="s">
        <v>323</v>
      </c>
      <c r="AY50" s="162">
        <f t="shared" si="38"/>
        <v>148.79999999999998</v>
      </c>
      <c r="AZ50" s="168" t="s">
        <v>322</v>
      </c>
      <c r="BB50" s="81" t="s">
        <v>387</v>
      </c>
      <c r="BC50" s="167">
        <v>291</v>
      </c>
      <c r="BD50" s="167">
        <v>5.11E-2</v>
      </c>
      <c r="BE50" s="81">
        <v>5694.69</v>
      </c>
      <c r="BF50" s="81" t="s">
        <v>422</v>
      </c>
      <c r="BG50" s="167">
        <v>2E-16</v>
      </c>
      <c r="BH50" s="81" t="s">
        <v>389</v>
      </c>
      <c r="BI50" s="175" t="s">
        <v>319</v>
      </c>
      <c r="BJ50" s="175" t="s">
        <v>320</v>
      </c>
      <c r="BK50" s="175" t="s">
        <v>374</v>
      </c>
      <c r="BL50" s="175" t="s">
        <v>323</v>
      </c>
      <c r="BM50" s="174">
        <f>BC97</f>
        <v>506</v>
      </c>
      <c r="BN50" s="175" t="s">
        <v>322</v>
      </c>
      <c r="BP50" s="81" t="s">
        <v>390</v>
      </c>
      <c r="BQ50" s="167">
        <v>285</v>
      </c>
      <c r="BR50" s="167">
        <v>0.32700000000000001</v>
      </c>
      <c r="BS50" s="81">
        <v>872.45</v>
      </c>
      <c r="BT50" s="81" t="s">
        <v>422</v>
      </c>
      <c r="BU50" s="167">
        <v>2E-16</v>
      </c>
      <c r="BV50" s="81" t="s">
        <v>389</v>
      </c>
      <c r="BX50" s="178" t="s">
        <v>319</v>
      </c>
      <c r="BY50" s="178" t="s">
        <v>320</v>
      </c>
      <c r="BZ50" s="178" t="s">
        <v>370</v>
      </c>
      <c r="CA50" s="178" t="s">
        <v>323</v>
      </c>
      <c r="CB50" s="177">
        <f>BQ94</f>
        <v>198</v>
      </c>
      <c r="CC50" s="178" t="s">
        <v>322</v>
      </c>
      <c r="CT50" s="258" t="s">
        <v>442</v>
      </c>
      <c r="CU50" s="258" t="s">
        <v>120</v>
      </c>
      <c r="CV50" s="259">
        <v>272</v>
      </c>
      <c r="CW50" s="259">
        <v>2.13</v>
      </c>
      <c r="CX50" s="258">
        <v>127.81</v>
      </c>
      <c r="CY50" s="258" t="s">
        <v>422</v>
      </c>
      <c r="CZ50" s="167">
        <v>2E-16</v>
      </c>
      <c r="DA50" s="81" t="s">
        <v>389</v>
      </c>
      <c r="DB50" s="260" t="s">
        <v>467</v>
      </c>
      <c r="DC50" s="266" t="s">
        <v>495</v>
      </c>
      <c r="DD50" s="261" t="s">
        <v>323</v>
      </c>
      <c r="DE50" s="262">
        <f t="shared" si="39"/>
        <v>0.17599999999999999</v>
      </c>
      <c r="DF50" s="260" t="s">
        <v>322</v>
      </c>
    </row>
    <row r="51" spans="2:110" ht="15" customHeight="1" thickTop="1" thickBot="1" x14ac:dyDescent="0.3">
      <c r="K51" s="81"/>
      <c r="L51" s="81"/>
      <c r="M51" s="81"/>
      <c r="P51" s="81"/>
      <c r="Q51" s="81"/>
      <c r="W51" s="246" t="s">
        <v>68</v>
      </c>
      <c r="X51" s="247"/>
      <c r="Y51" s="248" t="s">
        <v>21</v>
      </c>
      <c r="Z51" s="249">
        <v>4</v>
      </c>
      <c r="AA51" s="247" t="s">
        <v>5</v>
      </c>
      <c r="AB51" s="247"/>
      <c r="AC51" s="247" t="s">
        <v>22</v>
      </c>
      <c r="AD51" s="250">
        <f>0.04*550*1660</f>
        <v>36520</v>
      </c>
      <c r="AE51" s="14" t="s">
        <v>23</v>
      </c>
      <c r="AF51" s="14">
        <f>SUM(AD53:AD54)</f>
        <v>181020.00000000003</v>
      </c>
      <c r="AG51" s="14"/>
      <c r="BB51" s="81" t="s">
        <v>390</v>
      </c>
      <c r="BC51" s="167">
        <v>289</v>
      </c>
      <c r="BD51" s="167">
        <v>0.17199999999999999</v>
      </c>
      <c r="BE51" s="81">
        <v>1674.64</v>
      </c>
      <c r="BF51" s="81" t="s">
        <v>422</v>
      </c>
      <c r="BG51" s="167">
        <v>2E-16</v>
      </c>
      <c r="BH51" s="81" t="s">
        <v>389</v>
      </c>
      <c r="BP51" s="81" t="s">
        <v>391</v>
      </c>
      <c r="BQ51" s="167">
        <v>291</v>
      </c>
      <c r="BR51" s="167">
        <v>0.14000000000000001</v>
      </c>
      <c r="BS51" s="81">
        <v>2086.0700000000002</v>
      </c>
      <c r="BT51" s="81" t="s">
        <v>422</v>
      </c>
      <c r="BU51" s="167">
        <v>2E-16</v>
      </c>
      <c r="BV51" s="81" t="s">
        <v>389</v>
      </c>
      <c r="BX51" s="178" t="s">
        <v>319</v>
      </c>
      <c r="BY51" s="178" t="s">
        <v>320</v>
      </c>
      <c r="BZ51" s="178" t="s">
        <v>372</v>
      </c>
      <c r="CA51" s="178" t="s">
        <v>323</v>
      </c>
      <c r="CB51" s="177">
        <f>BQ95</f>
        <v>3.48E-4</v>
      </c>
      <c r="CC51" s="178" t="s">
        <v>322</v>
      </c>
      <c r="CT51" s="258" t="s">
        <v>442</v>
      </c>
      <c r="CU51" s="258" t="s">
        <v>412</v>
      </c>
      <c r="CV51" s="259">
        <v>-5.48</v>
      </c>
      <c r="CW51" s="259">
        <v>2.1600000000000001E-2</v>
      </c>
      <c r="CX51" s="258">
        <v>-253.35</v>
      </c>
      <c r="CY51" s="258" t="s">
        <v>422</v>
      </c>
      <c r="CZ51" s="167">
        <v>2E-16</v>
      </c>
      <c r="DA51" s="81" t="s">
        <v>389</v>
      </c>
      <c r="DB51" s="260" t="s">
        <v>467</v>
      </c>
      <c r="DC51" s="266" t="s">
        <v>496</v>
      </c>
      <c r="DD51" s="261" t="s">
        <v>323</v>
      </c>
      <c r="DE51" s="262">
        <f t="shared" si="39"/>
        <v>0.13</v>
      </c>
      <c r="DF51" s="260" t="s">
        <v>322</v>
      </c>
    </row>
    <row r="52" spans="2:110" thickTop="1" thickBot="1" x14ac:dyDescent="0.3">
      <c r="K52" s="81"/>
      <c r="L52" s="81"/>
      <c r="M52" s="81"/>
      <c r="W52" s="251"/>
      <c r="X52" s="252" t="s">
        <v>16</v>
      </c>
      <c r="Y52" s="252">
        <v>4</v>
      </c>
      <c r="Z52" s="252" t="s">
        <v>5</v>
      </c>
      <c r="AA52" s="252"/>
      <c r="AB52" s="252" t="s">
        <v>313</v>
      </c>
      <c r="AC52" s="252">
        <f>0.11*(1/Z51-1/23-1/8)</f>
        <v>8.9673913043478264E-3</v>
      </c>
      <c r="AD52" s="253"/>
      <c r="AE52" s="14"/>
      <c r="AF52" s="14"/>
      <c r="BB52" s="81" t="s">
        <v>391</v>
      </c>
      <c r="BC52" s="167">
        <v>293</v>
      </c>
      <c r="BD52" s="167">
        <v>2.9399999999999999E-2</v>
      </c>
      <c r="BE52" s="81">
        <v>9948.2000000000007</v>
      </c>
      <c r="BF52" s="81" t="s">
        <v>422</v>
      </c>
      <c r="BG52" s="167">
        <v>2E-16</v>
      </c>
      <c r="BH52" s="81" t="s">
        <v>389</v>
      </c>
      <c r="BP52" s="81" t="s">
        <v>392</v>
      </c>
      <c r="BQ52" s="167">
        <v>293</v>
      </c>
      <c r="BR52" s="167">
        <v>0.214</v>
      </c>
      <c r="BS52" s="81">
        <v>1373.31</v>
      </c>
      <c r="BT52" s="81" t="s">
        <v>422</v>
      </c>
      <c r="BU52" s="167">
        <v>2E-16</v>
      </c>
      <c r="BV52" s="81" t="s">
        <v>389</v>
      </c>
      <c r="BX52" s="178" t="s">
        <v>319</v>
      </c>
      <c r="BY52" s="178" t="s">
        <v>320</v>
      </c>
      <c r="BZ52" s="178" t="s">
        <v>374</v>
      </c>
      <c r="CA52" s="178" t="s">
        <v>323</v>
      </c>
      <c r="CB52" s="177">
        <f>BQ96</f>
        <v>221</v>
      </c>
      <c r="CC52" s="178" t="s">
        <v>322</v>
      </c>
      <c r="CT52" s="258" t="s">
        <v>442</v>
      </c>
      <c r="CU52" s="258" t="s">
        <v>413</v>
      </c>
      <c r="CV52" s="259">
        <v>-6.05</v>
      </c>
      <c r="CW52" s="259">
        <v>2.3199999999999998E-2</v>
      </c>
      <c r="CX52" s="258">
        <v>-261.05</v>
      </c>
      <c r="CY52" s="258" t="s">
        <v>422</v>
      </c>
      <c r="CZ52" s="167">
        <v>2E-16</v>
      </c>
      <c r="DA52" s="81" t="s">
        <v>389</v>
      </c>
      <c r="DB52" s="260" t="s">
        <v>467</v>
      </c>
      <c r="DC52" s="266" t="s">
        <v>497</v>
      </c>
      <c r="DD52" s="261" t="s">
        <v>323</v>
      </c>
      <c r="DE52" s="262">
        <f t="shared" si="39"/>
        <v>0.253</v>
      </c>
      <c r="DF52" s="260" t="s">
        <v>322</v>
      </c>
    </row>
    <row r="53" spans="2:110" thickTop="1" thickBot="1" x14ac:dyDescent="0.3">
      <c r="K53" s="81"/>
      <c r="L53" s="81"/>
      <c r="M53" s="81"/>
      <c r="W53" s="269" t="s">
        <v>512</v>
      </c>
      <c r="X53" s="270"/>
      <c r="Y53" s="271" t="s">
        <v>21</v>
      </c>
      <c r="Z53" s="272">
        <f>(1/(1/8+SUM(AC55:AC57)+1/8))</f>
        <v>1.8430034129692836</v>
      </c>
      <c r="AA53" s="270" t="s">
        <v>5</v>
      </c>
      <c r="AB53" s="270"/>
      <c r="AC53" s="270" t="s">
        <v>22</v>
      </c>
      <c r="AD53" s="273">
        <f>SUM(AD55:AD59)</f>
        <v>181020.00000000003</v>
      </c>
      <c r="AE53" s="274" t="s">
        <v>23</v>
      </c>
      <c r="AF53" s="274">
        <f>SUM(AD55:AD57)</f>
        <v>181020.00000000003</v>
      </c>
      <c r="BB53" s="81" t="s">
        <v>392</v>
      </c>
      <c r="BC53" s="167">
        <v>294</v>
      </c>
      <c r="BD53" s="167">
        <v>4.8099999999999997E-2</v>
      </c>
      <c r="BE53" s="81">
        <v>6117.24</v>
      </c>
      <c r="BF53" s="81" t="s">
        <v>422</v>
      </c>
      <c r="BG53" s="167">
        <v>2E-16</v>
      </c>
      <c r="BH53" s="81" t="s">
        <v>389</v>
      </c>
      <c r="BP53" s="81" t="s">
        <v>394</v>
      </c>
      <c r="BQ53" s="167">
        <v>0.46800000000000003</v>
      </c>
      <c r="BR53" s="167">
        <v>1.24E-2</v>
      </c>
      <c r="BS53" s="81">
        <v>37.76</v>
      </c>
      <c r="BT53" s="81" t="s">
        <v>422</v>
      </c>
      <c r="BU53" s="167">
        <v>2E-16</v>
      </c>
      <c r="BV53" s="81" t="s">
        <v>389</v>
      </c>
      <c r="CT53" s="258" t="s">
        <v>442</v>
      </c>
      <c r="CU53" s="258" t="s">
        <v>414</v>
      </c>
      <c r="CV53" s="259">
        <v>-7.01</v>
      </c>
      <c r="CW53" s="259">
        <v>3.3599999999999998E-2</v>
      </c>
      <c r="CX53" s="258">
        <v>-208.86</v>
      </c>
      <c r="CY53" s="258" t="s">
        <v>422</v>
      </c>
      <c r="CZ53" s="167">
        <v>2E-16</v>
      </c>
      <c r="DA53" s="81" t="s">
        <v>389</v>
      </c>
      <c r="DB53" s="260" t="s">
        <v>467</v>
      </c>
      <c r="DC53" s="266" t="s">
        <v>498</v>
      </c>
      <c r="DD53" s="261" t="s">
        <v>323</v>
      </c>
      <c r="DE53" s="262">
        <f t="shared" si="39"/>
        <v>4.2300000000000004E-12</v>
      </c>
      <c r="DF53" s="260" t="s">
        <v>322</v>
      </c>
    </row>
    <row r="54" spans="2:110" thickTop="1" thickBot="1" x14ac:dyDescent="0.3">
      <c r="K54" s="81"/>
      <c r="L54" s="81"/>
      <c r="M54" s="81"/>
      <c r="W54" s="275"/>
      <c r="X54" s="234" t="s">
        <v>27</v>
      </c>
      <c r="Y54" s="234" t="s">
        <v>28</v>
      </c>
      <c r="Z54" s="234" t="s">
        <v>29</v>
      </c>
      <c r="AA54" s="234" t="s">
        <v>30</v>
      </c>
      <c r="AB54" s="234" t="s">
        <v>31</v>
      </c>
      <c r="AC54" s="234" t="s">
        <v>32</v>
      </c>
      <c r="AD54" s="276" t="s">
        <v>33</v>
      </c>
      <c r="AE54" s="274"/>
      <c r="AF54" s="274"/>
      <c r="AN54" s="170" t="s">
        <v>376</v>
      </c>
      <c r="AO54" s="170">
        <f>SUM(AO42,AO4:AO7)</f>
        <v>1</v>
      </c>
      <c r="AP54" s="170"/>
      <c r="BB54" s="81" t="s">
        <v>394</v>
      </c>
      <c r="BC54" s="167">
        <v>0.44900000000000001</v>
      </c>
      <c r="BD54" s="167">
        <v>1.77E-2</v>
      </c>
      <c r="BE54" s="81">
        <v>25.4</v>
      </c>
      <c r="BF54" s="81" t="s">
        <v>422</v>
      </c>
      <c r="BG54" s="167">
        <v>2E-16</v>
      </c>
      <c r="BH54" s="81" t="s">
        <v>389</v>
      </c>
      <c r="BP54" s="81" t="s">
        <v>395</v>
      </c>
      <c r="BQ54" s="167">
        <v>0.14099999999999999</v>
      </c>
      <c r="BR54" s="167">
        <v>2.1800000000000001E-3</v>
      </c>
      <c r="BS54" s="81">
        <v>64.91</v>
      </c>
      <c r="BT54" s="81" t="s">
        <v>422</v>
      </c>
      <c r="BU54" s="167">
        <v>2E-16</v>
      </c>
      <c r="BV54" s="81" t="s">
        <v>389</v>
      </c>
      <c r="CT54" s="258" t="s">
        <v>442</v>
      </c>
      <c r="CU54" s="258" t="s">
        <v>415</v>
      </c>
      <c r="CV54" s="259">
        <v>-6.2</v>
      </c>
      <c r="CW54" s="259">
        <v>2.3300000000000001E-2</v>
      </c>
      <c r="CX54" s="258">
        <v>-266.51</v>
      </c>
      <c r="CY54" s="258" t="s">
        <v>422</v>
      </c>
      <c r="CZ54" s="167">
        <v>2E-16</v>
      </c>
      <c r="DA54" s="81" t="s">
        <v>389</v>
      </c>
      <c r="DB54" s="260" t="s">
        <v>467</v>
      </c>
      <c r="DC54" s="266" t="s">
        <v>499</v>
      </c>
      <c r="DD54" s="261" t="s">
        <v>323</v>
      </c>
      <c r="DE54" s="262">
        <f t="shared" si="39"/>
        <v>2.4899999999999999E-2</v>
      </c>
      <c r="DF54" s="260" t="s">
        <v>322</v>
      </c>
    </row>
    <row r="55" spans="2:110" thickTop="1" thickBot="1" x14ac:dyDescent="0.3">
      <c r="K55" s="81"/>
      <c r="L55" s="81"/>
      <c r="M55" s="81"/>
      <c r="W55" s="277"/>
      <c r="X55" s="189" t="s">
        <v>90</v>
      </c>
      <c r="Y55" s="189">
        <v>0.02</v>
      </c>
      <c r="Z55" s="189">
        <v>0.6</v>
      </c>
      <c r="AA55" s="189">
        <v>975</v>
      </c>
      <c r="AB55" s="189">
        <v>840</v>
      </c>
      <c r="AC55" s="236">
        <f>Y55/Z55</f>
        <v>3.3333333333333333E-2</v>
      </c>
      <c r="AD55" s="278">
        <f>Y55*AA55*AB55</f>
        <v>16380</v>
      </c>
      <c r="AE55" s="274"/>
      <c r="AF55" s="274"/>
      <c r="AN55" s="170" t="s">
        <v>376</v>
      </c>
      <c r="AO55" s="170">
        <f>SUM(AO43,AO26:AO28)</f>
        <v>1</v>
      </c>
      <c r="AP55" s="170"/>
      <c r="BB55" s="81" t="s">
        <v>395</v>
      </c>
      <c r="BC55" s="167">
        <v>0.111</v>
      </c>
      <c r="BD55" s="167">
        <v>1.1199999999999999E-3</v>
      </c>
      <c r="BE55" s="81">
        <v>99.15</v>
      </c>
      <c r="BF55" s="81" t="s">
        <v>422</v>
      </c>
      <c r="BG55" s="167">
        <v>2E-16</v>
      </c>
      <c r="BH55" s="81" t="s">
        <v>389</v>
      </c>
      <c r="BP55" s="81" t="s">
        <v>396</v>
      </c>
      <c r="BQ55" s="167">
        <v>0.108</v>
      </c>
      <c r="BR55" s="167">
        <v>2.07E-2</v>
      </c>
      <c r="BS55" s="81">
        <v>5.23</v>
      </c>
      <c r="BT55" s="167">
        <v>1.8E-7</v>
      </c>
      <c r="BU55" s="81" t="s">
        <v>389</v>
      </c>
      <c r="CT55" s="258" t="s">
        <v>442</v>
      </c>
      <c r="CU55" s="258" t="s">
        <v>416</v>
      </c>
      <c r="CV55" s="259">
        <v>-6.69</v>
      </c>
      <c r="CW55" s="259">
        <v>2.6800000000000001E-2</v>
      </c>
      <c r="CX55" s="258">
        <v>-249.6</v>
      </c>
      <c r="CY55" s="258" t="s">
        <v>422</v>
      </c>
      <c r="CZ55" s="167">
        <v>2E-16</v>
      </c>
      <c r="DA55" s="81" t="s">
        <v>389</v>
      </c>
      <c r="DB55" s="260" t="s">
        <v>467</v>
      </c>
      <c r="DC55" s="266" t="s">
        <v>500</v>
      </c>
      <c r="DD55" s="261" t="s">
        <v>323</v>
      </c>
      <c r="DE55" s="262">
        <f t="shared" si="39"/>
        <v>0.114</v>
      </c>
      <c r="DF55" s="260" t="s">
        <v>322</v>
      </c>
    </row>
    <row r="56" spans="2:110" thickTop="1" thickBot="1" x14ac:dyDescent="0.3">
      <c r="W56" s="277"/>
      <c r="X56" s="189" t="s">
        <v>93</v>
      </c>
      <c r="Y56" s="189">
        <v>0.14000000000000001</v>
      </c>
      <c r="Z56" s="189">
        <v>0.54</v>
      </c>
      <c r="AA56" s="189">
        <v>1400</v>
      </c>
      <c r="AB56" s="189">
        <v>840</v>
      </c>
      <c r="AC56" s="236">
        <f>Y56/Z56</f>
        <v>0.25925925925925924</v>
      </c>
      <c r="AD56" s="278">
        <f>Y56*AA56*AB56</f>
        <v>164640.00000000003</v>
      </c>
      <c r="AE56" s="274"/>
      <c r="AF56" s="274"/>
      <c r="AN56" s="170" t="s">
        <v>377</v>
      </c>
      <c r="AO56" s="170">
        <f>SUM(AO46,AO14:AO17)</f>
        <v>1</v>
      </c>
      <c r="AP56" s="170"/>
      <c r="BB56" s="81" t="s">
        <v>396</v>
      </c>
      <c r="BC56" s="167">
        <v>0.255</v>
      </c>
      <c r="BD56" s="167">
        <v>1.8100000000000002E-2</v>
      </c>
      <c r="BE56" s="81">
        <v>14.05</v>
      </c>
      <c r="BF56" s="81" t="s">
        <v>422</v>
      </c>
      <c r="BG56" s="167">
        <v>2E-16</v>
      </c>
      <c r="BH56" s="81" t="s">
        <v>389</v>
      </c>
      <c r="BP56" s="81" t="s">
        <v>397</v>
      </c>
      <c r="BQ56" s="167">
        <v>0.28299999999999997</v>
      </c>
      <c r="BR56" s="167">
        <v>6.1999999999999998E-3</v>
      </c>
      <c r="BS56" s="81">
        <v>45.61</v>
      </c>
      <c r="BT56" s="81" t="s">
        <v>422</v>
      </c>
      <c r="BU56" s="167">
        <v>2E-16</v>
      </c>
      <c r="BV56" s="81" t="s">
        <v>389</v>
      </c>
      <c r="CT56" s="258" t="s">
        <v>442</v>
      </c>
      <c r="CU56" s="258" t="s">
        <v>417</v>
      </c>
      <c r="CV56" s="259">
        <v>3.0799999999999998E-3</v>
      </c>
      <c r="CW56" s="259">
        <v>5.7800000000000002E-5</v>
      </c>
      <c r="CX56" s="258">
        <v>53.37</v>
      </c>
      <c r="CY56" s="258" t="s">
        <v>422</v>
      </c>
      <c r="CZ56" s="167">
        <v>2E-16</v>
      </c>
      <c r="DA56" s="81" t="s">
        <v>389</v>
      </c>
      <c r="DB56" s="260" t="s">
        <v>467</v>
      </c>
      <c r="DC56" s="266" t="s">
        <v>501</v>
      </c>
      <c r="DD56" s="261" t="s">
        <v>323</v>
      </c>
      <c r="DE56" s="262">
        <f t="shared" si="39"/>
        <v>0.52500000000000002</v>
      </c>
      <c r="DF56" s="260" t="s">
        <v>322</v>
      </c>
    </row>
    <row r="57" spans="2:110" thickTop="1" thickBot="1" x14ac:dyDescent="0.3">
      <c r="W57" s="279"/>
      <c r="X57" s="280" t="s">
        <v>273</v>
      </c>
      <c r="Y57" s="281">
        <v>0</v>
      </c>
      <c r="Z57" s="281">
        <v>3.5999999999999997E-2</v>
      </c>
      <c r="AA57" s="281">
        <v>26</v>
      </c>
      <c r="AB57" s="281">
        <v>1470</v>
      </c>
      <c r="AC57" s="282">
        <f>Y57/Z57</f>
        <v>0</v>
      </c>
      <c r="AD57" s="283">
        <f>Y57*AA57*AB57</f>
        <v>0</v>
      </c>
      <c r="AE57" s="274"/>
      <c r="AF57" s="274"/>
      <c r="AN57" s="170" t="s">
        <v>377</v>
      </c>
      <c r="AO57" s="170">
        <f>SUM(AO47,AO33:AO35)</f>
        <v>1</v>
      </c>
      <c r="AP57" s="170"/>
      <c r="BB57" s="81" t="s">
        <v>397</v>
      </c>
      <c r="BC57" s="167">
        <v>0.19800000000000001</v>
      </c>
      <c r="BD57" s="167">
        <v>3.8500000000000001E-3</v>
      </c>
      <c r="BE57" s="81">
        <v>51.44</v>
      </c>
      <c r="BF57" s="81" t="s">
        <v>422</v>
      </c>
      <c r="BG57" s="167">
        <v>2E-16</v>
      </c>
      <c r="BH57" s="81" t="s">
        <v>389</v>
      </c>
      <c r="BP57" s="81" t="s">
        <v>308</v>
      </c>
      <c r="BQ57" s="167">
        <v>990000000</v>
      </c>
      <c r="BR57" s="167">
        <v>65000000</v>
      </c>
      <c r="BS57" s="81">
        <v>15.24</v>
      </c>
      <c r="BT57" s="81" t="s">
        <v>422</v>
      </c>
      <c r="BU57" s="167">
        <v>2E-16</v>
      </c>
      <c r="BV57" s="81" t="s">
        <v>389</v>
      </c>
      <c r="CT57" s="258" t="s">
        <v>442</v>
      </c>
      <c r="CU57" s="258" t="s">
        <v>418</v>
      </c>
      <c r="CV57" s="259">
        <v>116</v>
      </c>
      <c r="CW57" s="259">
        <v>0.83099999999999996</v>
      </c>
      <c r="CX57" s="258">
        <v>139.01</v>
      </c>
      <c r="CY57" s="258" t="s">
        <v>422</v>
      </c>
      <c r="CZ57" s="167">
        <v>2E-16</v>
      </c>
      <c r="DA57" s="81" t="s">
        <v>389</v>
      </c>
      <c r="DB57" s="260" t="s">
        <v>467</v>
      </c>
      <c r="DC57" s="266" t="s">
        <v>502</v>
      </c>
      <c r="DD57" s="261" t="s">
        <v>323</v>
      </c>
      <c r="DE57" s="262">
        <f t="shared" si="39"/>
        <v>1</v>
      </c>
      <c r="DF57" s="260" t="s">
        <v>322</v>
      </c>
    </row>
    <row r="58" spans="2:110" thickTop="1" thickBot="1" x14ac:dyDescent="0.3">
      <c r="BB58" s="81" t="s">
        <v>308</v>
      </c>
      <c r="BC58" s="167">
        <v>29000000</v>
      </c>
      <c r="BD58" s="167">
        <v>522000</v>
      </c>
      <c r="BE58" s="81">
        <v>55.58</v>
      </c>
      <c r="BF58" s="81" t="s">
        <v>422</v>
      </c>
      <c r="BG58" s="167">
        <v>2E-16</v>
      </c>
      <c r="BH58" s="81" t="s">
        <v>389</v>
      </c>
      <c r="BP58" s="81" t="s">
        <v>399</v>
      </c>
      <c r="BQ58" s="167">
        <v>752000</v>
      </c>
      <c r="BR58" s="167">
        <v>20000</v>
      </c>
      <c r="BS58" s="81">
        <v>37.6</v>
      </c>
      <c r="BT58" s="81" t="s">
        <v>422</v>
      </c>
      <c r="BU58" s="167">
        <v>2E-16</v>
      </c>
      <c r="BV58" s="81" t="s">
        <v>389</v>
      </c>
      <c r="CT58" s="258" t="s">
        <v>442</v>
      </c>
      <c r="CU58" s="258" t="s">
        <v>419</v>
      </c>
      <c r="CV58" s="259">
        <v>5410</v>
      </c>
      <c r="CW58" s="259">
        <v>722</v>
      </c>
      <c r="CX58" s="258">
        <v>7.5</v>
      </c>
      <c r="CY58" s="259">
        <v>7.4999999999999996E-14</v>
      </c>
      <c r="CZ58" s="81" t="s">
        <v>389</v>
      </c>
      <c r="DB58" s="260" t="s">
        <v>467</v>
      </c>
      <c r="DC58" s="266" t="s">
        <v>503</v>
      </c>
      <c r="DD58" s="261" t="s">
        <v>323</v>
      </c>
      <c r="DE58" s="262">
        <f t="shared" si="39"/>
        <v>0.309</v>
      </c>
      <c r="DF58" s="260" t="s">
        <v>322</v>
      </c>
    </row>
    <row r="59" spans="2:110" thickTop="1" thickBot="1" x14ac:dyDescent="0.3">
      <c r="BB59" s="81" t="s">
        <v>399</v>
      </c>
      <c r="BC59" s="167">
        <v>858000</v>
      </c>
      <c r="BD59" s="167">
        <v>4620</v>
      </c>
      <c r="BE59" s="81">
        <v>185.74</v>
      </c>
      <c r="BF59" s="81" t="s">
        <v>422</v>
      </c>
      <c r="BG59" s="167">
        <v>2E-16</v>
      </c>
      <c r="BH59" s="81" t="s">
        <v>389</v>
      </c>
      <c r="BP59" s="81" t="s">
        <v>301</v>
      </c>
      <c r="BQ59" s="167">
        <v>8650000</v>
      </c>
      <c r="BR59" s="167">
        <v>780000</v>
      </c>
      <c r="BS59" s="81">
        <v>11.09</v>
      </c>
      <c r="BT59" s="81" t="s">
        <v>422</v>
      </c>
      <c r="BU59" s="167">
        <v>2E-16</v>
      </c>
      <c r="BV59" s="81" t="s">
        <v>389</v>
      </c>
      <c r="CT59" s="258" t="s">
        <v>442</v>
      </c>
      <c r="CU59" s="258" t="s">
        <v>420</v>
      </c>
      <c r="CV59" s="259">
        <v>76.2</v>
      </c>
      <c r="CW59" s="259">
        <v>1.42</v>
      </c>
      <c r="CX59" s="258">
        <v>53.52</v>
      </c>
      <c r="CY59" s="258" t="s">
        <v>422</v>
      </c>
      <c r="CZ59" s="167">
        <v>2E-16</v>
      </c>
      <c r="DA59" s="81" t="s">
        <v>389</v>
      </c>
      <c r="DB59" s="260" t="s">
        <v>467</v>
      </c>
      <c r="DC59" s="266" t="s">
        <v>504</v>
      </c>
      <c r="DD59" s="261" t="s">
        <v>323</v>
      </c>
      <c r="DE59" s="262">
        <f t="shared" si="39"/>
        <v>0.25900000000000001</v>
      </c>
      <c r="DF59" s="260" t="s">
        <v>322</v>
      </c>
    </row>
    <row r="60" spans="2:110" thickTop="1" thickBot="1" x14ac:dyDescent="0.3">
      <c r="BB60" s="81" t="s">
        <v>301</v>
      </c>
      <c r="BC60" s="167">
        <v>2990000</v>
      </c>
      <c r="BD60" s="167">
        <v>49000</v>
      </c>
      <c r="BE60" s="81">
        <v>61.12</v>
      </c>
      <c r="BF60" s="81" t="s">
        <v>422</v>
      </c>
      <c r="BG60" s="167">
        <v>2E-16</v>
      </c>
      <c r="BH60" s="81" t="s">
        <v>389</v>
      </c>
      <c r="BP60" s="81" t="s">
        <v>303</v>
      </c>
      <c r="BQ60" s="167">
        <v>17100000</v>
      </c>
      <c r="BR60" s="167">
        <v>4790000</v>
      </c>
      <c r="BS60" s="81">
        <v>3.56</v>
      </c>
      <c r="BT60" s="81">
        <v>3.6999999999999999E-4</v>
      </c>
      <c r="BU60" s="81" t="s">
        <v>389</v>
      </c>
      <c r="DC60" s="266"/>
      <c r="DD60" s="261"/>
      <c r="DE60" s="262"/>
    </row>
    <row r="61" spans="2:110" thickTop="1" thickBot="1" x14ac:dyDescent="0.3">
      <c r="BB61" s="81" t="s">
        <v>303</v>
      </c>
      <c r="BC61" s="167">
        <v>5280000</v>
      </c>
      <c r="BD61" s="167">
        <v>21200</v>
      </c>
      <c r="BE61" s="81">
        <v>249</v>
      </c>
      <c r="BF61" s="81" t="s">
        <v>422</v>
      </c>
      <c r="BG61" s="167">
        <v>2E-16</v>
      </c>
      <c r="BH61" s="81" t="s">
        <v>389</v>
      </c>
      <c r="BP61" s="81" t="s">
        <v>400</v>
      </c>
      <c r="BQ61" s="167">
        <v>-20.100000000000001</v>
      </c>
      <c r="BR61" s="167">
        <v>467</v>
      </c>
      <c r="BS61" s="81">
        <v>-0.04</v>
      </c>
      <c r="BT61" s="81">
        <v>0.96562999999999999</v>
      </c>
      <c r="CT61" s="258" t="s">
        <v>442</v>
      </c>
      <c r="CU61" s="258" t="s">
        <v>433</v>
      </c>
      <c r="CV61" s="258" t="s">
        <v>460</v>
      </c>
      <c r="DB61" s="260" t="s">
        <v>467</v>
      </c>
      <c r="DC61" s="266" t="s">
        <v>344</v>
      </c>
      <c r="DD61" s="261" t="s">
        <v>323</v>
      </c>
      <c r="DE61" s="262">
        <f>CV85</f>
        <v>766000</v>
      </c>
      <c r="DF61" s="260" t="s">
        <v>322</v>
      </c>
    </row>
    <row r="62" spans="2:110" thickTop="1" thickBot="1" x14ac:dyDescent="0.3">
      <c r="BB62" s="81" t="s">
        <v>400</v>
      </c>
      <c r="BC62" s="167">
        <v>-24.7</v>
      </c>
      <c r="BD62" s="167">
        <v>0.50900000000000001</v>
      </c>
      <c r="BE62" s="81">
        <v>-48.59</v>
      </c>
      <c r="BF62" s="81" t="s">
        <v>422</v>
      </c>
      <c r="BG62" s="167">
        <v>2E-16</v>
      </c>
      <c r="BH62" s="81" t="s">
        <v>389</v>
      </c>
      <c r="BP62" s="81" t="s">
        <v>401</v>
      </c>
      <c r="BQ62" s="167">
        <v>-13.2</v>
      </c>
      <c r="BR62" s="167">
        <v>543</v>
      </c>
      <c r="BS62" s="81">
        <v>-0.02</v>
      </c>
      <c r="BT62" s="81">
        <v>0.98057000000000005</v>
      </c>
      <c r="CT62" s="258" t="s">
        <v>442</v>
      </c>
      <c r="CU62" s="258" t="s">
        <v>380</v>
      </c>
      <c r="DB62" s="260" t="s">
        <v>467</v>
      </c>
      <c r="DC62" s="266" t="s">
        <v>345</v>
      </c>
      <c r="DD62" s="261" t="s">
        <v>323</v>
      </c>
      <c r="DE62" s="262">
        <f t="shared" ref="DE62:DE63" si="40">CV86</f>
        <v>8780000</v>
      </c>
      <c r="DF62" s="260" t="s">
        <v>322</v>
      </c>
    </row>
    <row r="63" spans="2:110" thickTop="1" thickBot="1" x14ac:dyDescent="0.3">
      <c r="BB63" s="81" t="s">
        <v>401</v>
      </c>
      <c r="BC63" s="167">
        <v>-11.8</v>
      </c>
      <c r="BD63" s="167">
        <v>10.6</v>
      </c>
      <c r="BE63" s="81">
        <v>-1.1200000000000001</v>
      </c>
      <c r="BF63" s="81">
        <v>0.26</v>
      </c>
      <c r="BP63" s="81" t="s">
        <v>402</v>
      </c>
      <c r="BQ63" s="167">
        <v>-13.4</v>
      </c>
      <c r="BR63" s="167">
        <v>316</v>
      </c>
      <c r="BS63" s="81">
        <v>-0.04</v>
      </c>
      <c r="BT63" s="81">
        <v>0.96606999999999998</v>
      </c>
      <c r="CT63" s="258" t="s">
        <v>442</v>
      </c>
      <c r="CU63" s="258" t="s">
        <v>381</v>
      </c>
      <c r="CV63" s="258" t="s">
        <v>382</v>
      </c>
      <c r="CW63" s="258" t="s">
        <v>383</v>
      </c>
      <c r="CX63" s="258" t="s">
        <v>384</v>
      </c>
      <c r="CY63" s="258" t="s">
        <v>385</v>
      </c>
      <c r="CZ63" s="81" t="s">
        <v>386</v>
      </c>
      <c r="DB63" s="260" t="s">
        <v>467</v>
      </c>
      <c r="DC63" s="266" t="s">
        <v>346</v>
      </c>
      <c r="DD63" s="261" t="s">
        <v>323</v>
      </c>
      <c r="DE63" s="262">
        <f t="shared" si="40"/>
        <v>15100000</v>
      </c>
      <c r="DF63" s="260" t="s">
        <v>322</v>
      </c>
    </row>
    <row r="64" spans="2:110" thickTop="1" thickBot="1" x14ac:dyDescent="0.3">
      <c r="BB64" s="81" t="s">
        <v>402</v>
      </c>
      <c r="BC64" s="167">
        <v>-18.3</v>
      </c>
      <c r="BD64" s="167">
        <v>2.2400000000000002</v>
      </c>
      <c r="BE64" s="81">
        <v>-8.19</v>
      </c>
      <c r="BF64" s="167">
        <v>4.4E-16</v>
      </c>
      <c r="BG64" s="81" t="s">
        <v>389</v>
      </c>
      <c r="BP64" s="81" t="s">
        <v>403</v>
      </c>
      <c r="BQ64" s="167">
        <v>-14.3</v>
      </c>
      <c r="BR64" s="167">
        <v>664</v>
      </c>
      <c r="BS64" s="81">
        <v>-0.02</v>
      </c>
      <c r="BT64" s="81">
        <v>0.98280999999999996</v>
      </c>
      <c r="CT64" s="258" t="s">
        <v>442</v>
      </c>
      <c r="CU64" s="258" t="s">
        <v>387</v>
      </c>
      <c r="CV64" s="259">
        <v>289</v>
      </c>
      <c r="CW64" s="259">
        <v>0.28199999999999997</v>
      </c>
      <c r="CX64" s="258">
        <v>1026.26</v>
      </c>
      <c r="CY64" s="258" t="s">
        <v>422</v>
      </c>
      <c r="CZ64" s="167">
        <v>2E-16</v>
      </c>
      <c r="DA64" s="81" t="s">
        <v>389</v>
      </c>
      <c r="DD64" s="261"/>
    </row>
    <row r="65" spans="54:110" thickTop="1" thickBot="1" x14ac:dyDescent="0.3">
      <c r="BB65" s="81" t="s">
        <v>403</v>
      </c>
      <c r="BC65" s="167">
        <v>-16.100000000000001</v>
      </c>
      <c r="BD65" s="167">
        <v>1.95</v>
      </c>
      <c r="BE65" s="81">
        <v>-8.25</v>
      </c>
      <c r="BF65" s="167">
        <v>2.2E-16</v>
      </c>
      <c r="BG65" s="81" t="s">
        <v>389</v>
      </c>
      <c r="BP65" s="81" t="s">
        <v>405</v>
      </c>
      <c r="BQ65" s="167">
        <v>0.23</v>
      </c>
      <c r="BR65" s="167">
        <v>2.3800000000000002E-3</v>
      </c>
      <c r="BS65" s="81">
        <v>96.68</v>
      </c>
      <c r="BT65" s="81" t="s">
        <v>422</v>
      </c>
      <c r="BU65" s="167">
        <v>2E-16</v>
      </c>
      <c r="BV65" s="81" t="s">
        <v>389</v>
      </c>
      <c r="CT65" s="258" t="s">
        <v>442</v>
      </c>
      <c r="CU65" s="258" t="s">
        <v>390</v>
      </c>
      <c r="CV65" s="259">
        <v>285</v>
      </c>
      <c r="CW65" s="259">
        <v>0.33100000000000002</v>
      </c>
      <c r="CX65" s="258">
        <v>860.44</v>
      </c>
      <c r="CY65" s="258" t="s">
        <v>422</v>
      </c>
      <c r="CZ65" s="167">
        <v>2E-16</v>
      </c>
      <c r="DA65" s="81" t="s">
        <v>389</v>
      </c>
      <c r="DB65" s="260" t="s">
        <v>467</v>
      </c>
      <c r="DC65" s="266" t="s">
        <v>347</v>
      </c>
      <c r="DD65" s="261" t="s">
        <v>323</v>
      </c>
      <c r="DE65" s="262">
        <f>CV92</f>
        <v>0.23100000000000001</v>
      </c>
      <c r="DF65" s="260" t="s">
        <v>322</v>
      </c>
    </row>
    <row r="66" spans="54:110" thickTop="1" thickBot="1" x14ac:dyDescent="0.3">
      <c r="BB66" s="81" t="s">
        <v>405</v>
      </c>
      <c r="BC66" s="167">
        <v>0.38</v>
      </c>
      <c r="BD66" s="167">
        <v>5.0499999999999998E-3</v>
      </c>
      <c r="BE66" s="81">
        <v>75.36</v>
      </c>
      <c r="BF66" s="81" t="s">
        <v>422</v>
      </c>
      <c r="BG66" s="167">
        <v>2E-16</v>
      </c>
      <c r="BH66" s="81" t="s">
        <v>389</v>
      </c>
      <c r="BP66" s="81" t="s">
        <v>406</v>
      </c>
      <c r="BQ66" s="167">
        <v>4.8599999999999997E-2</v>
      </c>
      <c r="BR66" s="167">
        <v>4.2499999999999998E-4</v>
      </c>
      <c r="BS66" s="81">
        <v>114.51</v>
      </c>
      <c r="BT66" s="81" t="s">
        <v>422</v>
      </c>
      <c r="BU66" s="167">
        <v>2E-16</v>
      </c>
      <c r="BV66" s="81" t="s">
        <v>389</v>
      </c>
      <c r="CT66" s="258" t="s">
        <v>442</v>
      </c>
      <c r="CU66" s="258" t="s">
        <v>391</v>
      </c>
      <c r="CV66" s="259">
        <v>291</v>
      </c>
      <c r="CW66" s="259">
        <v>0.13600000000000001</v>
      </c>
      <c r="CX66" s="258">
        <v>2140.7800000000002</v>
      </c>
      <c r="CY66" s="258" t="s">
        <v>422</v>
      </c>
      <c r="CZ66" s="167">
        <v>2E-16</v>
      </c>
      <c r="DA66" s="81" t="s">
        <v>389</v>
      </c>
      <c r="DB66" s="260" t="s">
        <v>467</v>
      </c>
      <c r="DC66" s="266" t="s">
        <v>348</v>
      </c>
      <c r="DD66" s="261" t="s">
        <v>323</v>
      </c>
      <c r="DE66" s="262">
        <f t="shared" ref="DE66:DE68" si="41">CV93</f>
        <v>4.8500000000000001E-2</v>
      </c>
      <c r="DF66" s="260" t="s">
        <v>322</v>
      </c>
    </row>
    <row r="67" spans="54:110" thickTop="1" thickBot="1" x14ac:dyDescent="0.3">
      <c r="BB67" s="81" t="s">
        <v>406</v>
      </c>
      <c r="BC67" s="167">
        <v>7.2800000000000004E-2</v>
      </c>
      <c r="BD67" s="167">
        <v>4.1599999999999997E-4</v>
      </c>
      <c r="BE67" s="81">
        <v>175.16</v>
      </c>
      <c r="BF67" s="81" t="s">
        <v>422</v>
      </c>
      <c r="BG67" s="167">
        <v>2E-16</v>
      </c>
      <c r="BH67" s="81" t="s">
        <v>389</v>
      </c>
      <c r="BP67" s="81" t="s">
        <v>407</v>
      </c>
      <c r="BQ67" s="167">
        <v>0.63200000000000001</v>
      </c>
      <c r="BR67" s="167">
        <v>1.03E-2</v>
      </c>
      <c r="BS67" s="81">
        <v>61.45</v>
      </c>
      <c r="BT67" s="81" t="s">
        <v>422</v>
      </c>
      <c r="BU67" s="167">
        <v>2E-16</v>
      </c>
      <c r="BV67" s="81" t="s">
        <v>389</v>
      </c>
      <c r="CT67" s="258" t="s">
        <v>442</v>
      </c>
      <c r="CU67" s="258" t="s">
        <v>392</v>
      </c>
      <c r="CV67" s="259">
        <v>293</v>
      </c>
      <c r="CW67" s="259">
        <v>0.21199999999999999</v>
      </c>
      <c r="CX67" s="258">
        <v>1381.05</v>
      </c>
      <c r="CY67" s="258" t="s">
        <v>422</v>
      </c>
      <c r="CZ67" s="167">
        <v>2E-16</v>
      </c>
      <c r="DA67" s="81" t="s">
        <v>389</v>
      </c>
      <c r="DB67" s="260" t="s">
        <v>467</v>
      </c>
      <c r="DC67" s="266" t="s">
        <v>350</v>
      </c>
      <c r="DD67" s="261" t="s">
        <v>323</v>
      </c>
      <c r="DE67" s="262">
        <f t="shared" si="41"/>
        <v>0.64</v>
      </c>
      <c r="DF67" s="260" t="s">
        <v>322</v>
      </c>
    </row>
    <row r="68" spans="54:110" thickTop="1" thickBot="1" x14ac:dyDescent="0.3">
      <c r="BB68" s="81" t="s">
        <v>407</v>
      </c>
      <c r="BC68" s="167">
        <v>0.41799999999999998</v>
      </c>
      <c r="BD68" s="167">
        <v>5.2300000000000003E-3</v>
      </c>
      <c r="BE68" s="81">
        <v>79.87</v>
      </c>
      <c r="BF68" s="81" t="s">
        <v>422</v>
      </c>
      <c r="BG68" s="167">
        <v>2E-16</v>
      </c>
      <c r="BH68" s="81" t="s">
        <v>389</v>
      </c>
      <c r="BP68" s="81" t="s">
        <v>408</v>
      </c>
      <c r="BQ68" s="167">
        <v>7.3200000000000001E-2</v>
      </c>
      <c r="BR68" s="167">
        <v>1.1100000000000001E-3</v>
      </c>
      <c r="BS68" s="81">
        <v>65.86</v>
      </c>
      <c r="BT68" s="81" t="s">
        <v>422</v>
      </c>
      <c r="BU68" s="167">
        <v>2E-16</v>
      </c>
      <c r="BV68" s="81" t="s">
        <v>389</v>
      </c>
      <c r="CT68" s="258" t="s">
        <v>442</v>
      </c>
      <c r="CU68" s="258" t="s">
        <v>444</v>
      </c>
      <c r="CV68" s="259">
        <v>0.20200000000000001</v>
      </c>
      <c r="CW68" s="259">
        <v>7.9100000000000004E-2</v>
      </c>
      <c r="CX68" s="258">
        <v>2.56</v>
      </c>
      <c r="CY68" s="258">
        <v>1.0619999999999999E-2</v>
      </c>
      <c r="CZ68" s="81" t="s">
        <v>434</v>
      </c>
      <c r="DB68" s="260" t="s">
        <v>467</v>
      </c>
      <c r="DC68" s="266" t="s">
        <v>429</v>
      </c>
      <c r="DD68" s="261" t="s">
        <v>323</v>
      </c>
      <c r="DE68" s="262">
        <f t="shared" si="41"/>
        <v>7.3200000000000001E-2</v>
      </c>
      <c r="DF68" s="260" t="s">
        <v>322</v>
      </c>
    </row>
    <row r="69" spans="54:110" thickTop="1" thickBot="1" x14ac:dyDescent="0.3">
      <c r="BB69" s="81" t="s">
        <v>408</v>
      </c>
      <c r="BC69" s="167">
        <v>0.126</v>
      </c>
      <c r="BD69" s="167">
        <v>1.1999999999999999E-3</v>
      </c>
      <c r="BE69" s="81">
        <v>104.99</v>
      </c>
      <c r="BF69" s="81" t="s">
        <v>422</v>
      </c>
      <c r="BG69" s="167">
        <v>2E-16</v>
      </c>
      <c r="BH69" s="81" t="s">
        <v>389</v>
      </c>
      <c r="BP69" s="81" t="s">
        <v>410</v>
      </c>
      <c r="BQ69" s="167">
        <v>219</v>
      </c>
      <c r="BR69" s="167">
        <v>4.1900000000000004</v>
      </c>
      <c r="BS69" s="81">
        <v>52.26</v>
      </c>
      <c r="BT69" s="81" t="s">
        <v>422</v>
      </c>
      <c r="BU69" s="167">
        <v>2E-16</v>
      </c>
      <c r="BV69" s="81" t="s">
        <v>389</v>
      </c>
      <c r="CT69" s="258" t="s">
        <v>442</v>
      </c>
      <c r="CU69" s="258" t="s">
        <v>341</v>
      </c>
      <c r="CV69" s="259">
        <v>6.2900000000000003E-7</v>
      </c>
      <c r="CW69" s="259">
        <v>4.5200000000000001E-5</v>
      </c>
      <c r="CX69" s="258">
        <v>0.01</v>
      </c>
      <c r="CY69" s="258">
        <v>0.98889000000000005</v>
      </c>
      <c r="DD69" s="261"/>
    </row>
    <row r="70" spans="54:110" thickTop="1" thickBot="1" x14ac:dyDescent="0.3">
      <c r="BB70" s="81" t="s">
        <v>410</v>
      </c>
      <c r="BC70" s="167">
        <v>568</v>
      </c>
      <c r="BD70" s="167">
        <v>16.100000000000001</v>
      </c>
      <c r="BE70" s="81">
        <v>35.270000000000003</v>
      </c>
      <c r="BF70" s="81" t="s">
        <v>422</v>
      </c>
      <c r="BG70" s="167">
        <v>2E-16</v>
      </c>
      <c r="BH70" s="81" t="s">
        <v>389</v>
      </c>
      <c r="BP70" s="81" t="s">
        <v>295</v>
      </c>
      <c r="BQ70" s="167">
        <v>85.9</v>
      </c>
      <c r="BR70" s="167">
        <v>0.65300000000000002</v>
      </c>
      <c r="BS70" s="81">
        <v>131.52000000000001</v>
      </c>
      <c r="BT70" s="81" t="s">
        <v>422</v>
      </c>
      <c r="BU70" s="167">
        <v>2E-16</v>
      </c>
      <c r="BV70" s="81" t="s">
        <v>389</v>
      </c>
      <c r="CT70" s="258" t="s">
        <v>442</v>
      </c>
      <c r="CU70" s="258" t="s">
        <v>445</v>
      </c>
      <c r="CV70" s="259">
        <v>0.77700000000000002</v>
      </c>
      <c r="CW70" s="259">
        <v>4.0300000000000002E-2</v>
      </c>
      <c r="CX70" s="258">
        <v>19.27</v>
      </c>
      <c r="CY70" s="258" t="s">
        <v>422</v>
      </c>
      <c r="CZ70" s="167">
        <v>2E-16</v>
      </c>
      <c r="DA70" s="81" t="s">
        <v>389</v>
      </c>
      <c r="DB70" s="260" t="s">
        <v>467</v>
      </c>
      <c r="DC70" s="266" t="s">
        <v>505</v>
      </c>
      <c r="DD70" s="261" t="s">
        <v>323</v>
      </c>
      <c r="DE70" s="262">
        <f>CV96</f>
        <v>218</v>
      </c>
      <c r="DF70" s="260" t="s">
        <v>322</v>
      </c>
    </row>
    <row r="71" spans="54:110" thickTop="1" thickBot="1" x14ac:dyDescent="0.3">
      <c r="BB71" s="81" t="s">
        <v>295</v>
      </c>
      <c r="BC71" s="167">
        <v>238</v>
      </c>
      <c r="BD71" s="167">
        <v>1.01</v>
      </c>
      <c r="BE71" s="81">
        <v>236.64</v>
      </c>
      <c r="BF71" s="81" t="s">
        <v>422</v>
      </c>
      <c r="BG71" s="167">
        <v>2E-16</v>
      </c>
      <c r="BH71" s="81" t="s">
        <v>389</v>
      </c>
      <c r="BP71" s="81" t="s">
        <v>120</v>
      </c>
      <c r="BQ71" s="167">
        <v>49.4</v>
      </c>
      <c r="BR71" s="167">
        <v>1.8</v>
      </c>
      <c r="BS71" s="81">
        <v>27.51</v>
      </c>
      <c r="BT71" s="81" t="s">
        <v>422</v>
      </c>
      <c r="BU71" s="167">
        <v>2E-16</v>
      </c>
      <c r="BV71" s="81" t="s">
        <v>389</v>
      </c>
      <c r="CT71" s="258" t="s">
        <v>442</v>
      </c>
      <c r="CU71" s="258" t="s">
        <v>446</v>
      </c>
      <c r="CV71" s="259">
        <v>0.65400000000000003</v>
      </c>
      <c r="CW71" s="259">
        <v>6.2899999999999998E-2</v>
      </c>
      <c r="CX71" s="258">
        <v>10.39</v>
      </c>
      <c r="CY71" s="258" t="s">
        <v>422</v>
      </c>
      <c r="CZ71" s="167">
        <v>2E-16</v>
      </c>
      <c r="DA71" s="81" t="s">
        <v>389</v>
      </c>
      <c r="DB71" s="260" t="s">
        <v>467</v>
      </c>
      <c r="DC71" s="266" t="s">
        <v>354</v>
      </c>
      <c r="DD71" s="261" t="s">
        <v>323</v>
      </c>
      <c r="DE71" s="262">
        <f t="shared" ref="DE71:DE72" si="42">CV97</f>
        <v>86.2</v>
      </c>
      <c r="DF71" s="260" t="s">
        <v>322</v>
      </c>
    </row>
    <row r="72" spans="54:110" thickTop="1" thickBot="1" x14ac:dyDescent="0.3">
      <c r="BB72" s="81" t="s">
        <v>120</v>
      </c>
      <c r="BC72" s="167">
        <v>58</v>
      </c>
      <c r="BD72" s="167">
        <v>0.107</v>
      </c>
      <c r="BE72" s="81">
        <v>543.78</v>
      </c>
      <c r="BF72" s="81" t="s">
        <v>422</v>
      </c>
      <c r="BG72" s="167">
        <v>2E-16</v>
      </c>
      <c r="BH72" s="81" t="s">
        <v>389</v>
      </c>
      <c r="BP72" s="81" t="s">
        <v>412</v>
      </c>
      <c r="BQ72" s="167">
        <v>-4.6100000000000003</v>
      </c>
      <c r="BR72" s="167">
        <v>2.1399999999999999E-2</v>
      </c>
      <c r="BS72" s="81">
        <v>-215.25</v>
      </c>
      <c r="BT72" s="81" t="s">
        <v>422</v>
      </c>
      <c r="BU72" s="167">
        <v>2E-16</v>
      </c>
      <c r="BV72" s="81" t="s">
        <v>389</v>
      </c>
      <c r="CT72" s="258" t="s">
        <v>442</v>
      </c>
      <c r="CU72" s="258" t="s">
        <v>447</v>
      </c>
      <c r="CV72" s="259">
        <v>0.23499999999999999</v>
      </c>
      <c r="CW72" s="259">
        <v>1.24E-2</v>
      </c>
      <c r="CX72" s="258">
        <v>18.96</v>
      </c>
      <c r="CY72" s="258" t="s">
        <v>422</v>
      </c>
      <c r="CZ72" s="167">
        <v>2E-16</v>
      </c>
      <c r="DA72" s="81" t="s">
        <v>389</v>
      </c>
      <c r="DB72" s="260" t="s">
        <v>467</v>
      </c>
      <c r="DC72" s="266" t="s">
        <v>355</v>
      </c>
      <c r="DD72" s="261" t="s">
        <v>323</v>
      </c>
      <c r="DE72" s="262">
        <f t="shared" si="42"/>
        <v>51.1</v>
      </c>
      <c r="DF72" s="260" t="s">
        <v>322</v>
      </c>
    </row>
    <row r="73" spans="54:110" thickTop="1" thickBot="1" x14ac:dyDescent="0.3">
      <c r="BB73" s="81" t="s">
        <v>412</v>
      </c>
      <c r="BC73" s="167">
        <v>-15.3</v>
      </c>
      <c r="BD73" s="167">
        <v>0.30099999999999999</v>
      </c>
      <c r="BE73" s="81">
        <v>-50.74</v>
      </c>
      <c r="BF73" s="81" t="s">
        <v>422</v>
      </c>
      <c r="BG73" s="167">
        <v>2E-16</v>
      </c>
      <c r="BH73" s="81" t="s">
        <v>389</v>
      </c>
      <c r="BP73" s="81" t="s">
        <v>413</v>
      </c>
      <c r="BQ73" s="167">
        <v>-4.8499999999999996</v>
      </c>
      <c r="BR73" s="167">
        <v>2.2599999999999999E-2</v>
      </c>
      <c r="BS73" s="81">
        <v>-214.32</v>
      </c>
      <c r="BT73" s="81" t="s">
        <v>422</v>
      </c>
      <c r="BU73" s="167">
        <v>2E-16</v>
      </c>
      <c r="BV73" s="81" t="s">
        <v>389</v>
      </c>
      <c r="CT73" s="258" t="s">
        <v>442</v>
      </c>
      <c r="CU73" s="258" t="s">
        <v>342</v>
      </c>
      <c r="CV73" s="259">
        <v>0.309</v>
      </c>
      <c r="CW73" s="259">
        <v>4.1300000000000003E-2</v>
      </c>
      <c r="CX73" s="258">
        <v>7.48</v>
      </c>
      <c r="CY73" s="259">
        <v>9.1000000000000004E-14</v>
      </c>
      <c r="CZ73" s="81" t="s">
        <v>389</v>
      </c>
      <c r="DB73" s="260" t="s">
        <v>467</v>
      </c>
      <c r="DC73" s="266" t="s">
        <v>357</v>
      </c>
      <c r="DD73" s="261" t="s">
        <v>323</v>
      </c>
      <c r="DE73" s="262">
        <f>1/CV103</f>
        <v>353.35689045936397</v>
      </c>
      <c r="DF73" s="260" t="s">
        <v>322</v>
      </c>
    </row>
    <row r="74" spans="54:110" thickTop="1" thickBot="1" x14ac:dyDescent="0.3">
      <c r="BB74" s="81" t="s">
        <v>413</v>
      </c>
      <c r="BC74" s="167">
        <v>-5.4</v>
      </c>
      <c r="BD74" s="167">
        <v>2.6700000000000002E-2</v>
      </c>
      <c r="BE74" s="81">
        <v>-202.07</v>
      </c>
      <c r="BF74" s="81" t="s">
        <v>422</v>
      </c>
      <c r="BG74" s="167">
        <v>2E-16</v>
      </c>
      <c r="BH74" s="81" t="s">
        <v>389</v>
      </c>
      <c r="BP74" s="81" t="s">
        <v>414</v>
      </c>
      <c r="BQ74" s="167">
        <v>-5.68</v>
      </c>
      <c r="BR74" s="167">
        <v>2.2200000000000001E-2</v>
      </c>
      <c r="BS74" s="81">
        <v>-255.8</v>
      </c>
      <c r="BT74" s="81" t="s">
        <v>422</v>
      </c>
      <c r="BU74" s="167">
        <v>2E-16</v>
      </c>
      <c r="BV74" s="81" t="s">
        <v>389</v>
      </c>
      <c r="CT74" s="258" t="s">
        <v>442</v>
      </c>
      <c r="CU74" s="258" t="s">
        <v>448</v>
      </c>
      <c r="CV74" s="259">
        <v>0.17599999999999999</v>
      </c>
      <c r="CW74" s="259">
        <v>7.1799999999999998E-3</v>
      </c>
      <c r="CX74" s="258">
        <v>24.43</v>
      </c>
      <c r="CY74" s="258" t="s">
        <v>422</v>
      </c>
      <c r="CZ74" s="167">
        <v>2E-16</v>
      </c>
      <c r="DA74" s="81" t="s">
        <v>389</v>
      </c>
      <c r="DD74" s="261"/>
    </row>
    <row r="75" spans="54:110" thickTop="1" thickBot="1" x14ac:dyDescent="0.3">
      <c r="BB75" s="81" t="s">
        <v>414</v>
      </c>
      <c r="BC75" s="167">
        <v>-7.38</v>
      </c>
      <c r="BD75" s="167">
        <v>2.1499999999999998E-2</v>
      </c>
      <c r="BE75" s="81">
        <v>-343.38</v>
      </c>
      <c r="BF75" s="81" t="s">
        <v>422</v>
      </c>
      <c r="BG75" s="167">
        <v>2E-16</v>
      </c>
      <c r="BH75" s="81" t="s">
        <v>389</v>
      </c>
      <c r="BP75" s="81" t="s">
        <v>415</v>
      </c>
      <c r="BQ75" s="167">
        <v>-5.31</v>
      </c>
      <c r="BR75" s="167">
        <v>2.2599999999999999E-2</v>
      </c>
      <c r="BS75" s="81">
        <v>-234.52</v>
      </c>
      <c r="BT75" s="81" t="s">
        <v>422</v>
      </c>
      <c r="BU75" s="167">
        <v>2E-16</v>
      </c>
      <c r="BV75" s="81" t="s">
        <v>389</v>
      </c>
      <c r="CT75" s="258" t="s">
        <v>442</v>
      </c>
      <c r="CU75" s="258" t="s">
        <v>449</v>
      </c>
      <c r="CV75" s="259">
        <v>0.13</v>
      </c>
      <c r="CW75" s="259">
        <v>1.12E-2</v>
      </c>
      <c r="CX75" s="258">
        <v>11.62</v>
      </c>
      <c r="CY75" s="258" t="s">
        <v>422</v>
      </c>
      <c r="CZ75" s="167">
        <v>2E-16</v>
      </c>
      <c r="DA75" s="81" t="s">
        <v>389</v>
      </c>
      <c r="DB75" s="260" t="s">
        <v>467</v>
      </c>
      <c r="DC75" s="266" t="s">
        <v>424</v>
      </c>
      <c r="DD75" s="261" t="s">
        <v>323</v>
      </c>
      <c r="DE75" s="262">
        <f>CV116</f>
        <v>19200000</v>
      </c>
      <c r="DF75" s="260" t="s">
        <v>322</v>
      </c>
    </row>
    <row r="76" spans="54:110" thickTop="1" thickBot="1" x14ac:dyDescent="0.3">
      <c r="BB76" s="81" t="s">
        <v>415</v>
      </c>
      <c r="BC76" s="167">
        <v>-6.87</v>
      </c>
      <c r="BD76" s="167">
        <v>1.9699999999999999E-2</v>
      </c>
      <c r="BE76" s="81">
        <v>-347.91</v>
      </c>
      <c r="BF76" s="81" t="s">
        <v>422</v>
      </c>
      <c r="BG76" s="167">
        <v>2E-16</v>
      </c>
      <c r="BH76" s="81" t="s">
        <v>389</v>
      </c>
      <c r="BP76" s="81" t="s">
        <v>417</v>
      </c>
      <c r="BQ76" s="167">
        <v>2.8500000000000001E-3</v>
      </c>
      <c r="BR76" s="167">
        <v>7.6799999999999997E-5</v>
      </c>
      <c r="BS76" s="81">
        <v>37.07</v>
      </c>
      <c r="BT76" s="81" t="s">
        <v>422</v>
      </c>
      <c r="BU76" s="167">
        <v>2E-16</v>
      </c>
      <c r="BV76" s="81" t="s">
        <v>389</v>
      </c>
      <c r="CT76" s="258" t="s">
        <v>442</v>
      </c>
      <c r="CU76" s="258" t="s">
        <v>450</v>
      </c>
      <c r="CV76" s="259">
        <v>0.253</v>
      </c>
      <c r="CW76" s="259">
        <v>0.158</v>
      </c>
      <c r="CX76" s="258">
        <v>1.6</v>
      </c>
      <c r="CY76" s="258">
        <v>0.1087</v>
      </c>
      <c r="DB76" s="260" t="s">
        <v>467</v>
      </c>
      <c r="DC76" s="266" t="s">
        <v>364</v>
      </c>
      <c r="DD76" s="261" t="s">
        <v>323</v>
      </c>
      <c r="DE76" s="262">
        <f>CV117</f>
        <v>65100000</v>
      </c>
      <c r="DF76" s="260" t="s">
        <v>322</v>
      </c>
    </row>
    <row r="77" spans="54:110" thickTop="1" thickBot="1" x14ac:dyDescent="0.3">
      <c r="BB77" s="81" t="s">
        <v>417</v>
      </c>
      <c r="BC77" s="167">
        <v>4.64E-3</v>
      </c>
      <c r="BD77" s="167">
        <v>2.4600000000000002E-5</v>
      </c>
      <c r="BE77" s="81">
        <v>188.79</v>
      </c>
      <c r="BF77" s="81" t="s">
        <v>422</v>
      </c>
      <c r="BG77" s="167">
        <v>2E-16</v>
      </c>
      <c r="BH77" s="81" t="s">
        <v>389</v>
      </c>
      <c r="BP77" s="81" t="s">
        <v>418</v>
      </c>
      <c r="BQ77" s="167">
        <v>170</v>
      </c>
      <c r="BR77" s="167">
        <v>1.77</v>
      </c>
      <c r="BS77" s="81">
        <v>96.07</v>
      </c>
      <c r="BT77" s="81" t="s">
        <v>422</v>
      </c>
      <c r="BU77" s="167">
        <v>2E-16</v>
      </c>
      <c r="BV77" s="81" t="s">
        <v>389</v>
      </c>
      <c r="CT77" s="258" t="s">
        <v>442</v>
      </c>
      <c r="CU77" s="258" t="s">
        <v>343</v>
      </c>
      <c r="CV77" s="259">
        <v>4.2300000000000004E-12</v>
      </c>
      <c r="CW77" s="259">
        <v>4.0999999999999998E-10</v>
      </c>
      <c r="CX77" s="258">
        <v>0.01</v>
      </c>
      <c r="CY77" s="258">
        <v>0.99177999999999999</v>
      </c>
      <c r="DB77" s="260" t="s">
        <v>467</v>
      </c>
      <c r="DC77" s="266" t="s">
        <v>370</v>
      </c>
      <c r="DD77" s="261" t="s">
        <v>323</v>
      </c>
      <c r="DE77" s="262">
        <f>CV122</f>
        <v>198</v>
      </c>
      <c r="DF77" s="260" t="s">
        <v>322</v>
      </c>
    </row>
    <row r="78" spans="54:110" thickTop="1" thickBot="1" x14ac:dyDescent="0.3">
      <c r="BB78" s="81" t="s">
        <v>418</v>
      </c>
      <c r="BC78" s="167">
        <v>492</v>
      </c>
      <c r="BD78" s="167">
        <v>2.67</v>
      </c>
      <c r="BE78" s="81">
        <v>184.53</v>
      </c>
      <c r="BF78" s="81" t="s">
        <v>422</v>
      </c>
      <c r="BG78" s="167">
        <v>2E-16</v>
      </c>
      <c r="BH78" s="81" t="s">
        <v>389</v>
      </c>
      <c r="BP78" s="81" t="s">
        <v>419</v>
      </c>
      <c r="BQ78" s="167">
        <v>1380</v>
      </c>
      <c r="BR78" s="167">
        <v>946</v>
      </c>
      <c r="BS78" s="81">
        <v>1.46</v>
      </c>
      <c r="BT78" s="81">
        <v>0.14507999999999999</v>
      </c>
      <c r="CT78" s="258" t="s">
        <v>442</v>
      </c>
      <c r="CU78" s="258" t="s">
        <v>451</v>
      </c>
      <c r="CV78" s="259">
        <v>2.4899999999999999E-2</v>
      </c>
      <c r="CW78" s="259">
        <v>8.9399999999999993E-2</v>
      </c>
      <c r="CX78" s="258">
        <v>0.28000000000000003</v>
      </c>
      <c r="CY78" s="258">
        <v>0.78047</v>
      </c>
      <c r="DB78" s="260" t="s">
        <v>467</v>
      </c>
      <c r="DC78" s="266" t="s">
        <v>372</v>
      </c>
      <c r="DD78" s="261" t="s">
        <v>323</v>
      </c>
      <c r="DE78" s="262">
        <f t="shared" ref="DE78:DE79" si="43">CV123</f>
        <v>3.48E-4</v>
      </c>
      <c r="DF78" s="260" t="s">
        <v>322</v>
      </c>
    </row>
    <row r="79" spans="54:110" thickTop="1" thickBot="1" x14ac:dyDescent="0.3">
      <c r="BB79" s="81" t="s">
        <v>419</v>
      </c>
      <c r="BC79" s="167">
        <v>210</v>
      </c>
      <c r="BD79" s="167">
        <v>7.91</v>
      </c>
      <c r="BE79" s="81">
        <v>26.58</v>
      </c>
      <c r="BF79" s="81" t="s">
        <v>422</v>
      </c>
      <c r="BG79" s="167">
        <v>2E-16</v>
      </c>
      <c r="BH79" s="81" t="s">
        <v>389</v>
      </c>
      <c r="CT79" s="258" t="s">
        <v>442</v>
      </c>
      <c r="CU79" s="258" t="s">
        <v>452</v>
      </c>
      <c r="CV79" s="259">
        <v>0.114</v>
      </c>
      <c r="CW79" s="259">
        <v>0.14199999999999999</v>
      </c>
      <c r="CX79" s="258">
        <v>0.8</v>
      </c>
      <c r="CY79" s="258">
        <v>0.42087999999999998</v>
      </c>
      <c r="DB79" s="260" t="s">
        <v>467</v>
      </c>
      <c r="DC79" s="266" t="s">
        <v>374</v>
      </c>
      <c r="DD79" s="261" t="s">
        <v>323</v>
      </c>
      <c r="DE79" s="262">
        <f t="shared" si="43"/>
        <v>221</v>
      </c>
      <c r="DF79" s="260" t="s">
        <v>322</v>
      </c>
    </row>
    <row r="80" spans="54:110" thickTop="1" thickBot="1" x14ac:dyDescent="0.3">
      <c r="BP80" s="81" t="s">
        <v>433</v>
      </c>
      <c r="BQ80" s="81" t="s">
        <v>435</v>
      </c>
      <c r="CT80" s="258" t="s">
        <v>442</v>
      </c>
      <c r="CU80" s="258" t="s">
        <v>453</v>
      </c>
      <c r="CV80" s="259">
        <v>0.52500000000000002</v>
      </c>
      <c r="CW80" s="259">
        <v>3.5099999999999999E-2</v>
      </c>
      <c r="CX80" s="258">
        <v>14.97</v>
      </c>
      <c r="CY80" s="258" t="s">
        <v>422</v>
      </c>
      <c r="CZ80" s="167">
        <v>2E-16</v>
      </c>
      <c r="DA80" s="81" t="s">
        <v>389</v>
      </c>
    </row>
    <row r="81" spans="54:105" thickTop="1" thickBot="1" x14ac:dyDescent="0.3">
      <c r="BP81" s="81" t="s">
        <v>380</v>
      </c>
      <c r="CT81" s="258" t="s">
        <v>442</v>
      </c>
      <c r="CU81" s="258" t="s">
        <v>454</v>
      </c>
      <c r="CV81" s="259">
        <v>1</v>
      </c>
      <c r="CW81" s="259">
        <v>0.114</v>
      </c>
      <c r="CX81" s="258">
        <v>8.81</v>
      </c>
      <c r="CY81" s="258" t="s">
        <v>422</v>
      </c>
      <c r="CZ81" s="167">
        <v>2E-16</v>
      </c>
      <c r="DA81" s="81" t="s">
        <v>389</v>
      </c>
    </row>
    <row r="82" spans="54:105" thickTop="1" thickBot="1" x14ac:dyDescent="0.3">
      <c r="BC82" s="81" t="s">
        <v>431</v>
      </c>
      <c r="BP82" s="81" t="s">
        <v>381</v>
      </c>
      <c r="BQ82" s="81" t="s">
        <v>382</v>
      </c>
      <c r="BR82" s="81" t="s">
        <v>383</v>
      </c>
      <c r="BS82" s="81" t="s">
        <v>384</v>
      </c>
      <c r="BT82" s="81" t="s">
        <v>385</v>
      </c>
      <c r="BU82" s="81" t="s">
        <v>386</v>
      </c>
      <c r="CT82" s="258" t="s">
        <v>442</v>
      </c>
      <c r="CU82" s="258" t="s">
        <v>455</v>
      </c>
      <c r="CV82" s="259">
        <v>0.309</v>
      </c>
      <c r="CW82" s="259">
        <v>1.9800000000000002E-2</v>
      </c>
      <c r="CX82" s="258">
        <v>15.65</v>
      </c>
      <c r="CY82" s="258" t="s">
        <v>422</v>
      </c>
      <c r="CZ82" s="167">
        <v>2E-16</v>
      </c>
      <c r="DA82" s="81" t="s">
        <v>389</v>
      </c>
    </row>
    <row r="83" spans="54:105" thickTop="1" thickBot="1" x14ac:dyDescent="0.3">
      <c r="BC83" s="167">
        <v>297</v>
      </c>
      <c r="BD83" s="167">
        <v>8.0100000000000005E-2</v>
      </c>
      <c r="BE83" s="81">
        <v>3708.09</v>
      </c>
      <c r="BF83" s="81" t="s">
        <v>388</v>
      </c>
      <c r="BG83" s="81" t="s">
        <v>389</v>
      </c>
      <c r="BP83" s="81" t="s">
        <v>436</v>
      </c>
      <c r="BQ83" s="167">
        <v>290</v>
      </c>
      <c r="BR83" s="167">
        <v>0.36799999999999999</v>
      </c>
      <c r="BS83" s="81">
        <v>790.07</v>
      </c>
      <c r="BT83" s="81" t="s">
        <v>422</v>
      </c>
      <c r="BU83" s="167">
        <v>2E-16</v>
      </c>
      <c r="BV83" s="81" t="s">
        <v>389</v>
      </c>
      <c r="CT83" s="258" t="s">
        <v>442</v>
      </c>
      <c r="CU83" s="258" t="s">
        <v>456</v>
      </c>
      <c r="CV83" s="259">
        <v>0.25900000000000001</v>
      </c>
      <c r="CW83" s="259">
        <v>3.2300000000000002E-2</v>
      </c>
      <c r="CX83" s="258">
        <v>8.02</v>
      </c>
      <c r="CY83" s="259">
        <v>1.3E-15</v>
      </c>
      <c r="CZ83" s="81" t="s">
        <v>389</v>
      </c>
    </row>
    <row r="84" spans="54:105" thickTop="1" thickBot="1" x14ac:dyDescent="0.3">
      <c r="BB84" s="81" t="s">
        <v>423</v>
      </c>
      <c r="BC84" s="167">
        <v>294</v>
      </c>
      <c r="BD84" s="167">
        <v>4.2999999999999997E-2</v>
      </c>
      <c r="BE84" s="81">
        <v>6835.63</v>
      </c>
      <c r="BF84" s="81" t="s">
        <v>388</v>
      </c>
      <c r="BG84" s="81" t="s">
        <v>389</v>
      </c>
      <c r="BP84" s="81" t="s">
        <v>423</v>
      </c>
      <c r="BQ84" s="167">
        <v>292</v>
      </c>
      <c r="BR84" s="167">
        <v>0.36699999999999999</v>
      </c>
      <c r="BS84" s="81">
        <v>796.23</v>
      </c>
      <c r="BT84" s="81" t="s">
        <v>422</v>
      </c>
      <c r="BU84" s="167">
        <v>2E-16</v>
      </c>
      <c r="BV84" s="81" t="s">
        <v>389</v>
      </c>
      <c r="CT84" s="258" t="s">
        <v>442</v>
      </c>
      <c r="CU84" s="258" t="s">
        <v>308</v>
      </c>
      <c r="CV84" s="259">
        <v>990000000</v>
      </c>
      <c r="CW84" s="259">
        <v>160000000</v>
      </c>
      <c r="CX84" s="258">
        <v>6.19</v>
      </c>
      <c r="CY84" s="259">
        <v>6.6E-10</v>
      </c>
      <c r="CZ84" s="81" t="s">
        <v>389</v>
      </c>
    </row>
    <row r="85" spans="54:105" thickTop="1" thickBot="1" x14ac:dyDescent="0.3">
      <c r="BB85" s="81" t="s">
        <v>358</v>
      </c>
      <c r="BC85" s="167">
        <v>0.09</v>
      </c>
      <c r="BD85" s="167">
        <v>1.75E-3</v>
      </c>
      <c r="BE85" s="81">
        <v>51.34</v>
      </c>
      <c r="BF85" s="81" t="s">
        <v>388</v>
      </c>
      <c r="BG85" s="81" t="s">
        <v>389</v>
      </c>
      <c r="BP85" s="81" t="s">
        <v>358</v>
      </c>
      <c r="BQ85" s="167">
        <v>1.24E-7</v>
      </c>
      <c r="BR85" s="167">
        <v>2.21E-6</v>
      </c>
      <c r="BS85" s="81">
        <v>0.06</v>
      </c>
      <c r="BT85" s="81">
        <v>0.96</v>
      </c>
      <c r="CT85" s="258" t="s">
        <v>442</v>
      </c>
      <c r="CU85" s="258" t="s">
        <v>399</v>
      </c>
      <c r="CV85" s="259">
        <v>766000</v>
      </c>
      <c r="CW85" s="259">
        <v>21000</v>
      </c>
      <c r="CX85" s="258">
        <v>36.47</v>
      </c>
      <c r="CY85" s="258" t="s">
        <v>422</v>
      </c>
      <c r="CZ85" s="167">
        <v>2E-16</v>
      </c>
      <c r="DA85" s="81" t="s">
        <v>389</v>
      </c>
    </row>
    <row r="86" spans="54:105" thickTop="1" thickBot="1" x14ac:dyDescent="0.3">
      <c r="BB86" s="81" t="s">
        <v>360</v>
      </c>
      <c r="BC86" s="167">
        <v>0.192</v>
      </c>
      <c r="BD86" s="167">
        <v>3.5400000000000002E-3</v>
      </c>
      <c r="BE86" s="81">
        <v>54.37</v>
      </c>
      <c r="BF86" s="81" t="s">
        <v>388</v>
      </c>
      <c r="BG86" s="81" t="s">
        <v>389</v>
      </c>
      <c r="BP86" s="81" t="s">
        <v>360</v>
      </c>
      <c r="BQ86" s="167">
        <v>4.1799999999999997E-8</v>
      </c>
      <c r="BR86" s="167">
        <v>8.2999999999999999E-7</v>
      </c>
      <c r="BS86" s="81">
        <v>0.05</v>
      </c>
      <c r="BT86" s="81">
        <v>0.96</v>
      </c>
      <c r="CT86" s="258" t="s">
        <v>442</v>
      </c>
      <c r="CU86" s="258" t="s">
        <v>301</v>
      </c>
      <c r="CV86" s="259">
        <v>8780000</v>
      </c>
      <c r="CW86" s="259">
        <v>795000</v>
      </c>
      <c r="CX86" s="258">
        <v>11.04</v>
      </c>
      <c r="CY86" s="258" t="s">
        <v>422</v>
      </c>
      <c r="CZ86" s="167">
        <v>2E-16</v>
      </c>
      <c r="DA86" s="81" t="s">
        <v>389</v>
      </c>
    </row>
    <row r="87" spans="54:105" thickTop="1" thickBot="1" x14ac:dyDescent="0.3">
      <c r="BB87" s="81" t="s">
        <v>424</v>
      </c>
      <c r="BC87" s="167">
        <v>8270000</v>
      </c>
      <c r="BD87" s="167">
        <v>124000</v>
      </c>
      <c r="BE87" s="81">
        <v>66.77</v>
      </c>
      <c r="BF87" s="81" t="s">
        <v>388</v>
      </c>
      <c r="BG87" s="81" t="s">
        <v>389</v>
      </c>
      <c r="BP87" s="81" t="s">
        <v>424</v>
      </c>
      <c r="BQ87" s="167">
        <v>19200000</v>
      </c>
      <c r="BR87" s="167">
        <v>2600000</v>
      </c>
      <c r="BS87" s="81">
        <v>7.38</v>
      </c>
      <c r="BT87" s="167">
        <v>2.0999999999999999E-13</v>
      </c>
      <c r="BU87" s="81" t="s">
        <v>389</v>
      </c>
      <c r="CT87" s="258" t="s">
        <v>442</v>
      </c>
      <c r="CU87" s="258" t="s">
        <v>303</v>
      </c>
      <c r="CV87" s="259">
        <v>15100000</v>
      </c>
      <c r="CW87" s="259">
        <v>4420000</v>
      </c>
      <c r="CX87" s="258">
        <v>3.42</v>
      </c>
      <c r="CY87" s="258">
        <v>6.3000000000000003E-4</v>
      </c>
      <c r="CZ87" s="81" t="s">
        <v>389</v>
      </c>
    </row>
    <row r="88" spans="54:105" thickTop="1" thickBot="1" x14ac:dyDescent="0.3">
      <c r="BB88" s="81" t="s">
        <v>364</v>
      </c>
      <c r="BC88" s="167">
        <v>25000000</v>
      </c>
      <c r="BD88" s="167">
        <v>376000</v>
      </c>
      <c r="BE88" s="81">
        <v>66.52</v>
      </c>
      <c r="BF88" s="81" t="s">
        <v>388</v>
      </c>
      <c r="BG88" s="81" t="s">
        <v>389</v>
      </c>
      <c r="CT88" s="258" t="s">
        <v>442</v>
      </c>
      <c r="CU88" s="258" t="s">
        <v>400</v>
      </c>
      <c r="CV88" s="259">
        <v>-18</v>
      </c>
      <c r="CW88" s="259">
        <v>17.399999999999999</v>
      </c>
      <c r="CX88" s="258">
        <v>-1.03</v>
      </c>
      <c r="CY88" s="258">
        <v>0.30201</v>
      </c>
    </row>
    <row r="89" spans="54:105" thickTop="1" thickBot="1" x14ac:dyDescent="0.3">
      <c r="BB89" s="81" t="s">
        <v>404</v>
      </c>
      <c r="BC89" s="167">
        <v>3.73</v>
      </c>
      <c r="BD89" s="167">
        <v>1.42</v>
      </c>
      <c r="BE89" s="81">
        <v>2.62</v>
      </c>
      <c r="BF89" s="81">
        <v>8.6999999999999994E-3</v>
      </c>
      <c r="BG89" s="81" t="s">
        <v>425</v>
      </c>
      <c r="BP89" s="81" t="s">
        <v>364</v>
      </c>
      <c r="BQ89" s="167">
        <v>65100000</v>
      </c>
      <c r="BR89" s="167">
        <v>33200000</v>
      </c>
      <c r="BS89" s="81">
        <v>1.96</v>
      </c>
      <c r="BT89" s="81">
        <v>0.05</v>
      </c>
      <c r="BU89" s="81" t="s">
        <v>434</v>
      </c>
      <c r="CT89" s="258" t="s">
        <v>442</v>
      </c>
      <c r="CU89" s="258" t="s">
        <v>401</v>
      </c>
      <c r="CV89" s="259">
        <v>-12.5</v>
      </c>
      <c r="CW89" s="259">
        <v>439</v>
      </c>
      <c r="CX89" s="258">
        <v>-0.03</v>
      </c>
      <c r="CY89" s="258">
        <v>0.97736000000000001</v>
      </c>
    </row>
    <row r="90" spans="54:105" thickTop="1" thickBot="1" x14ac:dyDescent="0.3">
      <c r="BB90" s="81" t="s">
        <v>426</v>
      </c>
      <c r="BC90" s="167">
        <v>-13.1</v>
      </c>
      <c r="BD90" s="167">
        <v>7.16</v>
      </c>
      <c r="BE90" s="81">
        <v>-1.83</v>
      </c>
      <c r="BF90" s="81">
        <v>6.7599999999999993E-2</v>
      </c>
      <c r="BG90" s="81" t="s">
        <v>427</v>
      </c>
      <c r="BP90" s="81" t="s">
        <v>404</v>
      </c>
      <c r="BQ90" s="167">
        <v>8.17</v>
      </c>
      <c r="BR90" s="167">
        <v>7.2700000000000001E-2</v>
      </c>
      <c r="BS90" s="81">
        <v>112.45</v>
      </c>
      <c r="BT90" s="81" t="s">
        <v>422</v>
      </c>
      <c r="BU90" s="167">
        <v>2E-16</v>
      </c>
      <c r="BV90" s="81" t="s">
        <v>389</v>
      </c>
      <c r="CT90" s="258" t="s">
        <v>442</v>
      </c>
      <c r="CU90" s="258" t="s">
        <v>402</v>
      </c>
      <c r="CV90" s="259">
        <v>-12.7</v>
      </c>
      <c r="CW90" s="259">
        <v>538</v>
      </c>
      <c r="CX90" s="258">
        <v>-0.02</v>
      </c>
      <c r="CY90" s="258">
        <v>0.98109000000000002</v>
      </c>
    </row>
    <row r="91" spans="54:105" thickTop="1" thickBot="1" x14ac:dyDescent="0.3">
      <c r="BB91" s="81" t="s">
        <v>428</v>
      </c>
      <c r="BC91" s="167">
        <v>6.5799999999999997E-2</v>
      </c>
      <c r="BD91" s="167">
        <v>7.0699999999999995E-4</v>
      </c>
      <c r="BE91" s="81">
        <v>93.12</v>
      </c>
      <c r="BF91" s="81" t="s">
        <v>388</v>
      </c>
      <c r="BG91" s="81" t="s">
        <v>389</v>
      </c>
      <c r="BP91" s="81" t="s">
        <v>426</v>
      </c>
      <c r="BQ91" s="167">
        <v>7.12</v>
      </c>
      <c r="BR91" s="167">
        <v>0.13500000000000001</v>
      </c>
      <c r="BS91" s="81">
        <v>52.65</v>
      </c>
      <c r="BT91" s="81" t="s">
        <v>422</v>
      </c>
      <c r="BU91" s="167">
        <v>2E-16</v>
      </c>
      <c r="BV91" s="81" t="s">
        <v>389</v>
      </c>
      <c r="CT91" s="258" t="s">
        <v>442</v>
      </c>
      <c r="CU91" s="258" t="s">
        <v>403</v>
      </c>
      <c r="CV91" s="259">
        <v>-12.2</v>
      </c>
      <c r="CW91" s="259">
        <v>64.3</v>
      </c>
      <c r="CX91" s="258">
        <v>-0.19</v>
      </c>
      <c r="CY91" s="258">
        <v>0.84916999999999998</v>
      </c>
    </row>
    <row r="92" spans="54:105" thickTop="1" thickBot="1" x14ac:dyDescent="0.3">
      <c r="BB92" s="81" t="s">
        <v>429</v>
      </c>
      <c r="BC92" s="167">
        <v>0.11799999999999999</v>
      </c>
      <c r="BD92" s="167">
        <v>1.1299999999999999E-3</v>
      </c>
      <c r="BE92" s="81">
        <v>104.59</v>
      </c>
      <c r="BF92" s="81" t="s">
        <v>388</v>
      </c>
      <c r="BG92" s="81" t="s">
        <v>389</v>
      </c>
      <c r="BP92" s="81" t="s">
        <v>416</v>
      </c>
      <c r="BQ92" s="167">
        <v>-5.0599999999999996</v>
      </c>
      <c r="BR92" s="167">
        <v>5.1200000000000002E-2</v>
      </c>
      <c r="BS92" s="81">
        <v>-98.95</v>
      </c>
      <c r="BT92" s="81" t="s">
        <v>422</v>
      </c>
      <c r="BU92" s="167">
        <v>2E-16</v>
      </c>
      <c r="BV92" s="81" t="s">
        <v>389</v>
      </c>
      <c r="CT92" s="258" t="s">
        <v>442</v>
      </c>
      <c r="CU92" s="258" t="s">
        <v>405</v>
      </c>
      <c r="CV92" s="259">
        <v>0.23100000000000001</v>
      </c>
      <c r="CW92" s="259">
        <v>2.3800000000000002E-3</v>
      </c>
      <c r="CX92" s="258">
        <v>97.12</v>
      </c>
      <c r="CY92" s="258" t="s">
        <v>422</v>
      </c>
      <c r="CZ92" s="167">
        <v>2E-16</v>
      </c>
      <c r="DA92" s="81" t="s">
        <v>389</v>
      </c>
    </row>
    <row r="93" spans="54:105" thickTop="1" thickBot="1" x14ac:dyDescent="0.3">
      <c r="BB93" s="81" t="s">
        <v>416</v>
      </c>
      <c r="BC93" s="167">
        <v>-6.92</v>
      </c>
      <c r="BD93" s="167">
        <v>2.1600000000000001E-2</v>
      </c>
      <c r="BE93" s="81">
        <v>-319.69</v>
      </c>
      <c r="BF93" s="81" t="s">
        <v>388</v>
      </c>
      <c r="BG93" s="81" t="s">
        <v>389</v>
      </c>
      <c r="BP93" s="81" t="s">
        <v>430</v>
      </c>
      <c r="BQ93" s="167">
        <v>-4.8899999999999997</v>
      </c>
      <c r="BR93" s="167">
        <v>3.73E-2</v>
      </c>
      <c r="BS93" s="81">
        <v>-131.12</v>
      </c>
      <c r="BT93" s="81" t="s">
        <v>422</v>
      </c>
      <c r="BU93" s="167">
        <v>2E-16</v>
      </c>
      <c r="BV93" s="81" t="s">
        <v>389</v>
      </c>
      <c r="CT93" s="258" t="s">
        <v>442</v>
      </c>
      <c r="CU93" s="258" t="s">
        <v>406</v>
      </c>
      <c r="CV93" s="259">
        <v>4.8500000000000001E-2</v>
      </c>
      <c r="CW93" s="259">
        <v>4.0299999999999998E-4</v>
      </c>
      <c r="CX93" s="258">
        <v>120.43</v>
      </c>
      <c r="CY93" s="258" t="s">
        <v>422</v>
      </c>
      <c r="CZ93" s="167">
        <v>2E-16</v>
      </c>
      <c r="DA93" s="81" t="s">
        <v>389</v>
      </c>
    </row>
    <row r="94" spans="54:105" thickTop="1" thickBot="1" x14ac:dyDescent="0.3">
      <c r="BB94" s="81" t="s">
        <v>430</v>
      </c>
      <c r="BC94" s="167">
        <v>-6.23</v>
      </c>
      <c r="BD94" s="167">
        <v>3.3000000000000002E-2</v>
      </c>
      <c r="BE94" s="81">
        <v>-188.82</v>
      </c>
      <c r="BF94" s="81" t="s">
        <v>388</v>
      </c>
      <c r="BG94" s="81" t="s">
        <v>389</v>
      </c>
      <c r="BP94" s="81" t="s">
        <v>370</v>
      </c>
      <c r="BQ94" s="167">
        <v>198</v>
      </c>
      <c r="BR94" s="167">
        <v>4.01</v>
      </c>
      <c r="BS94" s="81">
        <v>49.45</v>
      </c>
      <c r="BT94" s="81" t="s">
        <v>422</v>
      </c>
      <c r="BU94" s="167">
        <v>2E-16</v>
      </c>
      <c r="BV94" s="81" t="s">
        <v>389</v>
      </c>
      <c r="CT94" s="258" t="s">
        <v>442</v>
      </c>
      <c r="CU94" s="258" t="s">
        <v>407</v>
      </c>
      <c r="CV94" s="259">
        <v>0.64</v>
      </c>
      <c r="CW94" s="259">
        <v>1.04E-2</v>
      </c>
      <c r="CX94" s="258">
        <v>61.53</v>
      </c>
      <c r="CY94" s="258" t="s">
        <v>422</v>
      </c>
      <c r="CZ94" s="167">
        <v>2E-16</v>
      </c>
      <c r="DA94" s="81" t="s">
        <v>389</v>
      </c>
    </row>
    <row r="95" spans="54:105" thickTop="1" thickBot="1" x14ac:dyDescent="0.3">
      <c r="BB95" s="81" t="s">
        <v>370</v>
      </c>
      <c r="BC95" s="167">
        <v>502</v>
      </c>
      <c r="BD95" s="167">
        <v>7.41</v>
      </c>
      <c r="BE95" s="81">
        <v>67.760000000000005</v>
      </c>
      <c r="BF95" s="81" t="s">
        <v>388</v>
      </c>
      <c r="BG95" s="81" t="s">
        <v>389</v>
      </c>
      <c r="BP95" s="81" t="s">
        <v>372</v>
      </c>
      <c r="BQ95" s="167">
        <v>3.48E-4</v>
      </c>
      <c r="BR95" s="167">
        <v>3.0400000000000002E-3</v>
      </c>
      <c r="BS95" s="81">
        <v>0.11</v>
      </c>
      <c r="BT95" s="81">
        <v>0.91</v>
      </c>
      <c r="CT95" s="258" t="s">
        <v>442</v>
      </c>
      <c r="CU95" s="258" t="s">
        <v>408</v>
      </c>
      <c r="CV95" s="259">
        <v>7.3200000000000001E-2</v>
      </c>
      <c r="CW95" s="259">
        <v>1.07E-3</v>
      </c>
      <c r="CX95" s="258">
        <v>68.22</v>
      </c>
      <c r="CY95" s="258" t="s">
        <v>422</v>
      </c>
      <c r="CZ95" s="167">
        <v>2E-16</v>
      </c>
      <c r="DA95" s="81" t="s">
        <v>389</v>
      </c>
    </row>
    <row r="96" spans="54:105" thickTop="1" thickBot="1" x14ac:dyDescent="0.3">
      <c r="BB96" s="81" t="s">
        <v>372</v>
      </c>
      <c r="BC96" s="167">
        <v>393</v>
      </c>
      <c r="BD96" s="167">
        <v>5.6</v>
      </c>
      <c r="BE96" s="81">
        <v>70.16</v>
      </c>
      <c r="BF96" s="81" t="s">
        <v>388</v>
      </c>
      <c r="BG96" s="81" t="s">
        <v>389</v>
      </c>
      <c r="BP96" s="81" t="s">
        <v>374</v>
      </c>
      <c r="BQ96" s="167">
        <v>221</v>
      </c>
      <c r="BR96" s="167">
        <v>3.53</v>
      </c>
      <c r="BS96" s="81">
        <v>62.76</v>
      </c>
      <c r="BT96" s="81" t="s">
        <v>422</v>
      </c>
      <c r="BU96" s="167">
        <v>2E-16</v>
      </c>
      <c r="BV96" s="81" t="s">
        <v>389</v>
      </c>
      <c r="CT96" s="258" t="s">
        <v>442</v>
      </c>
      <c r="CU96" s="258" t="s">
        <v>410</v>
      </c>
      <c r="CV96" s="259">
        <v>218</v>
      </c>
      <c r="CW96" s="259">
        <v>4.38</v>
      </c>
      <c r="CX96" s="258">
        <v>49.69</v>
      </c>
      <c r="CY96" s="258" t="s">
        <v>422</v>
      </c>
      <c r="CZ96" s="167">
        <v>2E-16</v>
      </c>
      <c r="DA96" s="81" t="s">
        <v>389</v>
      </c>
    </row>
    <row r="97" spans="54:105" thickTop="1" thickBot="1" x14ac:dyDescent="0.3">
      <c r="BB97" s="81" t="s">
        <v>374</v>
      </c>
      <c r="BC97" s="167">
        <v>506</v>
      </c>
      <c r="BD97" s="167">
        <v>2.4900000000000002</v>
      </c>
      <c r="BE97" s="81">
        <v>203.18</v>
      </c>
      <c r="BF97" s="81" t="s">
        <v>388</v>
      </c>
      <c r="BG97" s="81" t="s">
        <v>389</v>
      </c>
      <c r="CT97" s="258" t="s">
        <v>442</v>
      </c>
      <c r="CU97" s="258" t="s">
        <v>295</v>
      </c>
      <c r="CV97" s="259">
        <v>86.2</v>
      </c>
      <c r="CW97" s="259">
        <v>0.67900000000000005</v>
      </c>
      <c r="CX97" s="258">
        <v>127.06</v>
      </c>
      <c r="CY97" s="258" t="s">
        <v>422</v>
      </c>
      <c r="CZ97" s="167">
        <v>2E-16</v>
      </c>
      <c r="DA97" s="81" t="s">
        <v>389</v>
      </c>
    </row>
    <row r="98" spans="54:105" thickTop="1" thickBot="1" x14ac:dyDescent="0.3">
      <c r="CT98" s="258" t="s">
        <v>442</v>
      </c>
      <c r="CU98" s="258" t="s">
        <v>120</v>
      </c>
      <c r="CV98" s="259">
        <v>51.1</v>
      </c>
      <c r="CW98" s="259">
        <v>1.81</v>
      </c>
      <c r="CX98" s="258">
        <v>28.28</v>
      </c>
      <c r="CY98" s="258" t="s">
        <v>422</v>
      </c>
      <c r="CZ98" s="167">
        <v>2E-16</v>
      </c>
      <c r="DA98" s="81" t="s">
        <v>389</v>
      </c>
    </row>
    <row r="99" spans="54:105" thickTop="1" thickBot="1" x14ac:dyDescent="0.3">
      <c r="CT99" s="258" t="s">
        <v>442</v>
      </c>
      <c r="CU99" s="258" t="s">
        <v>412</v>
      </c>
      <c r="CV99" s="259">
        <v>-4.6100000000000003</v>
      </c>
      <c r="CW99" s="259">
        <v>2.1999999999999999E-2</v>
      </c>
      <c r="CX99" s="258">
        <v>-209.33</v>
      </c>
      <c r="CY99" s="258" t="s">
        <v>422</v>
      </c>
      <c r="CZ99" s="167">
        <v>2E-16</v>
      </c>
      <c r="DA99" s="81" t="s">
        <v>389</v>
      </c>
    </row>
    <row r="100" spans="54:105" thickTop="1" thickBot="1" x14ac:dyDescent="0.3">
      <c r="CT100" s="258" t="s">
        <v>442</v>
      </c>
      <c r="CU100" s="258" t="s">
        <v>413</v>
      </c>
      <c r="CV100" s="259">
        <v>-4.8600000000000003</v>
      </c>
      <c r="CW100" s="259">
        <v>2.4500000000000001E-2</v>
      </c>
      <c r="CX100" s="258">
        <v>-198.18</v>
      </c>
      <c r="CY100" s="258" t="s">
        <v>422</v>
      </c>
      <c r="CZ100" s="167">
        <v>2E-16</v>
      </c>
      <c r="DA100" s="81" t="s">
        <v>389</v>
      </c>
    </row>
    <row r="101" spans="54:105" thickTop="1" thickBot="1" x14ac:dyDescent="0.3">
      <c r="CT101" s="258" t="s">
        <v>442</v>
      </c>
      <c r="CU101" s="258" t="s">
        <v>414</v>
      </c>
      <c r="CV101" s="259">
        <v>-5.72</v>
      </c>
      <c r="CW101" s="259">
        <v>2.2599999999999999E-2</v>
      </c>
      <c r="CX101" s="258">
        <v>-252.62</v>
      </c>
      <c r="CY101" s="258" t="s">
        <v>422</v>
      </c>
      <c r="CZ101" s="167">
        <v>2E-16</v>
      </c>
      <c r="DA101" s="81" t="s">
        <v>389</v>
      </c>
    </row>
    <row r="102" spans="54:105" thickTop="1" thickBot="1" x14ac:dyDescent="0.3">
      <c r="CT102" s="258" t="s">
        <v>442</v>
      </c>
      <c r="CU102" s="258" t="s">
        <v>415</v>
      </c>
      <c r="CV102" s="259">
        <v>-5.35</v>
      </c>
      <c r="CW102" s="259">
        <v>2.4400000000000002E-2</v>
      </c>
      <c r="CX102" s="258">
        <v>-219.12</v>
      </c>
      <c r="CY102" s="258" t="s">
        <v>422</v>
      </c>
      <c r="CZ102" s="167">
        <v>2E-16</v>
      </c>
      <c r="DA102" s="81" t="s">
        <v>389</v>
      </c>
    </row>
    <row r="103" spans="54:105" thickTop="1" thickBot="1" x14ac:dyDescent="0.3">
      <c r="CT103" s="258" t="s">
        <v>442</v>
      </c>
      <c r="CU103" s="258" t="s">
        <v>417</v>
      </c>
      <c r="CV103" s="259">
        <v>2.8300000000000001E-3</v>
      </c>
      <c r="CW103" s="259">
        <v>7.9200000000000001E-5</v>
      </c>
      <c r="CX103" s="258">
        <v>35.729999999999997</v>
      </c>
      <c r="CY103" s="258" t="s">
        <v>422</v>
      </c>
      <c r="CZ103" s="167">
        <v>2E-16</v>
      </c>
      <c r="DA103" s="81" t="s">
        <v>389</v>
      </c>
    </row>
    <row r="104" spans="54:105" thickTop="1" thickBot="1" x14ac:dyDescent="0.3">
      <c r="CT104" s="258" t="s">
        <v>442</v>
      </c>
      <c r="CU104" s="258" t="s">
        <v>418</v>
      </c>
      <c r="CV104" s="259">
        <v>171</v>
      </c>
      <c r="CW104" s="259">
        <v>1.87</v>
      </c>
      <c r="CX104" s="258">
        <v>91.34</v>
      </c>
      <c r="CY104" s="258" t="s">
        <v>422</v>
      </c>
      <c r="CZ104" s="167">
        <v>2E-16</v>
      </c>
      <c r="DA104" s="81" t="s">
        <v>389</v>
      </c>
    </row>
    <row r="105" spans="54:105" thickTop="1" thickBot="1" x14ac:dyDescent="0.3">
      <c r="CT105" s="258" t="s">
        <v>442</v>
      </c>
      <c r="CU105" s="258" t="s">
        <v>419</v>
      </c>
      <c r="CV105" s="259">
        <v>934</v>
      </c>
      <c r="CW105" s="259">
        <v>1030</v>
      </c>
      <c r="CX105" s="258">
        <v>0.91</v>
      </c>
      <c r="CY105" s="258">
        <v>0.36307</v>
      </c>
    </row>
    <row r="106" spans="54:105" thickTop="1" thickBot="1" x14ac:dyDescent="0.3">
      <c r="CT106" s="258" t="s">
        <v>442</v>
      </c>
      <c r="CU106" s="258" t="s">
        <v>461</v>
      </c>
    </row>
    <row r="107" spans="54:105" thickTop="1" thickBot="1" x14ac:dyDescent="0.3">
      <c r="CT107" s="258" t="s">
        <v>442</v>
      </c>
      <c r="CU107" s="258" t="s">
        <v>462</v>
      </c>
      <c r="CV107" s="258" t="s">
        <v>463</v>
      </c>
      <c r="CW107" s="258">
        <v>0</v>
      </c>
      <c r="CX107" s="258" t="s">
        <v>464</v>
      </c>
      <c r="CY107" s="258">
        <v>1E-3</v>
      </c>
      <c r="CZ107" s="81" t="s">
        <v>465</v>
      </c>
      <c r="DA107" s="81">
        <v>0.01</v>
      </c>
    </row>
    <row r="109" spans="54:105" thickTop="1" thickBot="1" x14ac:dyDescent="0.3">
      <c r="CT109" s="258" t="s">
        <v>442</v>
      </c>
      <c r="CU109" s="258" t="s">
        <v>433</v>
      </c>
      <c r="CV109" s="258" t="s">
        <v>435</v>
      </c>
    </row>
    <row r="110" spans="54:105" thickTop="1" thickBot="1" x14ac:dyDescent="0.3">
      <c r="CT110" s="258" t="s">
        <v>442</v>
      </c>
      <c r="CU110" s="258" t="s">
        <v>380</v>
      </c>
    </row>
    <row r="111" spans="54:105" thickTop="1" thickBot="1" x14ac:dyDescent="0.3">
      <c r="CT111" s="258" t="s">
        <v>442</v>
      </c>
      <c r="CU111" s="258" t="s">
        <v>381</v>
      </c>
      <c r="CV111" s="258" t="s">
        <v>382</v>
      </c>
      <c r="CW111" s="258" t="s">
        <v>383</v>
      </c>
      <c r="CX111" s="258" t="s">
        <v>384</v>
      </c>
      <c r="CY111" s="258" t="s">
        <v>385</v>
      </c>
      <c r="CZ111" s="81" t="s">
        <v>386</v>
      </c>
    </row>
    <row r="112" spans="54:105" thickTop="1" thickBot="1" x14ac:dyDescent="0.3">
      <c r="CT112" s="258" t="s">
        <v>442</v>
      </c>
      <c r="CU112" s="258" t="s">
        <v>436</v>
      </c>
      <c r="CV112" s="259">
        <v>290</v>
      </c>
      <c r="CW112" s="259">
        <v>0.36799999999999999</v>
      </c>
      <c r="CX112" s="258">
        <v>790.07</v>
      </c>
      <c r="CY112" s="258" t="s">
        <v>422</v>
      </c>
      <c r="CZ112" s="167">
        <v>2E-16</v>
      </c>
      <c r="DA112" s="81" t="s">
        <v>389</v>
      </c>
    </row>
    <row r="113" spans="98:105" thickTop="1" thickBot="1" x14ac:dyDescent="0.3">
      <c r="CT113" s="258" t="s">
        <v>442</v>
      </c>
      <c r="CU113" s="258" t="s">
        <v>423</v>
      </c>
      <c r="CV113" s="259">
        <v>292</v>
      </c>
      <c r="CW113" s="259">
        <v>0.36699999999999999</v>
      </c>
      <c r="CX113" s="258">
        <v>796.23</v>
      </c>
      <c r="CY113" s="258" t="s">
        <v>422</v>
      </c>
      <c r="CZ113" s="167">
        <v>2E-16</v>
      </c>
      <c r="DA113" s="81" t="s">
        <v>389</v>
      </c>
    </row>
    <row r="114" spans="98:105" thickTop="1" thickBot="1" x14ac:dyDescent="0.3">
      <c r="CT114" s="258" t="s">
        <v>442</v>
      </c>
      <c r="CU114" s="258" t="s">
        <v>358</v>
      </c>
      <c r="CV114" s="259">
        <v>1.24E-7</v>
      </c>
      <c r="CW114" s="259">
        <v>2.21E-6</v>
      </c>
      <c r="CX114" s="258">
        <v>0.06</v>
      </c>
      <c r="CY114" s="258">
        <v>0.96</v>
      </c>
    </row>
    <row r="115" spans="98:105" thickTop="1" thickBot="1" x14ac:dyDescent="0.3">
      <c r="CT115" s="258" t="s">
        <v>442</v>
      </c>
      <c r="CU115" s="258" t="s">
        <v>360</v>
      </c>
      <c r="CV115" s="259">
        <v>4.1799999999999997E-8</v>
      </c>
      <c r="CW115" s="259">
        <v>8.2999999999999999E-7</v>
      </c>
      <c r="CX115" s="258">
        <v>0.05</v>
      </c>
      <c r="CY115" s="258">
        <v>0.96</v>
      </c>
    </row>
    <row r="116" spans="98:105" thickTop="1" thickBot="1" x14ac:dyDescent="0.3">
      <c r="CT116" s="258" t="s">
        <v>442</v>
      </c>
      <c r="CU116" s="258" t="s">
        <v>424</v>
      </c>
      <c r="CV116" s="259">
        <v>19200000</v>
      </c>
      <c r="CW116" s="259">
        <v>2600000</v>
      </c>
      <c r="CX116" s="258">
        <v>7.38</v>
      </c>
      <c r="CY116" s="259">
        <v>2.0999999999999999E-13</v>
      </c>
      <c r="CZ116" s="81" t="s">
        <v>389</v>
      </c>
    </row>
    <row r="117" spans="98:105" thickTop="1" thickBot="1" x14ac:dyDescent="0.3">
      <c r="CT117" s="258" t="s">
        <v>442</v>
      </c>
      <c r="CU117" s="258" t="s">
        <v>364</v>
      </c>
      <c r="CV117" s="259">
        <v>65100000</v>
      </c>
      <c r="CW117" s="259">
        <v>33200000</v>
      </c>
      <c r="CX117" s="258">
        <v>1.96</v>
      </c>
      <c r="CY117" s="258">
        <v>0.05</v>
      </c>
      <c r="CZ117" s="81" t="s">
        <v>434</v>
      </c>
    </row>
    <row r="118" spans="98:105" thickTop="1" thickBot="1" x14ac:dyDescent="0.3">
      <c r="CT118" s="258" t="s">
        <v>442</v>
      </c>
      <c r="CU118" s="258" t="s">
        <v>404</v>
      </c>
      <c r="CV118" s="259">
        <v>8.17</v>
      </c>
      <c r="CW118" s="259">
        <v>7.2700000000000001E-2</v>
      </c>
      <c r="CX118" s="258">
        <v>112.45</v>
      </c>
      <c r="CY118" s="258" t="s">
        <v>422</v>
      </c>
      <c r="CZ118" s="167">
        <v>2E-16</v>
      </c>
      <c r="DA118" s="81" t="s">
        <v>389</v>
      </c>
    </row>
    <row r="119" spans="98:105" thickTop="1" thickBot="1" x14ac:dyDescent="0.3">
      <c r="CT119" s="258" t="s">
        <v>442</v>
      </c>
      <c r="CU119" s="258" t="s">
        <v>426</v>
      </c>
      <c r="CV119" s="259">
        <v>7.12</v>
      </c>
      <c r="CW119" s="259">
        <v>0.13500000000000001</v>
      </c>
      <c r="CX119" s="258">
        <v>52.65</v>
      </c>
      <c r="CY119" s="258" t="s">
        <v>422</v>
      </c>
      <c r="CZ119" s="167">
        <v>2E-16</v>
      </c>
      <c r="DA119" s="81" t="s">
        <v>389</v>
      </c>
    </row>
    <row r="120" spans="98:105" thickTop="1" thickBot="1" x14ac:dyDescent="0.3">
      <c r="CT120" s="258" t="s">
        <v>442</v>
      </c>
      <c r="CU120" s="258" t="s">
        <v>416</v>
      </c>
      <c r="CV120" s="259">
        <v>-5.0599999999999996</v>
      </c>
      <c r="CW120" s="259">
        <v>5.1200000000000002E-2</v>
      </c>
      <c r="CX120" s="258">
        <v>-98.95</v>
      </c>
      <c r="CY120" s="258" t="s">
        <v>422</v>
      </c>
      <c r="CZ120" s="167">
        <v>2E-16</v>
      </c>
      <c r="DA120" s="81" t="s">
        <v>389</v>
      </c>
    </row>
    <row r="121" spans="98:105" thickTop="1" thickBot="1" x14ac:dyDescent="0.3">
      <c r="CT121" s="258" t="s">
        <v>442</v>
      </c>
      <c r="CU121" s="258" t="s">
        <v>430</v>
      </c>
      <c r="CV121" s="259">
        <v>-4.8899999999999997</v>
      </c>
      <c r="CW121" s="259">
        <v>3.73E-2</v>
      </c>
      <c r="CX121" s="258">
        <v>-131.12</v>
      </c>
      <c r="CY121" s="258" t="s">
        <v>422</v>
      </c>
      <c r="CZ121" s="167">
        <v>2E-16</v>
      </c>
      <c r="DA121" s="81" t="s">
        <v>389</v>
      </c>
    </row>
    <row r="122" spans="98:105" thickTop="1" thickBot="1" x14ac:dyDescent="0.3">
      <c r="CT122" s="258" t="s">
        <v>442</v>
      </c>
      <c r="CU122" s="258" t="s">
        <v>370</v>
      </c>
      <c r="CV122" s="259">
        <v>198</v>
      </c>
      <c r="CW122" s="259">
        <v>4.01</v>
      </c>
      <c r="CX122" s="258">
        <v>49.45</v>
      </c>
      <c r="CY122" s="258" t="s">
        <v>422</v>
      </c>
      <c r="CZ122" s="167">
        <v>2E-16</v>
      </c>
      <c r="DA122" s="81" t="s">
        <v>389</v>
      </c>
    </row>
    <row r="123" spans="98:105" thickTop="1" thickBot="1" x14ac:dyDescent="0.3">
      <c r="CT123" s="258" t="s">
        <v>442</v>
      </c>
      <c r="CU123" s="258" t="s">
        <v>372</v>
      </c>
      <c r="CV123" s="259">
        <v>3.48E-4</v>
      </c>
      <c r="CW123" s="259">
        <v>3.0400000000000002E-3</v>
      </c>
      <c r="CX123" s="258">
        <v>0.11</v>
      </c>
      <c r="CY123" s="258">
        <v>0.91</v>
      </c>
    </row>
    <row r="124" spans="98:105" thickTop="1" thickBot="1" x14ac:dyDescent="0.3">
      <c r="CT124" s="258" t="s">
        <v>442</v>
      </c>
      <c r="CU124" s="258" t="s">
        <v>374</v>
      </c>
      <c r="CV124" s="259">
        <v>221</v>
      </c>
      <c r="CW124" s="259">
        <v>3.53</v>
      </c>
      <c r="CX124" s="258">
        <v>62.76</v>
      </c>
      <c r="CY124" s="258" t="s">
        <v>422</v>
      </c>
      <c r="CZ124" s="167">
        <v>2E-16</v>
      </c>
      <c r="DA124" s="81" t="s">
        <v>389</v>
      </c>
    </row>
  </sheetData>
  <mergeCells count="8">
    <mergeCell ref="E36:F36"/>
    <mergeCell ref="A1:G1"/>
    <mergeCell ref="A3:H3"/>
    <mergeCell ref="J3:T3"/>
    <mergeCell ref="V3:AG3"/>
    <mergeCell ref="K4:O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H126"/>
  <sheetViews>
    <sheetView topLeftCell="DO1" zoomScale="70" zoomScaleNormal="70" workbookViewId="0">
      <selection activeCell="EL31" sqref="EL31"/>
    </sheetView>
  </sheetViews>
  <sheetFormatPr defaultRowHeight="16.5" thickTop="1" thickBottom="1" x14ac:dyDescent="0.3"/>
  <cols>
    <col min="1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3"/>
    <col min="19" max="21" width="9.140625" style="81"/>
    <col min="22" max="22" width="9.140625" style="1"/>
    <col min="23" max="35" width="9.140625" style="81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55" max="55" width="9.140625" style="81"/>
    <col min="56" max="56" width="16.42578125" style="81" customWidth="1"/>
    <col min="57" max="65" width="9.140625" style="81"/>
    <col min="66" max="66" width="15.7109375" style="81" bestFit="1" customWidth="1"/>
    <col min="67" max="67" width="9.140625" style="81"/>
    <col min="68" max="68" width="9.140625" style="171"/>
    <col min="69" max="80" width="9.140625" style="81"/>
    <col min="81" max="81" width="15.7109375" style="81" bestFit="1" customWidth="1"/>
    <col min="82" max="87" width="9.140625" style="81"/>
    <col min="88" max="88" width="10.28515625" style="81" bestFit="1" customWidth="1"/>
    <col min="89" max="91" width="9" style="81" bestFit="1" customWidth="1"/>
    <col min="92" max="93" width="9.140625" style="81"/>
    <col min="94" max="94" width="16" style="258" bestFit="1" customWidth="1"/>
    <col min="95" max="95" width="12.28515625" style="258" bestFit="1" customWidth="1"/>
    <col min="96" max="96" width="23.5703125" style="258" bestFit="1" customWidth="1"/>
    <col min="97" max="97" width="9" style="258" bestFit="1" customWidth="1"/>
    <col min="98" max="99" width="8.42578125" style="258" bestFit="1" customWidth="1"/>
    <col min="100" max="100" width="8.42578125" style="81" bestFit="1" customWidth="1"/>
    <col min="101" max="101" width="5.28515625" style="81" bestFit="1" customWidth="1"/>
    <col min="102" max="102" width="18" style="260" customWidth="1"/>
    <col min="103" max="103" width="10" style="260" customWidth="1"/>
    <col min="104" max="104" width="2.7109375" style="260" customWidth="1"/>
    <col min="105" max="105" width="11" style="260" bestFit="1" customWidth="1"/>
    <col min="106" max="106" width="2.28515625" style="260" bestFit="1" customWidth="1"/>
    <col min="107" max="107" width="9.140625" style="81"/>
    <col min="108" max="110" width="9.140625" style="170"/>
    <col min="111" max="111" width="19.85546875" style="170" bestFit="1" customWidth="1"/>
    <col min="112" max="112" width="9.140625" style="170"/>
    <col min="113" max="113" width="9.140625" style="81"/>
    <col min="114" max="114" width="16" style="308" bestFit="1" customWidth="1"/>
    <col min="115" max="115" width="12.28515625" style="308" bestFit="1" customWidth="1"/>
    <col min="116" max="116" width="23.5703125" style="308" bestFit="1" customWidth="1"/>
    <col min="117" max="117" width="9" style="308" bestFit="1" customWidth="1"/>
    <col min="118" max="120" width="8.42578125" style="308" bestFit="1" customWidth="1"/>
    <col min="121" max="121" width="5.28515625" style="308" bestFit="1" customWidth="1"/>
    <col min="122" max="122" width="18" style="309" customWidth="1"/>
    <col min="123" max="123" width="10" style="309" customWidth="1"/>
    <col min="124" max="124" width="2.7109375" style="309" customWidth="1"/>
    <col min="125" max="125" width="11" style="309" bestFit="1" customWidth="1"/>
    <col min="126" max="126" width="2.28515625" style="309" bestFit="1" customWidth="1"/>
    <col min="127" max="16384" width="9.140625" style="81"/>
  </cols>
  <sheetData>
    <row r="1" spans="1:138" ht="20.25" customHeight="1" thickTop="1" thickBot="1" x14ac:dyDescent="0.35">
      <c r="A1" s="320" t="s">
        <v>312</v>
      </c>
      <c r="B1" s="320"/>
      <c r="C1" s="320"/>
      <c r="D1" s="320"/>
      <c r="E1" s="320"/>
      <c r="F1" s="320"/>
      <c r="G1" s="320"/>
      <c r="AO1" s="160" t="s">
        <v>314</v>
      </c>
      <c r="BC1" s="81" t="s">
        <v>378</v>
      </c>
      <c r="BQ1" s="81" t="s">
        <v>432</v>
      </c>
    </row>
    <row r="2" spans="1:138" thickTop="1" thickBot="1" x14ac:dyDescent="0.3">
      <c r="AO2" s="81" t="s">
        <v>315</v>
      </c>
      <c r="CJ2" s="81" t="s">
        <v>316</v>
      </c>
      <c r="CK2" s="79" t="s">
        <v>438</v>
      </c>
      <c r="CL2" s="79" t="s">
        <v>439</v>
      </c>
      <c r="CM2" s="79" t="s">
        <v>440</v>
      </c>
      <c r="CP2" s="258" t="s">
        <v>441</v>
      </c>
      <c r="DJ2" s="308" t="s">
        <v>441</v>
      </c>
    </row>
    <row r="3" spans="1:138" thickTop="1" thickBot="1" x14ac:dyDescent="0.3">
      <c r="A3" s="323" t="s">
        <v>1</v>
      </c>
      <c r="B3" s="324"/>
      <c r="C3" s="324"/>
      <c r="D3" s="324"/>
      <c r="E3" s="324"/>
      <c r="F3" s="324"/>
      <c r="G3" s="324"/>
      <c r="H3" s="325"/>
      <c r="I3" s="298"/>
      <c r="K3" s="317" t="s">
        <v>2</v>
      </c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4"/>
      <c r="W3" s="317" t="s">
        <v>3</v>
      </c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O3" s="163" t="s">
        <v>316</v>
      </c>
      <c r="AP3" s="164" t="s">
        <v>317</v>
      </c>
      <c r="AQ3" s="164"/>
      <c r="AR3" s="165"/>
      <c r="AS3" s="165"/>
      <c r="AT3" s="165"/>
      <c r="AV3" s="166" t="s">
        <v>318</v>
      </c>
      <c r="BC3" s="172"/>
      <c r="BD3" s="172" t="s">
        <v>379</v>
      </c>
      <c r="BE3" s="172"/>
      <c r="BF3" s="172"/>
      <c r="BJ3" s="173" t="s">
        <v>318</v>
      </c>
      <c r="BK3" s="173"/>
      <c r="BL3" s="173"/>
      <c r="BM3" s="173"/>
      <c r="BN3" s="174"/>
      <c r="BO3" s="173"/>
      <c r="BQ3" s="81" t="s">
        <v>433</v>
      </c>
      <c r="BR3" s="81" t="s">
        <v>379</v>
      </c>
      <c r="CJ3" s="81" t="s">
        <v>321</v>
      </c>
      <c r="CK3" s="254">
        <f>AZ4</f>
        <v>8.0492893638779733E-2</v>
      </c>
      <c r="CL3" s="254">
        <f>BN4</f>
        <v>0.16</v>
      </c>
      <c r="CM3" s="254">
        <f>CC6</f>
        <v>0.19</v>
      </c>
      <c r="CX3" s="260" t="s">
        <v>466</v>
      </c>
      <c r="DD3" s="260" t="s">
        <v>518</v>
      </c>
      <c r="DR3" s="309" t="s">
        <v>466</v>
      </c>
      <c r="DX3" s="81" t="s">
        <v>519</v>
      </c>
      <c r="EH3" s="81" t="s">
        <v>520</v>
      </c>
    </row>
    <row r="4" spans="1:138" ht="15.75" customHeight="1" thickTop="1" thickBot="1" x14ac:dyDescent="0.3">
      <c r="A4" s="182" t="s">
        <v>6</v>
      </c>
      <c r="B4" s="183">
        <f>'Tabula data'!B5</f>
        <v>462.8</v>
      </c>
      <c r="C4" s="183" t="s">
        <v>7</v>
      </c>
      <c r="D4" s="182" t="s">
        <v>8</v>
      </c>
      <c r="E4" s="183"/>
      <c r="F4" s="183"/>
      <c r="G4" s="184">
        <f>SUM(H6:H13)</f>
        <v>24.4</v>
      </c>
      <c r="H4" s="185" t="s">
        <v>9</v>
      </c>
      <c r="I4" s="193"/>
      <c r="L4" s="326" t="s">
        <v>2</v>
      </c>
      <c r="M4" s="327"/>
      <c r="N4" s="327"/>
      <c r="O4" s="327"/>
      <c r="P4" s="328"/>
      <c r="X4" s="226"/>
      <c r="Y4" s="226"/>
      <c r="Z4" s="227" t="s">
        <v>4</v>
      </c>
      <c r="AA4" s="227">
        <v>0.85</v>
      </c>
      <c r="AB4" s="227" t="s">
        <v>5</v>
      </c>
      <c r="AC4" s="226"/>
      <c r="AD4" s="226"/>
      <c r="AE4" s="226"/>
      <c r="AM4" s="159" t="s">
        <v>319</v>
      </c>
      <c r="AN4" s="81" t="s">
        <v>320</v>
      </c>
      <c r="AO4" s="81" t="s">
        <v>321</v>
      </c>
      <c r="AP4" s="81">
        <f>SUM(O6:O9)/(SUM($O$6:$O$14,$O$26,O30)+2*SUM($O$27))</f>
        <v>8.0492893638779733E-2</v>
      </c>
      <c r="AQ4" s="81" t="s">
        <v>322</v>
      </c>
      <c r="AR4" s="167">
        <v>0.1641929</v>
      </c>
      <c r="AV4" s="168" t="s">
        <v>319</v>
      </c>
      <c r="AW4" s="168" t="s">
        <v>320</v>
      </c>
      <c r="AX4" s="168" t="s">
        <v>321</v>
      </c>
      <c r="AY4" s="169" t="s">
        <v>323</v>
      </c>
      <c r="AZ4" s="162">
        <f>AP4</f>
        <v>8.0492893638779733E-2</v>
      </c>
      <c r="BA4" s="168" t="s">
        <v>322</v>
      </c>
      <c r="BC4" s="81" t="s">
        <v>380</v>
      </c>
      <c r="BJ4" s="175" t="s">
        <v>319</v>
      </c>
      <c r="BK4" s="175" t="s">
        <v>320</v>
      </c>
      <c r="BL4" s="175" t="s">
        <v>321</v>
      </c>
      <c r="BM4" s="175" t="s">
        <v>323</v>
      </c>
      <c r="BN4" s="174">
        <f>BD11</f>
        <v>0.16</v>
      </c>
      <c r="BO4" s="175" t="s">
        <v>322</v>
      </c>
      <c r="BQ4" s="81" t="s">
        <v>380</v>
      </c>
      <c r="CJ4" s="81" t="s">
        <v>324</v>
      </c>
      <c r="CK4" s="254">
        <f>AZ5</f>
        <v>0.55922140482267801</v>
      </c>
      <c r="CL4" s="254">
        <f>BN5</f>
        <v>0.318</v>
      </c>
      <c r="CM4" s="254">
        <f>CC7</f>
        <v>0.38</v>
      </c>
      <c r="CP4" s="258" t="s">
        <v>442</v>
      </c>
      <c r="CQ4" s="258" t="s">
        <v>433</v>
      </c>
      <c r="CR4" s="258" t="s">
        <v>443</v>
      </c>
      <c r="DJ4" s="308" t="s">
        <v>442</v>
      </c>
      <c r="DK4" s="308" t="s">
        <v>433</v>
      </c>
      <c r="DL4" s="308" t="s">
        <v>443</v>
      </c>
    </row>
    <row r="5" spans="1:138" ht="15" customHeight="1" thickTop="1" thickBot="1" x14ac:dyDescent="0.3">
      <c r="A5" s="186"/>
      <c r="B5" s="187"/>
      <c r="C5" s="187"/>
      <c r="D5" s="188"/>
      <c r="E5" s="189"/>
      <c r="F5" s="189"/>
      <c r="G5" s="189"/>
      <c r="H5" s="190"/>
      <c r="I5" s="189"/>
      <c r="K5" s="81" t="s">
        <v>10</v>
      </c>
      <c r="L5" s="211" t="s">
        <v>11</v>
      </c>
      <c r="M5" s="212" t="s">
        <v>12</v>
      </c>
      <c r="N5" s="212" t="s">
        <v>13</v>
      </c>
      <c r="O5" s="212" t="s">
        <v>14</v>
      </c>
      <c r="P5" s="21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8" t="s">
        <v>20</v>
      </c>
      <c r="Y5" s="229"/>
      <c r="Z5" s="230" t="s">
        <v>21</v>
      </c>
      <c r="AA5" s="231">
        <f>1/(1/10+SUM(AD9:AD12)+1/23)</f>
        <v>0.3127301569316186</v>
      </c>
      <c r="AB5" s="229" t="s">
        <v>5</v>
      </c>
      <c r="AC5" s="229"/>
      <c r="AD5" s="229" t="s">
        <v>22</v>
      </c>
      <c r="AE5" s="232">
        <f>SUM(AE7:AE10)</f>
        <v>56952</v>
      </c>
      <c r="AF5" s="14" t="s">
        <v>23</v>
      </c>
      <c r="AG5" s="14">
        <f>AE10</f>
        <v>16380</v>
      </c>
      <c r="AH5" s="14"/>
      <c r="AM5" s="159" t="s">
        <v>319</v>
      </c>
      <c r="AN5" s="81" t="s">
        <v>320</v>
      </c>
      <c r="AO5" s="81" t="s">
        <v>324</v>
      </c>
      <c r="AP5" s="81">
        <f>(2*O27+O30)/(SUM($O$6:$O$14,$O$26,O30)+2*SUM($O$27))</f>
        <v>0.55922140482267801</v>
      </c>
      <c r="AQ5" s="81" t="s">
        <v>322</v>
      </c>
      <c r="AR5" s="167">
        <v>0.42146270000000002</v>
      </c>
      <c r="AV5" s="168" t="s">
        <v>319</v>
      </c>
      <c r="AW5" s="168" t="s">
        <v>320</v>
      </c>
      <c r="AX5" s="168" t="s">
        <v>324</v>
      </c>
      <c r="AY5" s="169" t="s">
        <v>323</v>
      </c>
      <c r="AZ5" s="162">
        <f t="shared" ref="AZ5:AZ7" si="0">AP5</f>
        <v>0.55922140482267801</v>
      </c>
      <c r="BA5" s="168" t="s">
        <v>322</v>
      </c>
      <c r="BC5" s="81" t="s">
        <v>381</v>
      </c>
      <c r="BD5" s="81" t="s">
        <v>382</v>
      </c>
      <c r="BE5" s="81" t="s">
        <v>383</v>
      </c>
      <c r="BF5" s="81" t="s">
        <v>384</v>
      </c>
      <c r="BG5" s="81" t="s">
        <v>385</v>
      </c>
      <c r="BJ5" s="175" t="s">
        <v>319</v>
      </c>
      <c r="BK5" s="175" t="s">
        <v>320</v>
      </c>
      <c r="BL5" s="175" t="s">
        <v>324</v>
      </c>
      <c r="BM5" s="175" t="s">
        <v>323</v>
      </c>
      <c r="BN5" s="174">
        <f>BD12</f>
        <v>0.318</v>
      </c>
      <c r="BO5" s="175" t="s">
        <v>322</v>
      </c>
      <c r="BQ5" s="81" t="s">
        <v>381</v>
      </c>
      <c r="BR5" s="81" t="s">
        <v>382</v>
      </c>
      <c r="BS5" s="81" t="s">
        <v>383</v>
      </c>
      <c r="BT5" s="81" t="s">
        <v>384</v>
      </c>
      <c r="BU5" s="81" t="s">
        <v>385</v>
      </c>
      <c r="BV5" s="81" t="s">
        <v>386</v>
      </c>
      <c r="BY5" s="176" t="s">
        <v>318</v>
      </c>
      <c r="BZ5" s="176"/>
      <c r="CA5" s="176"/>
      <c r="CB5" s="176"/>
      <c r="CC5" s="177"/>
      <c r="CD5" s="176"/>
      <c r="CJ5" s="81" t="s">
        <v>325</v>
      </c>
      <c r="CK5" s="254">
        <f>AZ6</f>
        <v>3.2272287509326106E-2</v>
      </c>
      <c r="CL5" s="254">
        <f>BN6</f>
        <v>0.26200000000000001</v>
      </c>
      <c r="CM5" s="254">
        <f>CC8</f>
        <v>5.0500000000000003E-2</v>
      </c>
      <c r="CP5" s="258" t="s">
        <v>442</v>
      </c>
      <c r="CQ5" s="258" t="s">
        <v>380</v>
      </c>
      <c r="CX5" s="260" t="s">
        <v>467</v>
      </c>
      <c r="CY5" s="261" t="s">
        <v>468</v>
      </c>
      <c r="CZ5" s="261" t="s">
        <v>323</v>
      </c>
      <c r="DA5" s="262">
        <f>CR12</f>
        <v>7.8E-2</v>
      </c>
      <c r="DB5" s="260" t="s">
        <v>322</v>
      </c>
      <c r="DD5" s="170" t="s">
        <v>467</v>
      </c>
      <c r="DE5" s="291" t="s">
        <v>468</v>
      </c>
      <c r="DF5" s="291" t="s">
        <v>323</v>
      </c>
      <c r="DG5" s="170">
        <f>O11*Z37*AP4</f>
        <v>0.11916972903221339</v>
      </c>
      <c r="DH5" s="170" t="s">
        <v>322</v>
      </c>
      <c r="DJ5" s="308" t="s">
        <v>442</v>
      </c>
      <c r="DK5" s="308" t="s">
        <v>380</v>
      </c>
      <c r="DR5" s="309" t="s">
        <v>467</v>
      </c>
      <c r="DS5" s="310" t="s">
        <v>468</v>
      </c>
      <c r="DT5" s="310" t="s">
        <v>323</v>
      </c>
      <c r="DU5" s="311">
        <f>DL12</f>
        <v>7.7700000000000005E-2</v>
      </c>
      <c r="DV5" s="309" t="s">
        <v>322</v>
      </c>
      <c r="DX5" s="167">
        <f>DU5/DA5</f>
        <v>0.99615384615384617</v>
      </c>
      <c r="EH5" s="167">
        <f>DU5/DG5</f>
        <v>0.65201121653130989</v>
      </c>
    </row>
    <row r="6" spans="1:138" ht="15" customHeight="1" thickTop="1" thickBot="1" x14ac:dyDescent="0.3">
      <c r="A6" s="191" t="s">
        <v>34</v>
      </c>
      <c r="B6" s="192">
        <f>'Tabula data'!B4</f>
        <v>168.3</v>
      </c>
      <c r="C6" s="193" t="s">
        <v>9</v>
      </c>
      <c r="D6" s="194" t="s">
        <v>35</v>
      </c>
      <c r="E6" s="189" t="s">
        <v>36</v>
      </c>
      <c r="F6" s="195">
        <f t="shared" ref="F6:F13" si="1">H6/$G$4</f>
        <v>0.11680327868852459</v>
      </c>
      <c r="G6" s="189"/>
      <c r="H6" s="196">
        <f>'Tabula data'!B21*'Tabula RefULG 1'!C45</f>
        <v>2.85</v>
      </c>
      <c r="I6" s="208"/>
      <c r="K6" s="81" t="s">
        <v>24</v>
      </c>
      <c r="L6" s="214">
        <v>0</v>
      </c>
      <c r="M6" s="215">
        <v>1</v>
      </c>
      <c r="N6" s="215" t="s">
        <v>25</v>
      </c>
      <c r="O6" s="216">
        <f>'Tabula data'!B10*C42/2*C43</f>
        <v>15.214497920380273</v>
      </c>
      <c r="P6" s="217" t="s">
        <v>26</v>
      </c>
      <c r="Q6" s="30">
        <f t="shared" ref="Q6:Q27" si="2">VLOOKUP(N6,$X$5:$AA$391,4,0)</f>
        <v>0.99033657090706906</v>
      </c>
      <c r="R6" s="30">
        <f t="shared" ref="R6:R27" si="3">Q6*O6</f>
        <v>15.067473698542132</v>
      </c>
      <c r="S6" s="30">
        <f t="shared" ref="S6:S14" si="4">VLOOKUP(N6,$X$5:$AE$391,8,0)*O6</f>
        <v>6767442.1468805717</v>
      </c>
      <c r="T6" s="30">
        <f t="shared" ref="T6:T14" si="5">S6/O6</f>
        <v>444802.20000000007</v>
      </c>
      <c r="U6" s="30">
        <f t="shared" ref="U6:U14" si="6">VLOOKUP(N6,$X$5:$AG$391,10,0)*O6</f>
        <v>2754128.4135472374</v>
      </c>
      <c r="V6" s="31"/>
      <c r="W6" s="153"/>
      <c r="X6" s="233"/>
      <c r="Y6" s="234" t="s">
        <v>27</v>
      </c>
      <c r="Z6" s="234" t="s">
        <v>28</v>
      </c>
      <c r="AA6" s="234" t="s">
        <v>29</v>
      </c>
      <c r="AB6" s="234" t="s">
        <v>30</v>
      </c>
      <c r="AC6" s="234" t="s">
        <v>31</v>
      </c>
      <c r="AD6" s="234" t="s">
        <v>32</v>
      </c>
      <c r="AE6" s="235" t="s">
        <v>33</v>
      </c>
      <c r="AF6" s="14"/>
      <c r="AG6" s="14"/>
      <c r="AH6" s="14"/>
      <c r="AM6" s="159" t="s">
        <v>319</v>
      </c>
      <c r="AN6" s="81" t="s">
        <v>320</v>
      </c>
      <c r="AO6" s="81" t="s">
        <v>325</v>
      </c>
      <c r="AP6" s="81">
        <f>SUM(O10:O13)/(SUM($O$6:$O$14,$O$26,O30)+2*SUM($O$27))</f>
        <v>3.2272287509326106E-2</v>
      </c>
      <c r="AQ6" s="81" t="s">
        <v>322</v>
      </c>
      <c r="AR6" s="167">
        <v>0.13510150000000001</v>
      </c>
      <c r="AV6" s="168" t="s">
        <v>319</v>
      </c>
      <c r="AW6" s="168" t="s">
        <v>320</v>
      </c>
      <c r="AX6" s="168" t="s">
        <v>325</v>
      </c>
      <c r="AY6" s="169" t="s">
        <v>323</v>
      </c>
      <c r="AZ6" s="162">
        <f t="shared" si="0"/>
        <v>3.2272287509326106E-2</v>
      </c>
      <c r="BA6" s="168" t="s">
        <v>322</v>
      </c>
      <c r="BC6" s="81" t="s">
        <v>387</v>
      </c>
      <c r="BD6" s="167">
        <v>299</v>
      </c>
      <c r="BE6" s="167">
        <v>9.6299999999999997E-2</v>
      </c>
      <c r="BF6" s="81">
        <v>3101.23</v>
      </c>
      <c r="BG6" s="81" t="s">
        <v>388</v>
      </c>
      <c r="BJ6" s="175" t="s">
        <v>319</v>
      </c>
      <c r="BK6" s="175" t="s">
        <v>320</v>
      </c>
      <c r="BL6" s="175" t="s">
        <v>325</v>
      </c>
      <c r="BM6" s="175" t="s">
        <v>323</v>
      </c>
      <c r="BN6" s="174">
        <f>BD13</f>
        <v>0.26200000000000001</v>
      </c>
      <c r="BO6" s="175" t="s">
        <v>322</v>
      </c>
      <c r="BQ6" s="81" t="s">
        <v>387</v>
      </c>
      <c r="BR6" s="167">
        <v>291</v>
      </c>
      <c r="BS6" s="167">
        <v>0.14199999999999999</v>
      </c>
      <c r="BT6" s="81">
        <v>2053.1799999999998</v>
      </c>
      <c r="BU6" s="81" t="s">
        <v>422</v>
      </c>
      <c r="BV6" s="167">
        <v>2E-16</v>
      </c>
      <c r="BW6" s="81" t="s">
        <v>389</v>
      </c>
      <c r="BY6" s="178" t="s">
        <v>319</v>
      </c>
      <c r="BZ6" s="178" t="s">
        <v>320</v>
      </c>
      <c r="CA6" s="178" t="s">
        <v>321</v>
      </c>
      <c r="CB6" s="178" t="s">
        <v>323</v>
      </c>
      <c r="CC6" s="177">
        <f>BR11</f>
        <v>0.19</v>
      </c>
      <c r="CD6" s="178" t="s">
        <v>322</v>
      </c>
      <c r="CJ6" s="81" t="s">
        <v>326</v>
      </c>
      <c r="CK6" s="254">
        <f>AZ7</f>
        <v>0.16400670701460809</v>
      </c>
      <c r="CL6" s="254">
        <f>BN7</f>
        <v>0.156</v>
      </c>
      <c r="CM6" s="254">
        <f>CC9</f>
        <v>0.20300000000000001</v>
      </c>
      <c r="CP6" s="258" t="s">
        <v>442</v>
      </c>
      <c r="CQ6" s="258" t="s">
        <v>381</v>
      </c>
      <c r="CR6" s="258" t="s">
        <v>382</v>
      </c>
      <c r="CS6" s="258" t="s">
        <v>383</v>
      </c>
      <c r="CT6" s="258" t="s">
        <v>384</v>
      </c>
      <c r="CU6" s="258" t="s">
        <v>385</v>
      </c>
      <c r="CV6" s="81" t="s">
        <v>386</v>
      </c>
      <c r="CX6" s="260" t="s">
        <v>467</v>
      </c>
      <c r="CY6" s="261" t="s">
        <v>469</v>
      </c>
      <c r="CZ6" s="261" t="s">
        <v>323</v>
      </c>
      <c r="DA6" s="262">
        <f t="shared" ref="DA6:DA24" si="7">CR13</f>
        <v>9.8799999999999999E-2</v>
      </c>
      <c r="DB6" s="260" t="s">
        <v>322</v>
      </c>
      <c r="DD6" s="170" t="s">
        <v>467</v>
      </c>
      <c r="DE6" s="291" t="s">
        <v>469</v>
      </c>
      <c r="DF6" s="291" t="s">
        <v>323</v>
      </c>
      <c r="DG6" s="170">
        <f>O10*Z37*AP4</f>
        <v>0.10782023102914545</v>
      </c>
      <c r="DH6" s="170" t="s">
        <v>322</v>
      </c>
      <c r="DJ6" s="308" t="s">
        <v>442</v>
      </c>
      <c r="DK6" s="308" t="s">
        <v>381</v>
      </c>
      <c r="DL6" s="308" t="s">
        <v>382</v>
      </c>
      <c r="DM6" s="308" t="s">
        <v>383</v>
      </c>
      <c r="DN6" s="308" t="s">
        <v>384</v>
      </c>
      <c r="DO6" s="308" t="s">
        <v>385</v>
      </c>
      <c r="DP6" s="308" t="s">
        <v>386</v>
      </c>
      <c r="DR6" s="309" t="s">
        <v>467</v>
      </c>
      <c r="DS6" s="310" t="s">
        <v>469</v>
      </c>
      <c r="DT6" s="310" t="s">
        <v>323</v>
      </c>
      <c r="DU6" s="311">
        <f t="shared" ref="DU6:DU15" si="8">DL13</f>
        <v>0.13500000000000001</v>
      </c>
      <c r="DV6" s="309" t="s">
        <v>322</v>
      </c>
      <c r="DX6" s="167">
        <f t="shared" ref="DX6:DX68" si="9">DU6/DA6</f>
        <v>1.3663967611336034</v>
      </c>
      <c r="EH6" s="167">
        <f t="shared" ref="EH6:EH68" si="10">DU6/DG6</f>
        <v>1.2520841284740658</v>
      </c>
    </row>
    <row r="7" spans="1:138" ht="15" customHeight="1" thickTop="1" thickBot="1" x14ac:dyDescent="0.3">
      <c r="A7" s="194" t="s">
        <v>42</v>
      </c>
      <c r="B7" s="197">
        <f>'Tabula data'!B14</f>
        <v>62</v>
      </c>
      <c r="C7" s="198" t="s">
        <v>9</v>
      </c>
      <c r="D7" s="194" t="s">
        <v>43</v>
      </c>
      <c r="E7" s="189" t="s">
        <v>36</v>
      </c>
      <c r="F7" s="195">
        <f t="shared" si="1"/>
        <v>0.12909836065573771</v>
      </c>
      <c r="G7" s="189"/>
      <c r="H7" s="196">
        <f>'Tabula data'!B22*'Tabula RefULG 1'!C45</f>
        <v>3.15</v>
      </c>
      <c r="I7" s="208"/>
      <c r="K7" s="81" t="s">
        <v>38</v>
      </c>
      <c r="L7" s="218">
        <v>0</v>
      </c>
      <c r="M7" s="219">
        <v>1</v>
      </c>
      <c r="N7" s="219" t="s">
        <v>25</v>
      </c>
      <c r="O7" s="220">
        <f>'Tabula data'!B10*(1-C42)/2*C44</f>
        <v>0</v>
      </c>
      <c r="P7" s="221" t="s">
        <v>39</v>
      </c>
      <c r="Q7" s="30">
        <f t="shared" si="2"/>
        <v>0.99033657090706906</v>
      </c>
      <c r="R7" s="30">
        <f t="shared" si="3"/>
        <v>0</v>
      </c>
      <c r="S7" s="30">
        <f t="shared" si="4"/>
        <v>0</v>
      </c>
      <c r="T7" s="30" t="e">
        <f t="shared" si="5"/>
        <v>#DIV/0!</v>
      </c>
      <c r="U7" s="30">
        <f t="shared" si="6"/>
        <v>0</v>
      </c>
      <c r="V7" s="31"/>
      <c r="W7" s="153"/>
      <c r="X7" s="188"/>
      <c r="Y7" s="189" t="s">
        <v>40</v>
      </c>
      <c r="Z7" s="189">
        <v>2.5000000000000001E-2</v>
      </c>
      <c r="AA7" s="189">
        <v>1.3</v>
      </c>
      <c r="AB7" s="189">
        <v>1700</v>
      </c>
      <c r="AC7" s="189">
        <v>840</v>
      </c>
      <c r="AD7" s="236">
        <f>Z7/AA7</f>
        <v>1.9230769230769232E-2</v>
      </c>
      <c r="AE7" s="190">
        <f>Z7*AB7*AC7</f>
        <v>35700</v>
      </c>
      <c r="AF7" s="14" t="s">
        <v>41</v>
      </c>
      <c r="AG7" s="14"/>
      <c r="AH7" s="14"/>
      <c r="AM7" s="159" t="s">
        <v>319</v>
      </c>
      <c r="AN7" s="81" t="s">
        <v>320</v>
      </c>
      <c r="AO7" s="81" t="s">
        <v>326</v>
      </c>
      <c r="AP7" s="81">
        <f>SUM(O14)/(SUM($O$6:$O$14,$O$26,O30)+2*SUM($O$27))</f>
        <v>0.16400670701460809</v>
      </c>
      <c r="AQ7" s="81" t="s">
        <v>322</v>
      </c>
      <c r="AR7" s="167">
        <v>0.161666</v>
      </c>
      <c r="AV7" s="168" t="s">
        <v>319</v>
      </c>
      <c r="AW7" s="168" t="s">
        <v>320</v>
      </c>
      <c r="AX7" s="168" t="s">
        <v>326</v>
      </c>
      <c r="AY7" s="169" t="s">
        <v>323</v>
      </c>
      <c r="AZ7" s="162">
        <f t="shared" si="0"/>
        <v>0.16400670701460809</v>
      </c>
      <c r="BA7" s="168" t="s">
        <v>322</v>
      </c>
      <c r="BC7" s="81" t="s">
        <v>390</v>
      </c>
      <c r="BD7" s="167">
        <v>295</v>
      </c>
      <c r="BE7" s="167">
        <v>4.9200000000000001E-2</v>
      </c>
      <c r="BF7" s="81">
        <v>5996.7</v>
      </c>
      <c r="BG7" s="81" t="s">
        <v>388</v>
      </c>
      <c r="BJ7" s="175" t="s">
        <v>319</v>
      </c>
      <c r="BK7" s="175" t="s">
        <v>320</v>
      </c>
      <c r="BL7" s="175" t="s">
        <v>326</v>
      </c>
      <c r="BM7" s="175" t="s">
        <v>323</v>
      </c>
      <c r="BN7" s="174">
        <f>BD14</f>
        <v>0.156</v>
      </c>
      <c r="BO7" s="175" t="s">
        <v>322</v>
      </c>
      <c r="BQ7" s="81" t="s">
        <v>390</v>
      </c>
      <c r="BR7" s="167">
        <v>289</v>
      </c>
      <c r="BS7" s="167">
        <v>0.112</v>
      </c>
      <c r="BT7" s="81">
        <v>2573.84</v>
      </c>
      <c r="BU7" s="81" t="s">
        <v>422</v>
      </c>
      <c r="BV7" s="167">
        <v>2E-16</v>
      </c>
      <c r="BW7" s="81" t="s">
        <v>389</v>
      </c>
      <c r="BY7" s="178" t="s">
        <v>319</v>
      </c>
      <c r="BZ7" s="178" t="s">
        <v>320</v>
      </c>
      <c r="CA7" s="178" t="s">
        <v>324</v>
      </c>
      <c r="CB7" s="178" t="s">
        <v>323</v>
      </c>
      <c r="CC7" s="177">
        <f t="shared" ref="CC7:CC9" si="11">BR12</f>
        <v>0.38</v>
      </c>
      <c r="CD7" s="178" t="s">
        <v>322</v>
      </c>
      <c r="CK7" s="255"/>
      <c r="CL7" s="255"/>
      <c r="CM7" s="255"/>
      <c r="CP7" s="258" t="s">
        <v>442</v>
      </c>
      <c r="CQ7" s="258" t="s">
        <v>387</v>
      </c>
      <c r="CR7" s="259">
        <v>293</v>
      </c>
      <c r="CS7" s="259">
        <v>4.2799999999999998E-2</v>
      </c>
      <c r="CT7" s="258">
        <v>6843.7</v>
      </c>
      <c r="CU7" s="258" t="s">
        <v>422</v>
      </c>
      <c r="CV7" s="167">
        <v>2E-16</v>
      </c>
      <c r="CW7" s="81" t="s">
        <v>389</v>
      </c>
      <c r="CX7" s="260" t="s">
        <v>467</v>
      </c>
      <c r="CY7" s="263" t="s">
        <v>470</v>
      </c>
      <c r="CZ7" s="261" t="s">
        <v>323</v>
      </c>
      <c r="DA7" s="262">
        <f t="shared" si="7"/>
        <v>8.5300000000000001E-2</v>
      </c>
      <c r="DB7" s="260" t="s">
        <v>322</v>
      </c>
      <c r="DD7" s="170" t="s">
        <v>467</v>
      </c>
      <c r="DE7" s="292" t="s">
        <v>470</v>
      </c>
      <c r="DF7" s="291" t="s">
        <v>323</v>
      </c>
      <c r="DG7" s="170">
        <f>O12*Z37*AP4</f>
        <v>0.11160339703016811</v>
      </c>
      <c r="DH7" s="170" t="s">
        <v>322</v>
      </c>
      <c r="DJ7" s="308" t="s">
        <v>442</v>
      </c>
      <c r="DK7" s="308" t="s">
        <v>387</v>
      </c>
      <c r="DL7" s="312">
        <v>294</v>
      </c>
      <c r="DM7" s="312">
        <v>0.129</v>
      </c>
      <c r="DN7" s="308">
        <v>2267.91</v>
      </c>
      <c r="DO7" s="308" t="s">
        <v>422</v>
      </c>
      <c r="DP7" s="312">
        <v>2E-16</v>
      </c>
      <c r="DQ7" s="308" t="s">
        <v>389</v>
      </c>
      <c r="DR7" s="309" t="s">
        <v>467</v>
      </c>
      <c r="DS7" s="313" t="s">
        <v>470</v>
      </c>
      <c r="DT7" s="310" t="s">
        <v>323</v>
      </c>
      <c r="DU7" s="311">
        <f t="shared" si="8"/>
        <v>9.1700000000000004E-2</v>
      </c>
      <c r="DV7" s="309" t="s">
        <v>322</v>
      </c>
      <c r="DX7" s="167">
        <f t="shared" si="9"/>
        <v>1.075029308323564</v>
      </c>
      <c r="EH7" s="167">
        <f t="shared" si="10"/>
        <v>0.82165957703968528</v>
      </c>
    </row>
    <row r="8" spans="1:138" ht="15" customHeight="1" thickTop="1" thickBot="1" x14ac:dyDescent="0.3">
      <c r="A8" s="194" t="s">
        <v>47</v>
      </c>
      <c r="B8" s="197">
        <f>B6-B7</f>
        <v>106.30000000000001</v>
      </c>
      <c r="C8" s="189" t="s">
        <v>9</v>
      </c>
      <c r="D8" s="194" t="s">
        <v>48</v>
      </c>
      <c r="E8" s="189" t="s">
        <v>36</v>
      </c>
      <c r="F8" s="195">
        <f t="shared" si="1"/>
        <v>0.1209016393442623</v>
      </c>
      <c r="G8" s="189"/>
      <c r="H8" s="196">
        <f>'Tabula data'!B23*C45</f>
        <v>2.95</v>
      </c>
      <c r="I8" s="208"/>
      <c r="K8" s="81" t="s">
        <v>44</v>
      </c>
      <c r="L8" s="218">
        <v>0</v>
      </c>
      <c r="M8" s="219">
        <v>1</v>
      </c>
      <c r="N8" s="219" t="s">
        <v>25</v>
      </c>
      <c r="O8" s="220">
        <f>O6</f>
        <v>15.214497920380273</v>
      </c>
      <c r="P8" s="221" t="s">
        <v>45</v>
      </c>
      <c r="Q8" s="30">
        <f t="shared" si="2"/>
        <v>0.99033657090706906</v>
      </c>
      <c r="R8" s="30">
        <f t="shared" si="3"/>
        <v>15.067473698542132</v>
      </c>
      <c r="S8" s="30">
        <f t="shared" si="4"/>
        <v>6767442.1468805717</v>
      </c>
      <c r="T8" s="30">
        <f t="shared" si="5"/>
        <v>444802.20000000007</v>
      </c>
      <c r="U8" s="30">
        <f t="shared" si="6"/>
        <v>2754128.4135472374</v>
      </c>
      <c r="V8" s="31"/>
      <c r="W8" s="153"/>
      <c r="X8" s="188"/>
      <c r="Y8" s="189" t="s">
        <v>46</v>
      </c>
      <c r="Z8" s="189">
        <v>0.03</v>
      </c>
      <c r="AA8" s="189">
        <f>0.18/Z8</f>
        <v>6</v>
      </c>
      <c r="AB8" s="189">
        <v>0</v>
      </c>
      <c r="AC8" s="189">
        <v>0</v>
      </c>
      <c r="AD8" s="236">
        <v>0.18</v>
      </c>
      <c r="AE8" s="190">
        <f>Z8*AB8*AC8</f>
        <v>0</v>
      </c>
      <c r="AF8" s="14"/>
      <c r="AG8" s="14"/>
      <c r="AH8" s="14"/>
      <c r="AQ8" s="81" t="s">
        <v>322</v>
      </c>
      <c r="AR8" s="167"/>
      <c r="AV8" s="168"/>
      <c r="AW8" s="168"/>
      <c r="AX8" s="168"/>
      <c r="AY8" s="169"/>
      <c r="BA8" s="168"/>
      <c r="BC8" s="81" t="s">
        <v>391</v>
      </c>
      <c r="BD8" s="167">
        <v>299</v>
      </c>
      <c r="BE8" s="167">
        <v>2.6599999999999999E-2</v>
      </c>
      <c r="BF8" s="81">
        <v>11253.68</v>
      </c>
      <c r="BG8" s="81" t="s">
        <v>388</v>
      </c>
      <c r="BJ8" s="175"/>
      <c r="BK8" s="175"/>
      <c r="BL8" s="175"/>
      <c r="BM8" s="175"/>
      <c r="BN8" s="174"/>
      <c r="BO8" s="175"/>
      <c r="BQ8" s="81" t="s">
        <v>391</v>
      </c>
      <c r="BR8" s="167">
        <v>295</v>
      </c>
      <c r="BS8" s="167">
        <v>5.5100000000000003E-2</v>
      </c>
      <c r="BT8" s="81">
        <v>5345.13</v>
      </c>
      <c r="BU8" s="81" t="s">
        <v>422</v>
      </c>
      <c r="BV8" s="167">
        <v>2E-16</v>
      </c>
      <c r="BW8" s="81" t="s">
        <v>389</v>
      </c>
      <c r="BY8" s="178" t="s">
        <v>319</v>
      </c>
      <c r="BZ8" s="178" t="s">
        <v>320</v>
      </c>
      <c r="CA8" s="178" t="s">
        <v>325</v>
      </c>
      <c r="CB8" s="178" t="s">
        <v>323</v>
      </c>
      <c r="CC8" s="177">
        <f t="shared" si="11"/>
        <v>5.0500000000000003E-2</v>
      </c>
      <c r="CD8" s="178" t="s">
        <v>322</v>
      </c>
      <c r="CJ8" s="81" t="s">
        <v>327</v>
      </c>
      <c r="CK8" s="256">
        <f>AZ9</f>
        <v>897190.73464052298</v>
      </c>
      <c r="CL8" s="256">
        <f>BN9</f>
        <v>2950000</v>
      </c>
      <c r="CM8" s="256">
        <f>CC11</f>
        <v>3560000</v>
      </c>
      <c r="CP8" s="258" t="s">
        <v>442</v>
      </c>
      <c r="CQ8" s="258" t="s">
        <v>390</v>
      </c>
      <c r="CR8" s="259">
        <v>290</v>
      </c>
      <c r="CS8" s="259">
        <v>3.9E-2</v>
      </c>
      <c r="CT8" s="258">
        <v>7435.82</v>
      </c>
      <c r="CU8" s="258" t="s">
        <v>422</v>
      </c>
      <c r="CV8" s="167">
        <v>2E-16</v>
      </c>
      <c r="CW8" s="81" t="s">
        <v>389</v>
      </c>
      <c r="CX8" s="260" t="s">
        <v>467</v>
      </c>
      <c r="CY8" s="264" t="s">
        <v>471</v>
      </c>
      <c r="CZ8" s="261" t="s">
        <v>323</v>
      </c>
      <c r="DA8" s="262">
        <f t="shared" si="7"/>
        <v>4.7E-2</v>
      </c>
      <c r="DB8" s="260" t="s">
        <v>322</v>
      </c>
      <c r="DD8" s="170" t="s">
        <v>467</v>
      </c>
      <c r="DE8" s="293" t="s">
        <v>471</v>
      </c>
      <c r="DF8" s="291" t="s">
        <v>323</v>
      </c>
      <c r="DG8" s="170">
        <f>O13*Z37*AP4</f>
        <v>0.12295289503323603</v>
      </c>
      <c r="DH8" s="170" t="s">
        <v>322</v>
      </c>
      <c r="DJ8" s="308" t="s">
        <v>442</v>
      </c>
      <c r="DK8" s="308" t="s">
        <v>390</v>
      </c>
      <c r="DL8" s="312">
        <v>290</v>
      </c>
      <c r="DM8" s="312">
        <v>7.17E-2</v>
      </c>
      <c r="DN8" s="308">
        <v>4046.41</v>
      </c>
      <c r="DO8" s="308" t="s">
        <v>422</v>
      </c>
      <c r="DP8" s="312">
        <v>2E-16</v>
      </c>
      <c r="DQ8" s="308" t="s">
        <v>389</v>
      </c>
      <c r="DR8" s="309" t="s">
        <v>467</v>
      </c>
      <c r="DS8" s="314" t="s">
        <v>471</v>
      </c>
      <c r="DT8" s="310" t="s">
        <v>323</v>
      </c>
      <c r="DU8" s="311">
        <f t="shared" si="8"/>
        <v>4.48E-2</v>
      </c>
      <c r="DV8" s="309" t="s">
        <v>322</v>
      </c>
      <c r="DX8" s="167">
        <f t="shared" si="9"/>
        <v>0.95319148936170217</v>
      </c>
      <c r="EH8" s="167">
        <f t="shared" si="10"/>
        <v>0.36436718295970077</v>
      </c>
    </row>
    <row r="9" spans="1:138" ht="15" customHeight="1" thickTop="1" thickBot="1" x14ac:dyDescent="0.3">
      <c r="A9" s="188"/>
      <c r="B9" s="189"/>
      <c r="C9" s="189"/>
      <c r="D9" s="194" t="s">
        <v>52</v>
      </c>
      <c r="E9" s="199" t="s">
        <v>36</v>
      </c>
      <c r="F9" s="195">
        <f t="shared" si="1"/>
        <v>0.13319672131147542</v>
      </c>
      <c r="G9" s="189"/>
      <c r="H9" s="196">
        <f>'Tabula data'!B24*'Tabula RefULG 1'!C45</f>
        <v>3.25</v>
      </c>
      <c r="I9" s="208"/>
      <c r="K9" s="81" t="s">
        <v>49</v>
      </c>
      <c r="L9" s="218">
        <v>0</v>
      </c>
      <c r="M9" s="219">
        <v>1</v>
      </c>
      <c r="N9" s="219" t="s">
        <v>25</v>
      </c>
      <c r="O9" s="220">
        <f>'Tabula data'!B10*(1-C42)/2*C44</f>
        <v>0</v>
      </c>
      <c r="P9" s="221" t="s">
        <v>50</v>
      </c>
      <c r="Q9" s="30">
        <f t="shared" si="2"/>
        <v>0.99033657090706906</v>
      </c>
      <c r="R9" s="30">
        <f t="shared" si="3"/>
        <v>0</v>
      </c>
      <c r="S9" s="30">
        <f t="shared" si="4"/>
        <v>0</v>
      </c>
      <c r="T9" s="30" t="e">
        <f t="shared" si="5"/>
        <v>#DIV/0!</v>
      </c>
      <c r="U9" s="30">
        <f t="shared" si="6"/>
        <v>0</v>
      </c>
      <c r="V9" s="31"/>
      <c r="W9" s="153"/>
      <c r="X9" s="188"/>
      <c r="Y9" s="199" t="s">
        <v>51</v>
      </c>
      <c r="Z9" s="286">
        <v>7.2499999999999995E-2</v>
      </c>
      <c r="AA9" s="286">
        <v>2.4E-2</v>
      </c>
      <c r="AB9" s="189">
        <v>80</v>
      </c>
      <c r="AC9" s="189">
        <v>840</v>
      </c>
      <c r="AD9" s="236">
        <f>Z9/AA9</f>
        <v>3.020833333333333</v>
      </c>
      <c r="AE9" s="190">
        <f>Z9*AB9*AC9</f>
        <v>4872</v>
      </c>
      <c r="AF9" s="149" t="s">
        <v>270</v>
      </c>
      <c r="AG9" s="14"/>
      <c r="AH9" s="14"/>
      <c r="AM9" s="159" t="s">
        <v>319</v>
      </c>
      <c r="AN9" s="81" t="s">
        <v>320</v>
      </c>
      <c r="AO9" s="81" t="s">
        <v>327</v>
      </c>
      <c r="AP9" s="167">
        <f>B34*1.04*1012*5</f>
        <v>897190.73464052298</v>
      </c>
      <c r="AQ9" s="81" t="s">
        <v>322</v>
      </c>
      <c r="AR9" s="167">
        <v>2745646</v>
      </c>
      <c r="AV9" s="168" t="s">
        <v>319</v>
      </c>
      <c r="AW9" s="168" t="s">
        <v>320</v>
      </c>
      <c r="AX9" s="168" t="s">
        <v>327</v>
      </c>
      <c r="AY9" s="169" t="s">
        <v>323</v>
      </c>
      <c r="AZ9" s="162">
        <f>AP9</f>
        <v>897190.73464052298</v>
      </c>
      <c r="BA9" s="168" t="s">
        <v>322</v>
      </c>
      <c r="BC9" s="81" t="s">
        <v>392</v>
      </c>
      <c r="BD9" s="167">
        <v>297</v>
      </c>
      <c r="BE9" s="167">
        <v>9.3200000000000005E-2</v>
      </c>
      <c r="BF9" s="81">
        <v>3182.59</v>
      </c>
      <c r="BG9" s="81" t="s">
        <v>388</v>
      </c>
      <c r="BJ9" s="175" t="s">
        <v>319</v>
      </c>
      <c r="BK9" s="175" t="s">
        <v>320</v>
      </c>
      <c r="BL9" s="175" t="s">
        <v>327</v>
      </c>
      <c r="BM9" s="175" t="s">
        <v>323</v>
      </c>
      <c r="BN9" s="174">
        <f>BD19</f>
        <v>2950000</v>
      </c>
      <c r="BO9" s="175" t="s">
        <v>322</v>
      </c>
      <c r="BQ9" s="81" t="s">
        <v>392</v>
      </c>
      <c r="BR9" s="167">
        <v>290</v>
      </c>
      <c r="BS9" s="167">
        <v>0.124</v>
      </c>
      <c r="BT9" s="81">
        <v>2333.5300000000002</v>
      </c>
      <c r="BU9" s="81" t="s">
        <v>422</v>
      </c>
      <c r="BV9" s="167">
        <v>2E-16</v>
      </c>
      <c r="BW9" s="81" t="s">
        <v>389</v>
      </c>
      <c r="BY9" s="178" t="s">
        <v>319</v>
      </c>
      <c r="BZ9" s="178" t="s">
        <v>320</v>
      </c>
      <c r="CA9" s="178" t="s">
        <v>326</v>
      </c>
      <c r="CB9" s="178" t="s">
        <v>323</v>
      </c>
      <c r="CC9" s="177">
        <f t="shared" si="11"/>
        <v>0.20300000000000001</v>
      </c>
      <c r="CD9" s="178" t="s">
        <v>322</v>
      </c>
      <c r="CJ9" s="81" t="s">
        <v>328</v>
      </c>
      <c r="CK9" s="256">
        <f>AZ10</f>
        <v>5508256.8270944748</v>
      </c>
      <c r="CL9" s="256">
        <f>BN10</f>
        <v>23100000</v>
      </c>
      <c r="CM9" s="256">
        <f>CC12</f>
        <v>32200000</v>
      </c>
      <c r="CP9" s="258" t="s">
        <v>442</v>
      </c>
      <c r="CQ9" s="258" t="s">
        <v>391</v>
      </c>
      <c r="CR9" s="259">
        <v>295</v>
      </c>
      <c r="CS9" s="259">
        <v>3.0800000000000001E-2</v>
      </c>
      <c r="CT9" s="258">
        <v>9574.61</v>
      </c>
      <c r="CU9" s="258" t="s">
        <v>422</v>
      </c>
      <c r="CV9" s="167">
        <v>2E-16</v>
      </c>
      <c r="CW9" s="81" t="s">
        <v>389</v>
      </c>
      <c r="CX9" s="260" t="s">
        <v>467</v>
      </c>
      <c r="CY9" s="264" t="s">
        <v>472</v>
      </c>
      <c r="CZ9" s="261" t="s">
        <v>323</v>
      </c>
      <c r="DA9" s="262">
        <f t="shared" si="7"/>
        <v>0.46899999999999997</v>
      </c>
      <c r="DB9" s="260" t="s">
        <v>322</v>
      </c>
      <c r="DD9" s="170" t="s">
        <v>467</v>
      </c>
      <c r="DE9" s="293" t="s">
        <v>472</v>
      </c>
      <c r="DF9" s="291" t="s">
        <v>323</v>
      </c>
      <c r="DG9" s="170">
        <f>O11*Z37*AP5</f>
        <v>0.82792728983997477</v>
      </c>
      <c r="DH9" s="170" t="s">
        <v>322</v>
      </c>
      <c r="DJ9" s="308" t="s">
        <v>442</v>
      </c>
      <c r="DK9" s="308" t="s">
        <v>391</v>
      </c>
      <c r="DL9" s="312">
        <v>296</v>
      </c>
      <c r="DM9" s="312">
        <v>3.7999999999999999E-2</v>
      </c>
      <c r="DN9" s="308">
        <v>7788.79</v>
      </c>
      <c r="DO9" s="308" t="s">
        <v>422</v>
      </c>
      <c r="DP9" s="312">
        <v>2E-16</v>
      </c>
      <c r="DQ9" s="308" t="s">
        <v>389</v>
      </c>
      <c r="DR9" s="309" t="s">
        <v>467</v>
      </c>
      <c r="DS9" s="314" t="s">
        <v>472</v>
      </c>
      <c r="DT9" s="310" t="s">
        <v>323</v>
      </c>
      <c r="DU9" s="311">
        <f t="shared" si="8"/>
        <v>0.44500000000000001</v>
      </c>
      <c r="DV9" s="309" t="s">
        <v>322</v>
      </c>
      <c r="DX9" s="167">
        <f t="shared" si="9"/>
        <v>0.94882729211087424</v>
      </c>
      <c r="EH9" s="167">
        <f t="shared" si="10"/>
        <v>0.53748681250259478</v>
      </c>
    </row>
    <row r="10" spans="1:138" ht="15" customHeight="1" thickTop="1" thickBot="1" x14ac:dyDescent="0.3">
      <c r="A10" s="188"/>
      <c r="B10" s="189"/>
      <c r="C10" s="189"/>
      <c r="D10" s="194" t="s">
        <v>35</v>
      </c>
      <c r="E10" s="199" t="s">
        <v>56</v>
      </c>
      <c r="F10" s="195">
        <f t="shared" si="1"/>
        <v>0.11680327868852459</v>
      </c>
      <c r="G10" s="189"/>
      <c r="H10" s="200">
        <f>'Tabula data'!B21*(1-C45)</f>
        <v>2.85</v>
      </c>
      <c r="I10" s="206"/>
      <c r="K10" s="81" t="s">
        <v>53</v>
      </c>
      <c r="L10" s="218">
        <v>0</v>
      </c>
      <c r="M10" s="219">
        <v>1</v>
      </c>
      <c r="N10" s="219" t="s">
        <v>54</v>
      </c>
      <c r="O10" s="220">
        <f>H6</f>
        <v>2.85</v>
      </c>
      <c r="P10" s="221" t="s">
        <v>26</v>
      </c>
      <c r="Q10" s="30">
        <f t="shared" si="2"/>
        <v>2</v>
      </c>
      <c r="R10" s="30">
        <f t="shared" si="3"/>
        <v>5.7</v>
      </c>
      <c r="S10" s="30">
        <f t="shared" si="4"/>
        <v>0</v>
      </c>
      <c r="T10" s="30">
        <f t="shared" si="5"/>
        <v>0</v>
      </c>
      <c r="U10" s="30">
        <f t="shared" si="6"/>
        <v>0</v>
      </c>
      <c r="V10" s="31"/>
      <c r="W10" s="153"/>
      <c r="X10" s="205"/>
      <c r="Y10" s="187" t="s">
        <v>58</v>
      </c>
      <c r="Z10" s="187">
        <v>0.02</v>
      </c>
      <c r="AA10" s="187">
        <v>0.6</v>
      </c>
      <c r="AB10" s="187">
        <v>975</v>
      </c>
      <c r="AC10" s="187">
        <v>840</v>
      </c>
      <c r="AD10" s="237">
        <f>Z10/AA10</f>
        <v>3.3333333333333333E-2</v>
      </c>
      <c r="AE10" s="210">
        <f>Z10*AB10*AC10</f>
        <v>16380</v>
      </c>
      <c r="AF10" s="14"/>
      <c r="AG10" s="14"/>
      <c r="AH10" s="14"/>
      <c r="AM10" s="159" t="s">
        <v>319</v>
      </c>
      <c r="AN10" s="81" t="s">
        <v>320</v>
      </c>
      <c r="AO10" s="81" t="s">
        <v>328</v>
      </c>
      <c r="AP10" s="167">
        <f>SUM(U6:U9)</f>
        <v>5508256.8270944748</v>
      </c>
      <c r="AQ10" s="81" t="s">
        <v>322</v>
      </c>
      <c r="AR10" s="167">
        <v>14395560</v>
      </c>
      <c r="AV10" s="168" t="s">
        <v>319</v>
      </c>
      <c r="AW10" s="168" t="s">
        <v>320</v>
      </c>
      <c r="AX10" s="168" t="s">
        <v>328</v>
      </c>
      <c r="AY10" s="169" t="s">
        <v>323</v>
      </c>
      <c r="AZ10" s="162">
        <f t="shared" ref="AZ10:AZ12" si="12">AP10</f>
        <v>5508256.8270944748</v>
      </c>
      <c r="BA10" s="168" t="s">
        <v>322</v>
      </c>
      <c r="BC10" s="81" t="s">
        <v>393</v>
      </c>
      <c r="BD10" s="167">
        <v>297</v>
      </c>
      <c r="BE10" s="167">
        <v>2.92E-2</v>
      </c>
      <c r="BF10" s="81">
        <v>10162.700000000001</v>
      </c>
      <c r="BG10" s="81" t="s">
        <v>388</v>
      </c>
      <c r="BJ10" s="175" t="s">
        <v>319</v>
      </c>
      <c r="BK10" s="175" t="s">
        <v>320</v>
      </c>
      <c r="BL10" s="175" t="s">
        <v>328</v>
      </c>
      <c r="BM10" s="175" t="s">
        <v>323</v>
      </c>
      <c r="BN10" s="174">
        <f>BD20</f>
        <v>23100000</v>
      </c>
      <c r="BO10" s="175" t="s">
        <v>322</v>
      </c>
      <c r="BQ10" s="81" t="s">
        <v>393</v>
      </c>
      <c r="BR10" s="167">
        <v>292</v>
      </c>
      <c r="BS10" s="167">
        <v>7.2499999999999995E-2</v>
      </c>
      <c r="BT10" s="81">
        <v>4026.39</v>
      </c>
      <c r="BU10" s="81" t="s">
        <v>422</v>
      </c>
      <c r="BV10" s="167">
        <v>2E-16</v>
      </c>
      <c r="BW10" s="81" t="s">
        <v>389</v>
      </c>
      <c r="BY10" s="178"/>
      <c r="BZ10" s="178"/>
      <c r="CA10" s="178"/>
      <c r="CB10" s="178"/>
      <c r="CC10" s="179"/>
      <c r="CD10" s="178"/>
      <c r="CJ10" s="81" t="s">
        <v>329</v>
      </c>
      <c r="CK10" s="256">
        <f>AZ11</f>
        <v>27062093.877674829</v>
      </c>
      <c r="CL10" s="256">
        <f>BN11</f>
        <v>30400000</v>
      </c>
      <c r="CM10" s="256">
        <f>CC13</f>
        <v>25400000</v>
      </c>
      <c r="CP10" s="258" t="s">
        <v>442</v>
      </c>
      <c r="CQ10" s="258" t="s">
        <v>392</v>
      </c>
      <c r="CR10" s="259">
        <v>292</v>
      </c>
      <c r="CS10" s="259">
        <v>4.6899999999999997E-2</v>
      </c>
      <c r="CT10" s="258">
        <v>6231.67</v>
      </c>
      <c r="CU10" s="258" t="s">
        <v>422</v>
      </c>
      <c r="CV10" s="167">
        <v>2E-16</v>
      </c>
      <c r="CW10" s="81" t="s">
        <v>389</v>
      </c>
      <c r="CX10" s="260" t="s">
        <v>467</v>
      </c>
      <c r="CY10" s="264" t="s">
        <v>473</v>
      </c>
      <c r="CZ10" s="261" t="s">
        <v>323</v>
      </c>
      <c r="DA10" s="262">
        <f t="shared" si="7"/>
        <v>0.40200000000000002</v>
      </c>
      <c r="DB10" s="260" t="s">
        <v>322</v>
      </c>
      <c r="DD10" s="170" t="s">
        <v>467</v>
      </c>
      <c r="DE10" s="293" t="s">
        <v>473</v>
      </c>
      <c r="DF10" s="291" t="s">
        <v>323</v>
      </c>
      <c r="DG10" s="170">
        <f>O10*Z37*AP5</f>
        <v>0.74907707175997718</v>
      </c>
      <c r="DH10" s="170" t="s">
        <v>322</v>
      </c>
      <c r="DJ10" s="308" t="s">
        <v>442</v>
      </c>
      <c r="DK10" s="308" t="s">
        <v>392</v>
      </c>
      <c r="DL10" s="312">
        <v>293</v>
      </c>
      <c r="DM10" s="312">
        <v>6.5699999999999995E-2</v>
      </c>
      <c r="DN10" s="308">
        <v>4453.18</v>
      </c>
      <c r="DO10" s="308" t="s">
        <v>422</v>
      </c>
      <c r="DP10" s="312">
        <v>2E-16</v>
      </c>
      <c r="DQ10" s="308" t="s">
        <v>389</v>
      </c>
      <c r="DR10" s="309" t="s">
        <v>467</v>
      </c>
      <c r="DS10" s="314" t="s">
        <v>473</v>
      </c>
      <c r="DT10" s="310" t="s">
        <v>323</v>
      </c>
      <c r="DU10" s="311">
        <f t="shared" si="8"/>
        <v>0.72</v>
      </c>
      <c r="DV10" s="309" t="s">
        <v>322</v>
      </c>
      <c r="DX10" s="167">
        <f t="shared" si="9"/>
        <v>1.7910447761194028</v>
      </c>
      <c r="EH10" s="167">
        <f t="shared" si="10"/>
        <v>0.96118280367110975</v>
      </c>
    </row>
    <row r="11" spans="1:138" ht="15" customHeight="1" thickTop="1" thickBot="1" x14ac:dyDescent="0.3">
      <c r="A11" s="188"/>
      <c r="B11" s="189"/>
      <c r="C11" s="189"/>
      <c r="D11" s="194" t="s">
        <v>43</v>
      </c>
      <c r="E11" s="199" t="s">
        <v>56</v>
      </c>
      <c r="F11" s="195">
        <f t="shared" si="1"/>
        <v>0.12909836065573771</v>
      </c>
      <c r="G11" s="189"/>
      <c r="H11" s="200">
        <f>'Tabula data'!B22*(1-'Tabula RefULG 1'!C45)</f>
        <v>3.15</v>
      </c>
      <c r="I11" s="206"/>
      <c r="K11" s="81" t="s">
        <v>57</v>
      </c>
      <c r="L11" s="218">
        <v>0</v>
      </c>
      <c r="M11" s="219">
        <v>1</v>
      </c>
      <c r="N11" s="219" t="s">
        <v>54</v>
      </c>
      <c r="O11" s="220">
        <f>H7</f>
        <v>3.15</v>
      </c>
      <c r="P11" s="221" t="s">
        <v>39</v>
      </c>
      <c r="Q11" s="30">
        <f t="shared" si="2"/>
        <v>2</v>
      </c>
      <c r="R11" s="30">
        <f t="shared" si="3"/>
        <v>6.3</v>
      </c>
      <c r="S11" s="30">
        <f t="shared" si="4"/>
        <v>0</v>
      </c>
      <c r="T11" s="30">
        <f t="shared" si="5"/>
        <v>0</v>
      </c>
      <c r="U11" s="30">
        <f t="shared" si="6"/>
        <v>0</v>
      </c>
      <c r="V11" s="31"/>
      <c r="W11" s="153"/>
      <c r="X11" s="189"/>
      <c r="Y11" s="189"/>
      <c r="Z11" s="238"/>
      <c r="AA11" s="238"/>
      <c r="AB11" s="238"/>
      <c r="AC11" s="189"/>
      <c r="AD11" s="236"/>
      <c r="AE11" s="189"/>
      <c r="AF11" s="14"/>
      <c r="AG11" s="14"/>
      <c r="AH11" s="14"/>
      <c r="AM11" s="159" t="s">
        <v>319</v>
      </c>
      <c r="AN11" s="81" t="s">
        <v>320</v>
      </c>
      <c r="AO11" s="81" t="s">
        <v>329</v>
      </c>
      <c r="AP11" s="167">
        <f>SUM(U27,U30)</f>
        <v>27062093.877674829</v>
      </c>
      <c r="AQ11" s="81" t="s">
        <v>322</v>
      </c>
      <c r="AR11" s="167">
        <v>26154150</v>
      </c>
      <c r="AV11" s="168" t="s">
        <v>319</v>
      </c>
      <c r="AW11" s="168" t="s">
        <v>320</v>
      </c>
      <c r="AX11" s="168" t="s">
        <v>329</v>
      </c>
      <c r="AY11" s="169" t="s">
        <v>323</v>
      </c>
      <c r="AZ11" s="162">
        <f t="shared" si="12"/>
        <v>27062093.877674829</v>
      </c>
      <c r="BA11" s="168" t="s">
        <v>322</v>
      </c>
      <c r="BC11" s="81" t="s">
        <v>394</v>
      </c>
      <c r="BD11" s="167">
        <v>0.16</v>
      </c>
      <c r="BE11" s="167">
        <v>1.5399999999999999E-3</v>
      </c>
      <c r="BF11" s="81">
        <v>103.9</v>
      </c>
      <c r="BG11" s="81" t="s">
        <v>388</v>
      </c>
      <c r="BJ11" s="175" t="s">
        <v>319</v>
      </c>
      <c r="BK11" s="175" t="s">
        <v>320</v>
      </c>
      <c r="BL11" s="175" t="s">
        <v>329</v>
      </c>
      <c r="BM11" s="175" t="s">
        <v>323</v>
      </c>
      <c r="BN11" s="174">
        <f>BD21</f>
        <v>30400000</v>
      </c>
      <c r="BO11" s="175" t="s">
        <v>322</v>
      </c>
      <c r="BQ11" s="81" t="s">
        <v>394</v>
      </c>
      <c r="BR11" s="167">
        <v>0.19</v>
      </c>
      <c r="BS11" s="167">
        <v>2.31E-3</v>
      </c>
      <c r="BT11" s="81">
        <v>82.21</v>
      </c>
      <c r="BU11" s="81" t="s">
        <v>422</v>
      </c>
      <c r="BV11" s="167">
        <v>2E-16</v>
      </c>
      <c r="BW11" s="81" t="s">
        <v>389</v>
      </c>
      <c r="BY11" s="178" t="s">
        <v>319</v>
      </c>
      <c r="BZ11" s="178" t="s">
        <v>320</v>
      </c>
      <c r="CA11" s="178" t="s">
        <v>327</v>
      </c>
      <c r="CB11" s="178" t="s">
        <v>323</v>
      </c>
      <c r="CC11" s="179">
        <f>BR19</f>
        <v>3560000</v>
      </c>
      <c r="CD11" s="178" t="s">
        <v>322</v>
      </c>
      <c r="CJ11" s="81" t="s">
        <v>330</v>
      </c>
      <c r="CK11" s="256">
        <f>AZ12</f>
        <v>6879520</v>
      </c>
      <c r="CL11" s="256">
        <f>BN12</f>
        <v>15600000</v>
      </c>
      <c r="CM11" s="256">
        <f>CC14</f>
        <v>0</v>
      </c>
      <c r="CP11" s="258" t="s">
        <v>442</v>
      </c>
      <c r="CQ11" s="258" t="s">
        <v>393</v>
      </c>
      <c r="CR11" s="259">
        <v>292</v>
      </c>
      <c r="CS11" s="259">
        <v>2.9000000000000001E-2</v>
      </c>
      <c r="CT11" s="258">
        <v>10047.68</v>
      </c>
      <c r="CU11" s="258" t="s">
        <v>422</v>
      </c>
      <c r="CV11" s="167">
        <v>2E-16</v>
      </c>
      <c r="CW11" s="81" t="s">
        <v>389</v>
      </c>
      <c r="CX11" s="260" t="s">
        <v>467</v>
      </c>
      <c r="CY11" s="264" t="s">
        <v>474</v>
      </c>
      <c r="CZ11" s="261" t="s">
        <v>323</v>
      </c>
      <c r="DA11" s="262">
        <f t="shared" si="7"/>
        <v>0.41</v>
      </c>
      <c r="DB11" s="260" t="s">
        <v>322</v>
      </c>
      <c r="DD11" s="170" t="s">
        <v>467</v>
      </c>
      <c r="DE11" s="293" t="s">
        <v>474</v>
      </c>
      <c r="DF11" s="291" t="s">
        <v>323</v>
      </c>
      <c r="DG11" s="170">
        <f>O12*Z37*AP5</f>
        <v>0.77536047778664308</v>
      </c>
      <c r="DH11" s="170" t="s">
        <v>322</v>
      </c>
      <c r="DJ11" s="308" t="s">
        <v>442</v>
      </c>
      <c r="DK11" s="308" t="s">
        <v>393</v>
      </c>
      <c r="DL11" s="312">
        <v>292</v>
      </c>
      <c r="DM11" s="312">
        <v>4.2799999999999998E-2</v>
      </c>
      <c r="DN11" s="308">
        <v>6821.62</v>
      </c>
      <c r="DO11" s="308" t="s">
        <v>422</v>
      </c>
      <c r="DP11" s="312">
        <v>2E-16</v>
      </c>
      <c r="DQ11" s="308" t="s">
        <v>389</v>
      </c>
      <c r="DR11" s="309" t="s">
        <v>467</v>
      </c>
      <c r="DS11" s="314" t="s">
        <v>474</v>
      </c>
      <c r="DT11" s="310" t="s">
        <v>323</v>
      </c>
      <c r="DU11" s="311">
        <f t="shared" si="8"/>
        <v>0.439</v>
      </c>
      <c r="DV11" s="309" t="s">
        <v>322</v>
      </c>
      <c r="DX11" s="167">
        <f t="shared" si="9"/>
        <v>1.0707317073170732</v>
      </c>
      <c r="EH11" s="167">
        <f t="shared" si="10"/>
        <v>0.56618826026982538</v>
      </c>
    </row>
    <row r="12" spans="1:138" ht="15" customHeight="1" thickTop="1" thickBot="1" x14ac:dyDescent="0.3">
      <c r="A12" s="188"/>
      <c r="B12" s="189"/>
      <c r="C12" s="189"/>
      <c r="D12" s="194" t="s">
        <v>48</v>
      </c>
      <c r="E12" s="199" t="s">
        <v>56</v>
      </c>
      <c r="F12" s="195">
        <f t="shared" si="1"/>
        <v>0.1209016393442623</v>
      </c>
      <c r="G12" s="189"/>
      <c r="H12" s="200">
        <f>'Tabula data'!B23*(1-'Tabula RefULG 1'!C45)</f>
        <v>2.95</v>
      </c>
      <c r="I12" s="206"/>
      <c r="K12" s="81" t="s">
        <v>59</v>
      </c>
      <c r="L12" s="218">
        <v>0</v>
      </c>
      <c r="M12" s="219">
        <v>1</v>
      </c>
      <c r="N12" s="219" t="s">
        <v>54</v>
      </c>
      <c r="O12" s="220">
        <f>H8</f>
        <v>2.95</v>
      </c>
      <c r="P12" s="221" t="s">
        <v>45</v>
      </c>
      <c r="Q12" s="30">
        <f t="shared" si="2"/>
        <v>2</v>
      </c>
      <c r="R12" s="30">
        <f t="shared" si="3"/>
        <v>5.9</v>
      </c>
      <c r="S12" s="30">
        <f t="shared" si="4"/>
        <v>0</v>
      </c>
      <c r="T12" s="30">
        <f t="shared" si="5"/>
        <v>0</v>
      </c>
      <c r="U12" s="30">
        <f t="shared" si="6"/>
        <v>0</v>
      </c>
      <c r="V12" s="31"/>
      <c r="W12" s="153"/>
      <c r="X12" s="226"/>
      <c r="Y12" s="226"/>
      <c r="Z12" s="227" t="s">
        <v>4</v>
      </c>
      <c r="AA12" s="227">
        <v>1</v>
      </c>
      <c r="AB12" s="227" t="s">
        <v>5</v>
      </c>
      <c r="AC12" s="226"/>
      <c r="AD12" s="226"/>
      <c r="AE12" s="226"/>
      <c r="AF12" s="14"/>
      <c r="AG12" s="14"/>
      <c r="AH12" s="14"/>
      <c r="AM12" s="159" t="s">
        <v>319</v>
      </c>
      <c r="AN12" s="81" t="s">
        <v>320</v>
      </c>
      <c r="AO12" s="81" t="s">
        <v>330</v>
      </c>
      <c r="AP12" s="167">
        <f>SUM(U14)</f>
        <v>6879520</v>
      </c>
      <c r="AQ12" s="81" t="s">
        <v>322</v>
      </c>
      <c r="AR12" s="167">
        <v>12228720</v>
      </c>
      <c r="AV12" s="168" t="s">
        <v>319</v>
      </c>
      <c r="AW12" s="168" t="s">
        <v>320</v>
      </c>
      <c r="AX12" s="168" t="s">
        <v>330</v>
      </c>
      <c r="AY12" s="169" t="s">
        <v>323</v>
      </c>
      <c r="AZ12" s="162">
        <f t="shared" si="12"/>
        <v>6879520</v>
      </c>
      <c r="BA12" s="168" t="s">
        <v>322</v>
      </c>
      <c r="BC12" s="81" t="s">
        <v>395</v>
      </c>
      <c r="BD12" s="167">
        <v>0.318</v>
      </c>
      <c r="BE12" s="167">
        <v>2.1299999999999999E-3</v>
      </c>
      <c r="BF12" s="81">
        <v>149.15</v>
      </c>
      <c r="BG12" s="81" t="s">
        <v>388</v>
      </c>
      <c r="BJ12" s="175" t="s">
        <v>319</v>
      </c>
      <c r="BK12" s="175" t="s">
        <v>320</v>
      </c>
      <c r="BL12" s="175" t="s">
        <v>330</v>
      </c>
      <c r="BM12" s="175" t="s">
        <v>323</v>
      </c>
      <c r="BN12" s="174">
        <f>BD18</f>
        <v>15600000</v>
      </c>
      <c r="BO12" s="175" t="s">
        <v>322</v>
      </c>
      <c r="BQ12" s="81" t="s">
        <v>395</v>
      </c>
      <c r="BR12" s="167">
        <v>0.38</v>
      </c>
      <c r="BS12" s="167">
        <v>1.3600000000000001E-3</v>
      </c>
      <c r="BT12" s="81">
        <v>278.99</v>
      </c>
      <c r="BU12" s="81" t="s">
        <v>422</v>
      </c>
      <c r="BV12" s="167">
        <v>2E-16</v>
      </c>
      <c r="BW12" s="81" t="s">
        <v>389</v>
      </c>
      <c r="BY12" s="178" t="s">
        <v>319</v>
      </c>
      <c r="BZ12" s="178" t="s">
        <v>320</v>
      </c>
      <c r="CA12" s="178" t="s">
        <v>328</v>
      </c>
      <c r="CB12" s="178" t="s">
        <v>323</v>
      </c>
      <c r="CC12" s="179">
        <f t="shared" ref="CC12:CC13" si="13">BR20</f>
        <v>32200000</v>
      </c>
      <c r="CD12" s="178" t="s">
        <v>322</v>
      </c>
      <c r="CK12" s="255"/>
      <c r="CL12" s="255"/>
      <c r="CM12" s="255"/>
      <c r="CP12" s="258" t="s">
        <v>442</v>
      </c>
      <c r="CQ12" s="258" t="s">
        <v>444</v>
      </c>
      <c r="CR12" s="259">
        <v>7.8E-2</v>
      </c>
      <c r="CS12" s="259">
        <v>5.0200000000000002E-3</v>
      </c>
      <c r="CT12" s="258">
        <v>15.55</v>
      </c>
      <c r="CU12" s="258" t="s">
        <v>422</v>
      </c>
      <c r="CV12" s="167">
        <v>2E-16</v>
      </c>
      <c r="CW12" s="81" t="s">
        <v>389</v>
      </c>
      <c r="CX12" s="260" t="s">
        <v>467</v>
      </c>
      <c r="CY12" s="263" t="s">
        <v>475</v>
      </c>
      <c r="CZ12" s="261" t="s">
        <v>323</v>
      </c>
      <c r="DA12" s="262">
        <f t="shared" si="7"/>
        <v>0.47499999999999998</v>
      </c>
      <c r="DB12" s="260" t="s">
        <v>322</v>
      </c>
      <c r="DD12" s="170" t="s">
        <v>467</v>
      </c>
      <c r="DE12" s="292" t="s">
        <v>475</v>
      </c>
      <c r="DF12" s="291" t="s">
        <v>323</v>
      </c>
      <c r="DG12" s="170">
        <f>O13*Z37*AP5</f>
        <v>0.85421069586664056</v>
      </c>
      <c r="DH12" s="170" t="s">
        <v>322</v>
      </c>
      <c r="DJ12" s="308" t="s">
        <v>442</v>
      </c>
      <c r="DK12" s="308" t="s">
        <v>444</v>
      </c>
      <c r="DL12" s="312">
        <v>7.7700000000000005E-2</v>
      </c>
      <c r="DM12" s="312">
        <v>6.2300000000000003E-3</v>
      </c>
      <c r="DN12" s="308">
        <v>12.47</v>
      </c>
      <c r="DO12" s="308" t="s">
        <v>422</v>
      </c>
      <c r="DP12" s="312">
        <v>2E-16</v>
      </c>
      <c r="DQ12" s="308" t="s">
        <v>389</v>
      </c>
      <c r="DR12" s="309" t="s">
        <v>467</v>
      </c>
      <c r="DS12" s="313" t="s">
        <v>475</v>
      </c>
      <c r="DT12" s="310" t="s">
        <v>323</v>
      </c>
      <c r="DU12" s="311">
        <f t="shared" si="8"/>
        <v>0.39600000000000002</v>
      </c>
      <c r="DV12" s="309" t="s">
        <v>322</v>
      </c>
      <c r="DX12" s="167">
        <f t="shared" si="9"/>
        <v>0.83368421052631592</v>
      </c>
      <c r="EH12" s="167">
        <f t="shared" si="10"/>
        <v>0.46358585992445073</v>
      </c>
    </row>
    <row r="13" spans="1:138" ht="15" customHeight="1" thickTop="1" thickBot="1" x14ac:dyDescent="0.3">
      <c r="A13" s="188"/>
      <c r="B13" s="189"/>
      <c r="C13" s="189"/>
      <c r="D13" s="194" t="s">
        <v>52</v>
      </c>
      <c r="E13" s="199" t="s">
        <v>56</v>
      </c>
      <c r="F13" s="195">
        <f t="shared" si="1"/>
        <v>0.13319672131147542</v>
      </c>
      <c r="G13" s="189"/>
      <c r="H13" s="200">
        <f>'Tabula data'!B24*(1-'Tabula RefULG 1'!C45)</f>
        <v>3.25</v>
      </c>
      <c r="I13" s="206"/>
      <c r="K13" s="81" t="s">
        <v>60</v>
      </c>
      <c r="L13" s="218">
        <v>0</v>
      </c>
      <c r="M13" s="219">
        <v>1</v>
      </c>
      <c r="N13" s="219" t="s">
        <v>54</v>
      </c>
      <c r="O13" s="220">
        <f>H9</f>
        <v>3.25</v>
      </c>
      <c r="P13" s="221" t="s">
        <v>50</v>
      </c>
      <c r="Q13" s="30">
        <f t="shared" si="2"/>
        <v>2</v>
      </c>
      <c r="R13" s="30">
        <f t="shared" si="3"/>
        <v>6.5</v>
      </c>
      <c r="S13" s="30">
        <f t="shared" si="4"/>
        <v>0</v>
      </c>
      <c r="T13" s="30">
        <f t="shared" si="5"/>
        <v>0</v>
      </c>
      <c r="U13" s="30">
        <f t="shared" si="6"/>
        <v>0</v>
      </c>
      <c r="V13" s="31"/>
      <c r="W13" s="153"/>
      <c r="X13" s="228" t="s">
        <v>64</v>
      </c>
      <c r="Y13" s="229"/>
      <c r="Z13" s="230" t="s">
        <v>21</v>
      </c>
      <c r="AA13" s="231">
        <f>1/(1/8+SUM(AD15:AD19)+1/23)</f>
        <v>0.99033657090706906</v>
      </c>
      <c r="AB13" s="229" t="s">
        <v>5</v>
      </c>
      <c r="AC13" s="229"/>
      <c r="AD13" s="229" t="s">
        <v>22</v>
      </c>
      <c r="AE13" s="232">
        <f>SUM(AE15:AE20)</f>
        <v>444802.20000000007</v>
      </c>
      <c r="AF13" s="14" t="s">
        <v>23</v>
      </c>
      <c r="AG13" s="14">
        <f>SUM(AE18:AE19)</f>
        <v>181020.00000000003</v>
      </c>
      <c r="AH13" s="14"/>
      <c r="AP13" s="167"/>
      <c r="AQ13" s="81" t="s">
        <v>322</v>
      </c>
      <c r="AR13" s="167"/>
      <c r="AV13" s="168"/>
      <c r="AW13" s="168"/>
      <c r="AX13" s="168"/>
      <c r="AY13" s="169"/>
      <c r="BA13" s="168"/>
      <c r="BC13" s="81" t="s">
        <v>396</v>
      </c>
      <c r="BD13" s="167">
        <v>0.26200000000000001</v>
      </c>
      <c r="BE13" s="167">
        <v>8.6800000000000002E-3</v>
      </c>
      <c r="BF13" s="81">
        <v>30.21</v>
      </c>
      <c r="BG13" s="81" t="s">
        <v>388</v>
      </c>
      <c r="BJ13" s="175"/>
      <c r="BK13" s="175"/>
      <c r="BL13" s="175"/>
      <c r="BM13" s="175"/>
      <c r="BN13" s="174"/>
      <c r="BO13" s="175"/>
      <c r="BQ13" s="81" t="s">
        <v>396</v>
      </c>
      <c r="BR13" s="167">
        <v>5.0500000000000003E-2</v>
      </c>
      <c r="BS13" s="167">
        <v>8.2699999999999996E-3</v>
      </c>
      <c r="BT13" s="81">
        <v>6.11</v>
      </c>
      <c r="BU13" s="167">
        <v>1.0999999999999999E-9</v>
      </c>
      <c r="BV13" s="81" t="s">
        <v>389</v>
      </c>
      <c r="BY13" s="178" t="s">
        <v>319</v>
      </c>
      <c r="BZ13" s="178" t="s">
        <v>320</v>
      </c>
      <c r="CA13" s="178" t="s">
        <v>329</v>
      </c>
      <c r="CB13" s="178" t="s">
        <v>323</v>
      </c>
      <c r="CC13" s="179">
        <f t="shared" si="13"/>
        <v>25400000</v>
      </c>
      <c r="CD13" s="178" t="s">
        <v>322</v>
      </c>
      <c r="CJ13" s="81" t="s">
        <v>331</v>
      </c>
      <c r="CK13" s="254">
        <f>AZ14</f>
        <v>2.4147868091633919E-2</v>
      </c>
      <c r="CL13" s="254">
        <f>BN14</f>
        <v>0.11700000000000001</v>
      </c>
      <c r="CM13" s="254">
        <f>CC16</f>
        <v>7.0400000000000004E-2</v>
      </c>
      <c r="CP13" s="258" t="s">
        <v>442</v>
      </c>
      <c r="CQ13" s="258" t="s">
        <v>341</v>
      </c>
      <c r="CR13" s="259">
        <v>9.8799999999999999E-2</v>
      </c>
      <c r="CS13" s="259">
        <v>1.2800000000000001E-2</v>
      </c>
      <c r="CT13" s="258">
        <v>7.72</v>
      </c>
      <c r="CU13" s="259">
        <v>1.3E-14</v>
      </c>
      <c r="CV13" s="167" t="s">
        <v>389</v>
      </c>
      <c r="CX13" s="260" t="s">
        <v>467</v>
      </c>
      <c r="CY13" s="265" t="s">
        <v>476</v>
      </c>
      <c r="CZ13" s="261" t="s">
        <v>323</v>
      </c>
      <c r="DA13" s="262">
        <f t="shared" si="7"/>
        <v>0.14799999999999999</v>
      </c>
      <c r="DB13" s="260" t="s">
        <v>322</v>
      </c>
      <c r="DD13" s="170" t="s">
        <v>467</v>
      </c>
      <c r="DE13" s="294" t="s">
        <v>476</v>
      </c>
      <c r="DF13" s="291" t="s">
        <v>323</v>
      </c>
      <c r="DG13" s="170">
        <f>O11*Z37*AP6</f>
        <v>4.7779121657557294E-2</v>
      </c>
      <c r="DH13" s="170" t="s">
        <v>322</v>
      </c>
      <c r="DJ13" s="308" t="s">
        <v>442</v>
      </c>
      <c r="DK13" s="308" t="s">
        <v>341</v>
      </c>
      <c r="DL13" s="312">
        <v>0.13500000000000001</v>
      </c>
      <c r="DM13" s="312">
        <v>1.6799999999999999E-2</v>
      </c>
      <c r="DN13" s="308">
        <v>8.08</v>
      </c>
      <c r="DO13" s="312">
        <v>8.9000000000000007E-16</v>
      </c>
      <c r="DP13" s="312" t="s">
        <v>389</v>
      </c>
      <c r="DR13" s="309" t="s">
        <v>467</v>
      </c>
      <c r="DS13" s="315" t="s">
        <v>476</v>
      </c>
      <c r="DT13" s="310" t="s">
        <v>323</v>
      </c>
      <c r="DU13" s="311">
        <f t="shared" si="8"/>
        <v>0.21</v>
      </c>
      <c r="DV13" s="309" t="s">
        <v>322</v>
      </c>
      <c r="DX13" s="167">
        <f t="shared" si="9"/>
        <v>1.4189189189189189</v>
      </c>
      <c r="EH13" s="167">
        <f t="shared" si="10"/>
        <v>4.395225209561465</v>
      </c>
    </row>
    <row r="14" spans="1:138" ht="15" customHeight="1" thickTop="1" thickBot="1" x14ac:dyDescent="0.3">
      <c r="A14" s="188"/>
      <c r="B14" s="189"/>
      <c r="C14" s="189"/>
      <c r="D14" s="201" t="s">
        <v>65</v>
      </c>
      <c r="E14" s="202"/>
      <c r="F14" s="202"/>
      <c r="G14" s="202"/>
      <c r="H14" s="203"/>
      <c r="I14" s="193"/>
      <c r="K14" s="81" t="s">
        <v>61</v>
      </c>
      <c r="L14" s="218" t="s">
        <v>62</v>
      </c>
      <c r="M14" s="219">
        <v>1</v>
      </c>
      <c r="N14" s="219" t="s">
        <v>63</v>
      </c>
      <c r="O14" s="220">
        <f>B7</f>
        <v>62</v>
      </c>
      <c r="P14" s="221"/>
      <c r="Q14" s="30">
        <f t="shared" si="2"/>
        <v>0.84168336673346678</v>
      </c>
      <c r="R14" s="30">
        <f t="shared" si="3"/>
        <v>52.184368737474941</v>
      </c>
      <c r="S14" s="30">
        <f t="shared" si="4"/>
        <v>23366746</v>
      </c>
      <c r="T14" s="30">
        <f t="shared" si="5"/>
        <v>376883</v>
      </c>
      <c r="U14" s="30">
        <f t="shared" si="6"/>
        <v>6879520</v>
      </c>
      <c r="V14" s="31"/>
      <c r="W14" s="153"/>
      <c r="X14" s="233"/>
      <c r="Y14" s="234" t="s">
        <v>27</v>
      </c>
      <c r="Z14" s="234" t="s">
        <v>28</v>
      </c>
      <c r="AA14" s="234" t="s">
        <v>29</v>
      </c>
      <c r="AB14" s="234" t="s">
        <v>30</v>
      </c>
      <c r="AC14" s="234" t="s">
        <v>31</v>
      </c>
      <c r="AD14" s="234" t="s">
        <v>32</v>
      </c>
      <c r="AE14" s="235" t="s">
        <v>33</v>
      </c>
      <c r="AF14" s="14"/>
      <c r="AG14" s="14"/>
      <c r="AH14" s="14"/>
      <c r="AM14" s="159" t="s">
        <v>319</v>
      </c>
      <c r="AN14" s="81" t="s">
        <v>320</v>
      </c>
      <c r="AO14" s="81" t="s">
        <v>331</v>
      </c>
      <c r="AP14" s="81">
        <f>AP4*0.2</f>
        <v>1.6098578727755948E-2</v>
      </c>
      <c r="AQ14" s="81" t="s">
        <v>322</v>
      </c>
      <c r="AR14" s="167">
        <v>6.5890790000000005E-2</v>
      </c>
      <c r="AV14" s="168" t="s">
        <v>319</v>
      </c>
      <c r="AW14" s="168" t="s">
        <v>320</v>
      </c>
      <c r="AX14" s="168" t="s">
        <v>331</v>
      </c>
      <c r="AY14" s="169" t="s">
        <v>323</v>
      </c>
      <c r="AZ14" s="162">
        <f>AZ4*0.3</f>
        <v>2.4147868091633919E-2</v>
      </c>
      <c r="BA14" s="168" t="s">
        <v>322</v>
      </c>
      <c r="BC14" s="81" t="s">
        <v>397</v>
      </c>
      <c r="BD14" s="167">
        <v>0.156</v>
      </c>
      <c r="BE14" s="167">
        <v>1.4499999999999999E-3</v>
      </c>
      <c r="BF14" s="81">
        <v>107.8</v>
      </c>
      <c r="BG14" s="81" t="s">
        <v>388</v>
      </c>
      <c r="BJ14" s="175" t="s">
        <v>319</v>
      </c>
      <c r="BK14" s="175" t="s">
        <v>320</v>
      </c>
      <c r="BL14" s="175" t="s">
        <v>331</v>
      </c>
      <c r="BM14" s="175" t="s">
        <v>323</v>
      </c>
      <c r="BN14" s="174">
        <f>BD27</f>
        <v>0.11700000000000001</v>
      </c>
      <c r="BO14" s="175" t="s">
        <v>322</v>
      </c>
      <c r="BQ14" s="81" t="s">
        <v>397</v>
      </c>
      <c r="BR14" s="167">
        <v>0.20300000000000001</v>
      </c>
      <c r="BS14" s="167">
        <v>1.14E-3</v>
      </c>
      <c r="BT14" s="81">
        <v>177.92</v>
      </c>
      <c r="BU14" s="81" t="s">
        <v>422</v>
      </c>
      <c r="BV14" s="167">
        <v>2E-16</v>
      </c>
      <c r="BW14" s="81" t="s">
        <v>389</v>
      </c>
      <c r="BY14" s="178" t="s">
        <v>319</v>
      </c>
      <c r="BZ14" s="178" t="s">
        <v>320</v>
      </c>
      <c r="CA14" s="178" t="s">
        <v>330</v>
      </c>
      <c r="CB14" s="178" t="s">
        <v>323</v>
      </c>
      <c r="CC14" s="179">
        <v>0</v>
      </c>
      <c r="CD14" s="178" t="s">
        <v>322</v>
      </c>
      <c r="CJ14" s="81" t="s">
        <v>332</v>
      </c>
      <c r="CK14" s="254">
        <f>AZ15</f>
        <v>0.1677664214468034</v>
      </c>
      <c r="CL14" s="254">
        <f>BN15</f>
        <v>0.22500000000000001</v>
      </c>
      <c r="CM14" s="254">
        <f>CC17</f>
        <v>0.13700000000000001</v>
      </c>
      <c r="CP14" s="258" t="s">
        <v>442</v>
      </c>
      <c r="CQ14" s="258" t="s">
        <v>445</v>
      </c>
      <c r="CR14" s="259">
        <v>8.5300000000000001E-2</v>
      </c>
      <c r="CS14" s="259">
        <v>2.6199999999999999E-3</v>
      </c>
      <c r="CT14" s="258">
        <v>32.58</v>
      </c>
      <c r="CU14" s="258" t="s">
        <v>422</v>
      </c>
      <c r="CV14" s="167">
        <v>2E-16</v>
      </c>
      <c r="CW14" s="81" t="s">
        <v>389</v>
      </c>
      <c r="CX14" s="260" t="s">
        <v>467</v>
      </c>
      <c r="CY14" s="265" t="s">
        <v>477</v>
      </c>
      <c r="CZ14" s="261" t="s">
        <v>323</v>
      </c>
      <c r="DA14" s="262">
        <f t="shared" si="7"/>
        <v>0.58199999999999996</v>
      </c>
      <c r="DB14" s="260" t="s">
        <v>322</v>
      </c>
      <c r="DD14" s="170" t="s">
        <v>467</v>
      </c>
      <c r="DE14" s="294" t="s">
        <v>477</v>
      </c>
      <c r="DF14" s="291" t="s">
        <v>323</v>
      </c>
      <c r="DG14" s="170">
        <f>O10*Z37*AP6</f>
        <v>4.3228729118742315E-2</v>
      </c>
      <c r="DH14" s="170" t="s">
        <v>322</v>
      </c>
      <c r="DJ14" s="308" t="s">
        <v>442</v>
      </c>
      <c r="DK14" s="308" t="s">
        <v>445</v>
      </c>
      <c r="DL14" s="312">
        <v>9.1700000000000004E-2</v>
      </c>
      <c r="DM14" s="312">
        <v>3.3300000000000001E-3</v>
      </c>
      <c r="DN14" s="308">
        <v>27.57</v>
      </c>
      <c r="DO14" s="308" t="s">
        <v>422</v>
      </c>
      <c r="DP14" s="312">
        <v>2E-16</v>
      </c>
      <c r="DQ14" s="308" t="s">
        <v>389</v>
      </c>
      <c r="DR14" s="309" t="s">
        <v>467</v>
      </c>
      <c r="DS14" s="315" t="s">
        <v>477</v>
      </c>
      <c r="DT14" s="310" t="s">
        <v>323</v>
      </c>
      <c r="DU14" s="311">
        <f t="shared" si="8"/>
        <v>0.54200000000000004</v>
      </c>
      <c r="DV14" s="309" t="s">
        <v>322</v>
      </c>
      <c r="DX14" s="167">
        <f t="shared" si="9"/>
        <v>0.93127147766323037</v>
      </c>
      <c r="EH14" s="167">
        <f t="shared" si="10"/>
        <v>12.537958229380601</v>
      </c>
    </row>
    <row r="15" spans="1:138" ht="15" customHeight="1" thickTop="1" thickBot="1" x14ac:dyDescent="0.3">
      <c r="A15" s="188"/>
      <c r="B15" s="189"/>
      <c r="C15" s="189"/>
      <c r="D15" s="204"/>
      <c r="E15" s="189"/>
      <c r="F15" s="189"/>
      <c r="G15" s="189"/>
      <c r="H15" s="190"/>
      <c r="I15" s="189"/>
      <c r="K15" s="81" t="s">
        <v>66</v>
      </c>
      <c r="L15" s="218">
        <v>0</v>
      </c>
      <c r="M15" s="219">
        <v>1</v>
      </c>
      <c r="N15" s="219" t="s">
        <v>20</v>
      </c>
      <c r="O15" s="222">
        <v>0</v>
      </c>
      <c r="P15" s="221"/>
      <c r="Q15" s="30">
        <f t="shared" si="2"/>
        <v>0.3127301569316186</v>
      </c>
      <c r="R15" s="30">
        <f t="shared" si="3"/>
        <v>0</v>
      </c>
      <c r="S15" s="30">
        <f>VLOOKUP(N15,$X$5:$AE$391,8,0)*O25</f>
        <v>4476427.1999999993</v>
      </c>
      <c r="T15" s="30">
        <f>S15/O25</f>
        <v>56951.999999999993</v>
      </c>
      <c r="U15" s="30">
        <f>VLOOKUP(N15,$X$5:$AG$391,10,0)*O25</f>
        <v>1287468</v>
      </c>
      <c r="V15" s="31"/>
      <c r="W15" s="153"/>
      <c r="X15" s="188"/>
      <c r="Y15" s="189" t="s">
        <v>271</v>
      </c>
      <c r="Z15" s="189">
        <v>0.1</v>
      </c>
      <c r="AA15" s="189">
        <v>1.1000000000000001</v>
      </c>
      <c r="AB15" s="189">
        <v>1850</v>
      </c>
      <c r="AC15" s="199">
        <v>840</v>
      </c>
      <c r="AD15" s="236">
        <f>Z15/AA15</f>
        <v>9.0909090909090912E-2</v>
      </c>
      <c r="AE15" s="190">
        <f>AB15*AC15*Z15</f>
        <v>155400</v>
      </c>
      <c r="AF15" s="14"/>
      <c r="AG15" s="14"/>
      <c r="AH15" s="14"/>
      <c r="AM15" s="159" t="s">
        <v>319</v>
      </c>
      <c r="AN15" s="81" t="s">
        <v>320</v>
      </c>
      <c r="AO15" s="81" t="s">
        <v>332</v>
      </c>
      <c r="AP15" s="81">
        <f>AP5*0.2</f>
        <v>0.11184428096453561</v>
      </c>
      <c r="AQ15" s="81" t="s">
        <v>322</v>
      </c>
      <c r="AR15" s="167">
        <v>0.1612856</v>
      </c>
      <c r="AV15" s="168" t="s">
        <v>319</v>
      </c>
      <c r="AW15" s="168" t="s">
        <v>320</v>
      </c>
      <c r="AX15" s="168" t="s">
        <v>332</v>
      </c>
      <c r="AY15" s="169" t="s">
        <v>323</v>
      </c>
      <c r="AZ15" s="162">
        <f>AZ5*0.3</f>
        <v>0.1677664214468034</v>
      </c>
      <c r="BA15" s="168" t="s">
        <v>322</v>
      </c>
      <c r="BC15" s="81" t="s">
        <v>398</v>
      </c>
      <c r="BD15" s="167">
        <v>9.35E-2</v>
      </c>
      <c r="BE15" s="167">
        <v>1.6000000000000001E-3</v>
      </c>
      <c r="BF15" s="81">
        <v>58.4</v>
      </c>
      <c r="BG15" s="81" t="s">
        <v>388</v>
      </c>
      <c r="BJ15" s="175" t="s">
        <v>319</v>
      </c>
      <c r="BK15" s="175" t="s">
        <v>320</v>
      </c>
      <c r="BL15" s="175" t="s">
        <v>332</v>
      </c>
      <c r="BM15" s="175" t="s">
        <v>323</v>
      </c>
      <c r="BN15" s="174">
        <f>BD28</f>
        <v>0.22500000000000001</v>
      </c>
      <c r="BO15" s="175" t="s">
        <v>322</v>
      </c>
      <c r="BQ15" s="81" t="s">
        <v>398</v>
      </c>
      <c r="BR15" s="167">
        <v>0.11799999999999999</v>
      </c>
      <c r="BS15" s="167">
        <v>5.9500000000000004E-4</v>
      </c>
      <c r="BT15" s="81">
        <v>198</v>
      </c>
      <c r="BU15" s="81" t="s">
        <v>422</v>
      </c>
      <c r="BV15" s="167">
        <v>2E-16</v>
      </c>
      <c r="BW15" s="81" t="s">
        <v>389</v>
      </c>
      <c r="BY15" s="178"/>
      <c r="BZ15" s="178"/>
      <c r="CA15" s="178"/>
      <c r="CB15" s="178"/>
      <c r="CC15" s="179"/>
      <c r="CD15" s="178"/>
      <c r="CJ15" s="81" t="s">
        <v>333</v>
      </c>
      <c r="CK15" s="254">
        <f>AZ16</f>
        <v>0.70968168625279782</v>
      </c>
      <c r="CL15" s="254">
        <f>BN16</f>
        <v>0.46500000000000002</v>
      </c>
      <c r="CM15" s="254">
        <f>CC18</f>
        <v>0.76900000000000002</v>
      </c>
      <c r="CP15" s="258" t="s">
        <v>442</v>
      </c>
      <c r="CQ15" s="258" t="s">
        <v>446</v>
      </c>
      <c r="CR15" s="259">
        <v>4.7E-2</v>
      </c>
      <c r="CS15" s="259">
        <v>2.7000000000000001E-3</v>
      </c>
      <c r="CT15" s="258">
        <v>17.399999999999999</v>
      </c>
      <c r="CU15" s="258" t="s">
        <v>422</v>
      </c>
      <c r="CV15" s="167">
        <v>2E-16</v>
      </c>
      <c r="CW15" s="81" t="s">
        <v>389</v>
      </c>
      <c r="CX15" s="260" t="s">
        <v>467</v>
      </c>
      <c r="CY15" s="265" t="s">
        <v>478</v>
      </c>
      <c r="CZ15" s="261" t="s">
        <v>323</v>
      </c>
      <c r="DA15" s="262">
        <f t="shared" si="7"/>
        <v>5.3699999999999998E-2</v>
      </c>
      <c r="DB15" s="260" t="s">
        <v>322</v>
      </c>
      <c r="DD15" s="170" t="s">
        <v>467</v>
      </c>
      <c r="DE15" s="294" t="s">
        <v>478</v>
      </c>
      <c r="DF15" s="291" t="s">
        <v>323</v>
      </c>
      <c r="DG15" s="170">
        <f>O12*Z37*AP6</f>
        <v>4.4745526631680646E-2</v>
      </c>
      <c r="DH15" s="170" t="s">
        <v>322</v>
      </c>
      <c r="DJ15" s="308" t="s">
        <v>442</v>
      </c>
      <c r="DK15" s="308" t="s">
        <v>446</v>
      </c>
      <c r="DL15" s="312">
        <v>4.48E-2</v>
      </c>
      <c r="DM15" s="312">
        <v>3.3300000000000001E-3</v>
      </c>
      <c r="DN15" s="308">
        <v>13.45</v>
      </c>
      <c r="DO15" s="308" t="s">
        <v>422</v>
      </c>
      <c r="DP15" s="312">
        <v>2E-16</v>
      </c>
      <c r="DQ15" s="308" t="s">
        <v>389</v>
      </c>
      <c r="DR15" s="309" t="s">
        <v>467</v>
      </c>
      <c r="DS15" s="315" t="s">
        <v>478</v>
      </c>
      <c r="DT15" s="310" t="s">
        <v>323</v>
      </c>
      <c r="DU15" s="311">
        <f t="shared" si="8"/>
        <v>2.31E-10</v>
      </c>
      <c r="DV15" s="309" t="s">
        <v>322</v>
      </c>
      <c r="DX15" s="167">
        <f t="shared" si="9"/>
        <v>4.3016759776536317E-9</v>
      </c>
      <c r="EH15" s="167">
        <f t="shared" si="10"/>
        <v>5.1625272376713473E-9</v>
      </c>
    </row>
    <row r="16" spans="1:138" ht="15" customHeight="1" thickTop="1" thickBot="1" x14ac:dyDescent="0.3">
      <c r="A16" s="205"/>
      <c r="B16" s="187"/>
      <c r="C16" s="187"/>
      <c r="D16" s="194" t="s">
        <v>69</v>
      </c>
      <c r="E16" s="189"/>
      <c r="F16" s="206">
        <f>B4/B26</f>
        <v>1.8014791747761778</v>
      </c>
      <c r="G16" s="199" t="s">
        <v>70</v>
      </c>
      <c r="H16" s="190"/>
      <c r="I16" s="189"/>
      <c r="K16" s="81" t="s">
        <v>67</v>
      </c>
      <c r="L16" s="218">
        <v>0</v>
      </c>
      <c r="M16" s="219">
        <v>1</v>
      </c>
      <c r="N16" s="219" t="s">
        <v>68</v>
      </c>
      <c r="O16" s="220">
        <f>'Tabula data'!B20</f>
        <v>9.5</v>
      </c>
      <c r="P16" s="221"/>
      <c r="Q16" s="30">
        <f t="shared" si="2"/>
        <v>4</v>
      </c>
      <c r="R16" s="30">
        <f t="shared" si="3"/>
        <v>38</v>
      </c>
      <c r="S16" s="30">
        <f t="shared" ref="S16:S27" si="14">VLOOKUP(N16,$X$5:$AE$391,8,0)*O16</f>
        <v>346940</v>
      </c>
      <c r="T16" s="30">
        <f t="shared" ref="T16:T27" si="15">S16/O16</f>
        <v>36520</v>
      </c>
      <c r="U16" s="30">
        <f t="shared" ref="U16:U27" si="16">VLOOKUP(N16,$X$5:$AG$391,10,0)*O16</f>
        <v>0</v>
      </c>
      <c r="V16" s="31"/>
      <c r="W16" s="153"/>
      <c r="X16" s="188"/>
      <c r="Y16" s="189" t="s">
        <v>272</v>
      </c>
      <c r="Z16" s="189">
        <v>0.06</v>
      </c>
      <c r="AA16" s="189">
        <v>1</v>
      </c>
      <c r="AB16" s="189">
        <v>1800</v>
      </c>
      <c r="AC16" s="189">
        <v>1000</v>
      </c>
      <c r="AD16" s="236">
        <v>0.18</v>
      </c>
      <c r="AE16" s="190">
        <f>Z16*AB16*AC16</f>
        <v>108000</v>
      </c>
      <c r="AF16" s="14"/>
      <c r="AG16" s="14"/>
      <c r="AH16" s="14"/>
      <c r="AM16" s="159" t="s">
        <v>319</v>
      </c>
      <c r="AN16" s="81" t="s">
        <v>320</v>
      </c>
      <c r="AO16" s="81" t="s">
        <v>333</v>
      </c>
      <c r="AP16" s="81">
        <f>AP6*0.2+0.8</f>
        <v>0.80645445750186528</v>
      </c>
      <c r="AQ16" s="81" t="s">
        <v>322</v>
      </c>
      <c r="AR16" s="167">
        <v>0.64236059999999995</v>
      </c>
      <c r="AV16" s="168" t="s">
        <v>319</v>
      </c>
      <c r="AW16" s="168" t="s">
        <v>320</v>
      </c>
      <c r="AX16" s="168" t="s">
        <v>333</v>
      </c>
      <c r="AY16" s="169" t="s">
        <v>323</v>
      </c>
      <c r="AZ16" s="162">
        <f>AZ6*0.3+0.7</f>
        <v>0.70968168625279782</v>
      </c>
      <c r="BA16" s="168" t="s">
        <v>322</v>
      </c>
      <c r="BC16" s="81" t="s">
        <v>308</v>
      </c>
      <c r="BD16" s="167">
        <v>13100000</v>
      </c>
      <c r="BE16" s="167">
        <v>252000</v>
      </c>
      <c r="BF16" s="81">
        <v>51.84</v>
      </c>
      <c r="BG16" s="81" t="s">
        <v>388</v>
      </c>
      <c r="BJ16" s="175" t="s">
        <v>319</v>
      </c>
      <c r="BK16" s="175" t="s">
        <v>320</v>
      </c>
      <c r="BL16" s="175" t="s">
        <v>333</v>
      </c>
      <c r="BM16" s="175" t="s">
        <v>323</v>
      </c>
      <c r="BN16" s="174">
        <f>BD29</f>
        <v>0.46500000000000002</v>
      </c>
      <c r="BO16" s="175" t="s">
        <v>322</v>
      </c>
      <c r="BQ16" s="81" t="s">
        <v>308</v>
      </c>
      <c r="BR16" s="167">
        <v>812000000</v>
      </c>
      <c r="BS16" s="167">
        <v>25300000</v>
      </c>
      <c r="BT16" s="81">
        <v>32.119999999999997</v>
      </c>
      <c r="BU16" s="81" t="s">
        <v>422</v>
      </c>
      <c r="BV16" s="167">
        <v>2E-16</v>
      </c>
      <c r="BW16" s="81" t="s">
        <v>389</v>
      </c>
      <c r="BY16" s="178" t="s">
        <v>319</v>
      </c>
      <c r="BZ16" s="178" t="s">
        <v>320</v>
      </c>
      <c r="CA16" s="178" t="s">
        <v>331</v>
      </c>
      <c r="CB16" s="178" t="s">
        <v>323</v>
      </c>
      <c r="CC16" s="177">
        <f>BR27</f>
        <v>7.0400000000000004E-2</v>
      </c>
      <c r="CD16" s="178" t="s">
        <v>322</v>
      </c>
      <c r="CJ16" s="81" t="s">
        <v>334</v>
      </c>
      <c r="CK16" s="254">
        <f>AZ17</f>
        <v>4.920201210438243E-2</v>
      </c>
      <c r="CL16" s="254">
        <f>BN17</f>
        <v>0.11</v>
      </c>
      <c r="CM16" s="254">
        <f>CC19</f>
        <v>7.2499999999999995E-2</v>
      </c>
      <c r="CP16" s="258" t="s">
        <v>442</v>
      </c>
      <c r="CQ16" s="258" t="s">
        <v>447</v>
      </c>
      <c r="CR16" s="259">
        <v>0.46899999999999997</v>
      </c>
      <c r="CS16" s="259">
        <v>1.8499999999999999E-2</v>
      </c>
      <c r="CT16" s="258">
        <v>25.27</v>
      </c>
      <c r="CU16" s="258" t="s">
        <v>422</v>
      </c>
      <c r="CV16" s="167">
        <v>2E-16</v>
      </c>
      <c r="CW16" s="81" t="s">
        <v>389</v>
      </c>
      <c r="CX16" s="260" t="s">
        <v>467</v>
      </c>
      <c r="CY16" s="265" t="s">
        <v>479</v>
      </c>
      <c r="CZ16" s="261" t="s">
        <v>323</v>
      </c>
      <c r="DA16" s="262">
        <f>CR23</f>
        <v>0.16200000000000001</v>
      </c>
      <c r="DB16" s="260" t="s">
        <v>322</v>
      </c>
      <c r="DD16" s="170" t="s">
        <v>467</v>
      </c>
      <c r="DE16" s="294" t="s">
        <v>479</v>
      </c>
      <c r="DF16" s="291" t="s">
        <v>323</v>
      </c>
      <c r="DG16" s="170">
        <f>O13*Z37*AP6</f>
        <v>4.9295919170495625E-2</v>
      </c>
      <c r="DH16" s="170" t="s">
        <v>322</v>
      </c>
      <c r="DJ16" s="308" t="s">
        <v>442</v>
      </c>
      <c r="DK16" s="308" t="s">
        <v>447</v>
      </c>
      <c r="DL16" s="312">
        <v>0.44500000000000001</v>
      </c>
      <c r="DM16" s="312">
        <v>1.7000000000000001E-2</v>
      </c>
      <c r="DN16" s="308">
        <v>26.23</v>
      </c>
      <c r="DO16" s="308" t="s">
        <v>422</v>
      </c>
      <c r="DP16" s="312">
        <v>2E-16</v>
      </c>
      <c r="DQ16" s="308" t="s">
        <v>389</v>
      </c>
      <c r="DR16" s="309" t="s">
        <v>467</v>
      </c>
      <c r="DS16" s="315" t="s">
        <v>479</v>
      </c>
      <c r="DT16" s="310" t="s">
        <v>323</v>
      </c>
      <c r="DU16" s="311">
        <f>DL23</f>
        <v>0.26900000000000002</v>
      </c>
      <c r="DV16" s="309" t="s">
        <v>322</v>
      </c>
      <c r="DX16" s="167">
        <f t="shared" si="9"/>
        <v>1.6604938271604939</v>
      </c>
      <c r="EH16" s="167">
        <f t="shared" si="10"/>
        <v>5.4568411447940033</v>
      </c>
    </row>
    <row r="17" spans="1:138" ht="15" customHeight="1" thickTop="1" thickBot="1" x14ac:dyDescent="0.3">
      <c r="A17" s="191" t="s">
        <v>73</v>
      </c>
      <c r="B17" s="192">
        <v>0</v>
      </c>
      <c r="C17" s="202" t="s">
        <v>9</v>
      </c>
      <c r="D17" s="194" t="s">
        <v>74</v>
      </c>
      <c r="E17" s="189"/>
      <c r="F17" s="206">
        <f>B26/B23</f>
        <v>1.5264408793820556</v>
      </c>
      <c r="G17" s="199"/>
      <c r="H17" s="190"/>
      <c r="I17" s="189"/>
      <c r="K17" s="81" t="s">
        <v>71</v>
      </c>
      <c r="L17" s="218">
        <v>0</v>
      </c>
      <c r="M17" s="219">
        <v>2</v>
      </c>
      <c r="N17" s="219" t="s">
        <v>25</v>
      </c>
      <c r="O17" s="220">
        <f>'Tabula data'!B10*'Tabula RefULG 1'!C42/2*(1-'Tabula RefULG 1'!C43)</f>
        <v>26.085502079619726</v>
      </c>
      <c r="P17" s="221" t="s">
        <v>26</v>
      </c>
      <c r="Q17" s="30">
        <f t="shared" si="2"/>
        <v>0.99033657090706906</v>
      </c>
      <c r="R17" s="30">
        <f t="shared" si="3"/>
        <v>25.833426679919818</v>
      </c>
      <c r="S17" s="30">
        <f t="shared" si="14"/>
        <v>11602888.71311943</v>
      </c>
      <c r="T17" s="30">
        <f t="shared" si="15"/>
        <v>444802.20000000007</v>
      </c>
      <c r="U17" s="30">
        <f t="shared" si="16"/>
        <v>4721997.5864527635</v>
      </c>
      <c r="V17" s="31"/>
      <c r="W17" s="153"/>
      <c r="X17" s="188"/>
      <c r="Y17" s="189" t="s">
        <v>273</v>
      </c>
      <c r="Z17" s="189">
        <v>0.01</v>
      </c>
      <c r="AA17" s="189">
        <v>3.5999999999999997E-2</v>
      </c>
      <c r="AB17" s="189">
        <v>26</v>
      </c>
      <c r="AC17" s="189">
        <v>1470</v>
      </c>
      <c r="AD17" s="236">
        <f>Z17/AA17</f>
        <v>0.27777777777777779</v>
      </c>
      <c r="AE17" s="190">
        <f>Z17*AB17*AC17</f>
        <v>382.2</v>
      </c>
      <c r="AF17" s="149" t="s">
        <v>274</v>
      </c>
      <c r="AG17" s="14"/>
      <c r="AH17" s="14"/>
      <c r="AM17" s="159" t="s">
        <v>319</v>
      </c>
      <c r="AN17" s="81" t="s">
        <v>320</v>
      </c>
      <c r="AO17" s="81" t="s">
        <v>334</v>
      </c>
      <c r="AP17" s="81">
        <f>AP7*0.3</f>
        <v>4.920201210438243E-2</v>
      </c>
      <c r="AQ17" s="81" t="s">
        <v>322</v>
      </c>
      <c r="AR17" s="167">
        <v>6.4977720000000003E-2</v>
      </c>
      <c r="AV17" s="168" t="s">
        <v>319</v>
      </c>
      <c r="AW17" s="168" t="s">
        <v>320</v>
      </c>
      <c r="AX17" s="168" t="s">
        <v>334</v>
      </c>
      <c r="AY17" s="169" t="s">
        <v>323</v>
      </c>
      <c r="AZ17" s="162">
        <f>AZ7*0.3</f>
        <v>4.920201210438243E-2</v>
      </c>
      <c r="BA17" s="168" t="s">
        <v>322</v>
      </c>
      <c r="BJ17" s="175" t="s">
        <v>319</v>
      </c>
      <c r="BK17" s="175" t="s">
        <v>320</v>
      </c>
      <c r="BL17" s="175" t="s">
        <v>334</v>
      </c>
      <c r="BM17" s="175" t="s">
        <v>323</v>
      </c>
      <c r="BN17" s="174">
        <f>BD30</f>
        <v>0.11</v>
      </c>
      <c r="BO17" s="175" t="s">
        <v>322</v>
      </c>
      <c r="BY17" s="178" t="s">
        <v>319</v>
      </c>
      <c r="BZ17" s="178" t="s">
        <v>320</v>
      </c>
      <c r="CA17" s="178" t="s">
        <v>332</v>
      </c>
      <c r="CB17" s="178" t="s">
        <v>323</v>
      </c>
      <c r="CC17" s="177">
        <f t="shared" ref="CC17:CC19" si="17">BR28</f>
        <v>0.13700000000000001</v>
      </c>
      <c r="CD17" s="178" t="s">
        <v>322</v>
      </c>
      <c r="CK17" s="255"/>
      <c r="CL17" s="255"/>
      <c r="CM17" s="255"/>
      <c r="CP17" s="258" t="s">
        <v>442</v>
      </c>
      <c r="CQ17" s="258" t="s">
        <v>342</v>
      </c>
      <c r="CR17" s="259">
        <v>0.40200000000000002</v>
      </c>
      <c r="CS17" s="259">
        <v>4.5600000000000002E-2</v>
      </c>
      <c r="CT17" s="258">
        <v>8.82</v>
      </c>
      <c r="CU17" s="258" t="s">
        <v>422</v>
      </c>
      <c r="CV17" s="167">
        <v>2E-16</v>
      </c>
      <c r="CW17" s="81" t="s">
        <v>389</v>
      </c>
      <c r="CX17" s="260" t="s">
        <v>467</v>
      </c>
      <c r="CY17" s="265" t="s">
        <v>480</v>
      </c>
      <c r="CZ17" s="261" t="s">
        <v>323</v>
      </c>
      <c r="DA17" s="262">
        <f t="shared" si="7"/>
        <v>0.158</v>
      </c>
      <c r="DB17" s="260" t="s">
        <v>322</v>
      </c>
      <c r="DD17" s="170" t="s">
        <v>467</v>
      </c>
      <c r="DE17" s="294" t="s">
        <v>480</v>
      </c>
      <c r="DF17" s="291" t="s">
        <v>323</v>
      </c>
      <c r="DG17" s="170">
        <f>O11*Z37*AP7</f>
        <v>0.24281192973512727</v>
      </c>
      <c r="DH17" s="170" t="s">
        <v>322</v>
      </c>
      <c r="DJ17" s="308" t="s">
        <v>442</v>
      </c>
      <c r="DK17" s="308" t="s">
        <v>342</v>
      </c>
      <c r="DL17" s="312">
        <v>0.72</v>
      </c>
      <c r="DM17" s="312">
        <v>4.1300000000000003E-2</v>
      </c>
      <c r="DN17" s="308">
        <v>17.440000000000001</v>
      </c>
      <c r="DO17" s="308" t="s">
        <v>422</v>
      </c>
      <c r="DP17" s="312">
        <v>2E-16</v>
      </c>
      <c r="DQ17" s="308" t="s">
        <v>389</v>
      </c>
      <c r="DR17" s="309" t="s">
        <v>467</v>
      </c>
      <c r="DS17" s="315" t="s">
        <v>480</v>
      </c>
      <c r="DT17" s="310" t="s">
        <v>323</v>
      </c>
      <c r="DU17" s="311">
        <f t="shared" ref="DU17:DU24" si="18">DL24</f>
        <v>0.152</v>
      </c>
      <c r="DV17" s="309" t="s">
        <v>322</v>
      </c>
      <c r="DX17" s="167">
        <f t="shared" si="9"/>
        <v>0.96202531645569622</v>
      </c>
      <c r="EH17" s="167">
        <f t="shared" si="10"/>
        <v>0.62599889620666505</v>
      </c>
    </row>
    <row r="18" spans="1:138" ht="15" customHeight="1" thickTop="1" thickBot="1" x14ac:dyDescent="0.3">
      <c r="A18" s="188" t="s">
        <v>77</v>
      </c>
      <c r="B18" s="189">
        <v>0</v>
      </c>
      <c r="C18" s="189"/>
      <c r="D18" s="194" t="s">
        <v>78</v>
      </c>
      <c r="E18" s="189"/>
      <c r="F18" s="206">
        <f>B26/B6</f>
        <v>1.5264408793820556</v>
      </c>
      <c r="G18" s="199"/>
      <c r="H18" s="190"/>
      <c r="I18" s="189"/>
      <c r="K18" s="81" t="s">
        <v>75</v>
      </c>
      <c r="L18" s="218">
        <v>0</v>
      </c>
      <c r="M18" s="219">
        <v>2</v>
      </c>
      <c r="N18" s="219" t="s">
        <v>25</v>
      </c>
      <c r="O18" s="220">
        <f>'Tabula data'!B10*(1-'Tabula RefULG 1'!C42)/2*(1-'Tabula RefULG 1'!C44)</f>
        <v>0</v>
      </c>
      <c r="P18" s="221" t="s">
        <v>39</v>
      </c>
      <c r="Q18" s="30">
        <f t="shared" si="2"/>
        <v>0.99033657090706906</v>
      </c>
      <c r="R18" s="30">
        <f t="shared" si="3"/>
        <v>0</v>
      </c>
      <c r="S18" s="30">
        <f t="shared" si="14"/>
        <v>0</v>
      </c>
      <c r="T18" s="30" t="e">
        <f t="shared" si="15"/>
        <v>#DIV/0!</v>
      </c>
      <c r="U18" s="30">
        <f t="shared" si="16"/>
        <v>0</v>
      </c>
      <c r="V18" s="31"/>
      <c r="W18" s="153"/>
      <c r="X18" s="188"/>
      <c r="Y18" s="199" t="s">
        <v>275</v>
      </c>
      <c r="Z18" s="189">
        <v>0.14000000000000001</v>
      </c>
      <c r="AA18" s="189">
        <v>0.54</v>
      </c>
      <c r="AB18" s="189">
        <v>1400</v>
      </c>
      <c r="AC18" s="199">
        <v>840</v>
      </c>
      <c r="AD18" s="236">
        <f>Z18/AA18</f>
        <v>0.25925925925925924</v>
      </c>
      <c r="AE18" s="190">
        <f>Z18*AB18*AC18</f>
        <v>164640.00000000003</v>
      </c>
      <c r="AF18" s="14" t="s">
        <v>276</v>
      </c>
      <c r="AG18" s="14"/>
      <c r="AH18" s="14"/>
      <c r="AQ18" s="81" t="s">
        <v>322</v>
      </c>
      <c r="AR18" s="167"/>
      <c r="AV18" s="168"/>
      <c r="AW18" s="168"/>
      <c r="AX18" s="168"/>
      <c r="AY18" s="169"/>
      <c r="BA18" s="168"/>
      <c r="BC18" s="81" t="s">
        <v>304</v>
      </c>
      <c r="BD18" s="167">
        <v>15600000</v>
      </c>
      <c r="BE18" s="167">
        <v>67000</v>
      </c>
      <c r="BF18" s="81">
        <v>232.84</v>
      </c>
      <c r="BG18" s="81" t="s">
        <v>388</v>
      </c>
      <c r="BJ18" s="175"/>
      <c r="BK18" s="175"/>
      <c r="BL18" s="175"/>
      <c r="BM18" s="175"/>
      <c r="BN18" s="174"/>
      <c r="BO18" s="175"/>
      <c r="BQ18" s="81" t="s">
        <v>304</v>
      </c>
      <c r="BR18" s="167">
        <v>15000000</v>
      </c>
      <c r="BS18" s="167">
        <v>733000</v>
      </c>
      <c r="BT18" s="81">
        <v>20.420000000000002</v>
      </c>
      <c r="BU18" s="81" t="s">
        <v>422</v>
      </c>
      <c r="BV18" s="167">
        <v>2E-16</v>
      </c>
      <c r="BW18" s="81" t="s">
        <v>389</v>
      </c>
      <c r="BY18" s="178" t="s">
        <v>319</v>
      </c>
      <c r="BZ18" s="178" t="s">
        <v>320</v>
      </c>
      <c r="CA18" s="178" t="s">
        <v>333</v>
      </c>
      <c r="CB18" s="178" t="s">
        <v>323</v>
      </c>
      <c r="CC18" s="177">
        <f t="shared" si="17"/>
        <v>0.76900000000000002</v>
      </c>
      <c r="CD18" s="178" t="s">
        <v>322</v>
      </c>
      <c r="CJ18" s="81" t="s">
        <v>335</v>
      </c>
      <c r="CK18" s="257">
        <f t="shared" ref="CK18:CK23" si="19">AZ19</f>
        <v>72.867661880313506</v>
      </c>
      <c r="CL18" s="257">
        <f t="shared" ref="CL18:CL23" si="20">BN19</f>
        <v>637</v>
      </c>
      <c r="CM18" s="257">
        <f t="shared" ref="CM18:CM23" si="21">CC21</f>
        <v>278</v>
      </c>
      <c r="CP18" s="258" t="s">
        <v>442</v>
      </c>
      <c r="CQ18" s="258" t="s">
        <v>448</v>
      </c>
      <c r="CR18" s="259">
        <v>0.41</v>
      </c>
      <c r="CS18" s="259">
        <v>9.9900000000000006E-3</v>
      </c>
      <c r="CT18" s="258">
        <v>41.04</v>
      </c>
      <c r="CU18" s="258" t="s">
        <v>422</v>
      </c>
      <c r="CV18" s="167">
        <v>2E-16</v>
      </c>
      <c r="CW18" s="81" t="s">
        <v>389</v>
      </c>
      <c r="CX18" s="260" t="s">
        <v>467</v>
      </c>
      <c r="CY18" s="265" t="s">
        <v>481</v>
      </c>
      <c r="CZ18" s="261" t="s">
        <v>323</v>
      </c>
      <c r="DA18" s="262">
        <f t="shared" si="7"/>
        <v>0.17799999999999999</v>
      </c>
      <c r="DB18" s="260" t="s">
        <v>322</v>
      </c>
      <c r="DD18" s="170" t="s">
        <v>467</v>
      </c>
      <c r="DE18" s="294" t="s">
        <v>481</v>
      </c>
      <c r="DF18" s="291" t="s">
        <v>323</v>
      </c>
      <c r="DG18" s="170">
        <f>O10*Z37*AP7</f>
        <v>0.21968698404606754</v>
      </c>
      <c r="DH18" s="170" t="s">
        <v>322</v>
      </c>
      <c r="DJ18" s="308" t="s">
        <v>442</v>
      </c>
      <c r="DK18" s="308" t="s">
        <v>448</v>
      </c>
      <c r="DL18" s="312">
        <v>0.439</v>
      </c>
      <c r="DM18" s="312">
        <v>7.9500000000000005E-3</v>
      </c>
      <c r="DN18" s="308">
        <v>55.32</v>
      </c>
      <c r="DO18" s="308" t="s">
        <v>422</v>
      </c>
      <c r="DP18" s="312">
        <v>2E-16</v>
      </c>
      <c r="DQ18" s="308" t="s">
        <v>389</v>
      </c>
      <c r="DR18" s="309" t="s">
        <v>467</v>
      </c>
      <c r="DS18" s="315" t="s">
        <v>481</v>
      </c>
      <c r="DT18" s="310" t="s">
        <v>323</v>
      </c>
      <c r="DU18" s="311">
        <f t="shared" si="18"/>
        <v>0.19900000000000001</v>
      </c>
      <c r="DV18" s="309" t="s">
        <v>322</v>
      </c>
      <c r="DX18" s="167">
        <f t="shared" si="9"/>
        <v>1.1179775280898878</v>
      </c>
      <c r="EH18" s="167">
        <f t="shared" si="10"/>
        <v>0.90583427536276095</v>
      </c>
    </row>
    <row r="19" spans="1:138" ht="15" customHeight="1" thickTop="1" thickBot="1" x14ac:dyDescent="0.3">
      <c r="A19" s="188" t="s">
        <v>81</v>
      </c>
      <c r="B19" s="197">
        <f>B17-B18</f>
        <v>0</v>
      </c>
      <c r="C19" s="189"/>
      <c r="D19" s="204"/>
      <c r="E19" s="199"/>
      <c r="F19" s="199"/>
      <c r="G19" s="199"/>
      <c r="H19" s="198"/>
      <c r="I19" s="199"/>
      <c r="K19" s="81" t="s">
        <v>79</v>
      </c>
      <c r="L19" s="218">
        <v>0</v>
      </c>
      <c r="M19" s="219">
        <v>2</v>
      </c>
      <c r="N19" s="219" t="s">
        <v>25</v>
      </c>
      <c r="O19" s="220">
        <f>'Tabula data'!B10*'Tabula RefULG 1'!C42/2*(1-'Tabula RefULG 1'!C43)</f>
        <v>26.085502079619726</v>
      </c>
      <c r="P19" s="221" t="s">
        <v>45</v>
      </c>
      <c r="Q19" s="30">
        <f t="shared" si="2"/>
        <v>0.99033657090706906</v>
      </c>
      <c r="R19" s="30">
        <f t="shared" si="3"/>
        <v>25.833426679919818</v>
      </c>
      <c r="S19" s="30">
        <f t="shared" si="14"/>
        <v>11602888.71311943</v>
      </c>
      <c r="T19" s="30">
        <f t="shared" si="15"/>
        <v>444802.20000000007</v>
      </c>
      <c r="U19" s="30">
        <f t="shared" si="16"/>
        <v>4721997.5864527635</v>
      </c>
      <c r="V19" s="31"/>
      <c r="W19" s="153"/>
      <c r="X19" s="205"/>
      <c r="Y19" s="187" t="s">
        <v>277</v>
      </c>
      <c r="Z19" s="187">
        <v>0.02</v>
      </c>
      <c r="AA19" s="187">
        <v>0.6</v>
      </c>
      <c r="AB19" s="187">
        <v>975</v>
      </c>
      <c r="AC19" s="187">
        <v>840</v>
      </c>
      <c r="AD19" s="237">
        <f>Z19/AA19</f>
        <v>3.3333333333333333E-2</v>
      </c>
      <c r="AE19" s="210">
        <f>Z19*AB19*AC19</f>
        <v>16380</v>
      </c>
      <c r="AF19" s="14"/>
      <c r="AG19" s="14"/>
      <c r="AH19" s="14"/>
      <c r="AM19" s="159" t="s">
        <v>319</v>
      </c>
      <c r="AN19" s="81" t="s">
        <v>320</v>
      </c>
      <c r="AO19" s="81" t="s">
        <v>335</v>
      </c>
      <c r="AP19" s="81">
        <f>SUM(O6:O9)*(1/(SUM(AD18:AD19)+1/8))</f>
        <v>72.867661880313506</v>
      </c>
      <c r="AQ19" s="81" t="s">
        <v>322</v>
      </c>
      <c r="AR19" s="167">
        <v>298.59179999999998</v>
      </c>
      <c r="AV19" s="168" t="s">
        <v>319</v>
      </c>
      <c r="AW19" s="168" t="s">
        <v>320</v>
      </c>
      <c r="AX19" s="168" t="s">
        <v>335</v>
      </c>
      <c r="AY19" s="169" t="s">
        <v>323</v>
      </c>
      <c r="AZ19" s="162">
        <f>AP19</f>
        <v>72.867661880313506</v>
      </c>
      <c r="BA19" s="168" t="s">
        <v>322</v>
      </c>
      <c r="BC19" s="81" t="s">
        <v>399</v>
      </c>
      <c r="BD19" s="167">
        <v>2950000</v>
      </c>
      <c r="BE19" s="167">
        <v>42900</v>
      </c>
      <c r="BF19" s="81">
        <v>68.739999999999995</v>
      </c>
      <c r="BG19" s="81" t="s">
        <v>388</v>
      </c>
      <c r="BJ19" s="175" t="s">
        <v>319</v>
      </c>
      <c r="BK19" s="175" t="s">
        <v>320</v>
      </c>
      <c r="BL19" s="175" t="s">
        <v>335</v>
      </c>
      <c r="BM19" s="175" t="s">
        <v>323</v>
      </c>
      <c r="BN19" s="181">
        <f>BD32</f>
        <v>637</v>
      </c>
      <c r="BO19" s="175" t="s">
        <v>322</v>
      </c>
      <c r="BQ19" s="81" t="s">
        <v>399</v>
      </c>
      <c r="BR19" s="167">
        <v>3560000</v>
      </c>
      <c r="BS19" s="167">
        <v>405000</v>
      </c>
      <c r="BT19" s="81">
        <v>8.81</v>
      </c>
      <c r="BU19" s="81" t="s">
        <v>422</v>
      </c>
      <c r="BV19" s="167">
        <v>2E-16</v>
      </c>
      <c r="BW19" s="81" t="s">
        <v>389</v>
      </c>
      <c r="BY19" s="178" t="s">
        <v>319</v>
      </c>
      <c r="BZ19" s="178" t="s">
        <v>320</v>
      </c>
      <c r="CA19" s="178" t="s">
        <v>334</v>
      </c>
      <c r="CB19" s="178" t="s">
        <v>323</v>
      </c>
      <c r="CC19" s="177">
        <f t="shared" si="17"/>
        <v>7.2499999999999995E-2</v>
      </c>
      <c r="CD19" s="178" t="s">
        <v>322</v>
      </c>
      <c r="CJ19" s="81" t="s">
        <v>336</v>
      </c>
      <c r="CK19" s="257">
        <f t="shared" si="19"/>
        <v>197.27272727272728</v>
      </c>
      <c r="CL19" s="257">
        <f t="shared" si="20"/>
        <v>795</v>
      </c>
      <c r="CM19" s="257">
        <f t="shared" si="21"/>
        <v>215</v>
      </c>
      <c r="CP19" s="258" t="s">
        <v>442</v>
      </c>
      <c r="CQ19" s="258" t="s">
        <v>449</v>
      </c>
      <c r="CR19" s="259">
        <v>0.47499999999999998</v>
      </c>
      <c r="CS19" s="259">
        <v>1.0699999999999999E-2</v>
      </c>
      <c r="CT19" s="258">
        <v>44.23</v>
      </c>
      <c r="CU19" s="258" t="s">
        <v>422</v>
      </c>
      <c r="CV19" s="167">
        <v>2E-16</v>
      </c>
      <c r="CW19" s="81" t="s">
        <v>389</v>
      </c>
      <c r="CX19" s="260" t="s">
        <v>467</v>
      </c>
      <c r="CY19" s="263" t="s">
        <v>482</v>
      </c>
      <c r="CZ19" s="261" t="s">
        <v>323</v>
      </c>
      <c r="DA19" s="262">
        <f t="shared" si="7"/>
        <v>0.14099999999999999</v>
      </c>
      <c r="DB19" s="260" t="s">
        <v>322</v>
      </c>
      <c r="DD19" s="170" t="s">
        <v>467</v>
      </c>
      <c r="DE19" s="292" t="s">
        <v>482</v>
      </c>
      <c r="DF19" s="291" t="s">
        <v>323</v>
      </c>
      <c r="DG19" s="170">
        <f>O12*Z37*AP7</f>
        <v>0.22739529927575414</v>
      </c>
      <c r="DH19" s="170" t="s">
        <v>322</v>
      </c>
      <c r="DJ19" s="308" t="s">
        <v>442</v>
      </c>
      <c r="DK19" s="308" t="s">
        <v>449</v>
      </c>
      <c r="DL19" s="312">
        <v>0.39600000000000002</v>
      </c>
      <c r="DM19" s="312">
        <v>8.7399999999999995E-3</v>
      </c>
      <c r="DN19" s="308">
        <v>45.34</v>
      </c>
      <c r="DO19" s="308" t="s">
        <v>422</v>
      </c>
      <c r="DP19" s="312">
        <v>2E-16</v>
      </c>
      <c r="DQ19" s="308" t="s">
        <v>389</v>
      </c>
      <c r="DR19" s="309" t="s">
        <v>467</v>
      </c>
      <c r="DS19" s="313" t="s">
        <v>482</v>
      </c>
      <c r="DT19" s="310" t="s">
        <v>323</v>
      </c>
      <c r="DU19" s="311">
        <f t="shared" si="18"/>
        <v>0.151</v>
      </c>
      <c r="DV19" s="309" t="s">
        <v>322</v>
      </c>
      <c r="DX19" s="167">
        <f t="shared" si="9"/>
        <v>1.0709219858156029</v>
      </c>
      <c r="EH19" s="167">
        <f t="shared" si="10"/>
        <v>0.66404187105419321</v>
      </c>
    </row>
    <row r="20" spans="1:138" ht="15" customHeight="1" thickTop="1" thickBot="1" x14ac:dyDescent="0.3">
      <c r="A20" s="188"/>
      <c r="B20" s="189"/>
      <c r="C20" s="189"/>
      <c r="D20" s="194" t="s">
        <v>83</v>
      </c>
      <c r="E20" s="199"/>
      <c r="F20" s="207">
        <f>G4/B23</f>
        <v>0.14497920380273319</v>
      </c>
      <c r="G20" s="199"/>
      <c r="H20" s="190"/>
      <c r="I20" s="189"/>
      <c r="K20" s="81" t="s">
        <v>82</v>
      </c>
      <c r="L20" s="218">
        <v>0</v>
      </c>
      <c r="M20" s="219">
        <v>2</v>
      </c>
      <c r="N20" s="219" t="s">
        <v>25</v>
      </c>
      <c r="O20" s="220">
        <f>'Tabula data'!B10*(1-'Tabula RefULG 1'!C42)/2*(1-'Tabula RefULG 1'!C44)</f>
        <v>0</v>
      </c>
      <c r="P20" s="221" t="s">
        <v>50</v>
      </c>
      <c r="Q20" s="30">
        <f t="shared" si="2"/>
        <v>0.99033657090706906</v>
      </c>
      <c r="R20" s="30">
        <f t="shared" si="3"/>
        <v>0</v>
      </c>
      <c r="S20" s="30">
        <f t="shared" si="14"/>
        <v>0</v>
      </c>
      <c r="T20" s="30" t="e">
        <f t="shared" si="15"/>
        <v>#DIV/0!</v>
      </c>
      <c r="U20" s="30">
        <f t="shared" si="16"/>
        <v>0</v>
      </c>
      <c r="V20" s="31"/>
      <c r="W20" s="153"/>
      <c r="X20" s="226"/>
      <c r="Y20" s="226"/>
      <c r="Z20" s="226"/>
      <c r="AA20" s="226"/>
      <c r="AB20" s="226"/>
      <c r="AC20" s="226"/>
      <c r="AD20" s="226"/>
      <c r="AE20" s="226"/>
      <c r="AF20" s="14"/>
      <c r="AG20" s="14"/>
      <c r="AH20" s="14"/>
      <c r="AM20" s="159" t="s">
        <v>319</v>
      </c>
      <c r="AN20" s="81" t="s">
        <v>320</v>
      </c>
      <c r="AO20" s="81" t="s">
        <v>336</v>
      </c>
      <c r="AP20" s="81">
        <f>SUM(O14)*1/(SUM(AD42:AD43)+1/6)</f>
        <v>197.27272727272728</v>
      </c>
      <c r="AQ20" s="81" t="s">
        <v>322</v>
      </c>
      <c r="AR20" s="167">
        <v>278.86439999999999</v>
      </c>
      <c r="AV20" s="168" t="s">
        <v>319</v>
      </c>
      <c r="AW20" s="168" t="s">
        <v>320</v>
      </c>
      <c r="AX20" s="168" t="s">
        <v>336</v>
      </c>
      <c r="AY20" s="169" t="s">
        <v>323</v>
      </c>
      <c r="AZ20" s="162">
        <f t="shared" ref="AZ20:AZ24" si="22">AP20</f>
        <v>197.27272727272728</v>
      </c>
      <c r="BA20" s="168" t="s">
        <v>322</v>
      </c>
      <c r="BC20" s="81" t="s">
        <v>301</v>
      </c>
      <c r="BD20" s="167">
        <v>23100000</v>
      </c>
      <c r="BE20" s="167">
        <v>232000</v>
      </c>
      <c r="BF20" s="81">
        <v>99.92</v>
      </c>
      <c r="BG20" s="81" t="s">
        <v>388</v>
      </c>
      <c r="BJ20" s="175" t="s">
        <v>319</v>
      </c>
      <c r="BK20" s="175" t="s">
        <v>320</v>
      </c>
      <c r="BL20" s="175" t="s">
        <v>336</v>
      </c>
      <c r="BM20" s="175" t="s">
        <v>323</v>
      </c>
      <c r="BN20" s="181">
        <f>BD33</f>
        <v>795</v>
      </c>
      <c r="BO20" s="175" t="s">
        <v>322</v>
      </c>
      <c r="BQ20" s="81" t="s">
        <v>301</v>
      </c>
      <c r="BR20" s="167">
        <v>32200000</v>
      </c>
      <c r="BS20" s="167">
        <v>1890000</v>
      </c>
      <c r="BT20" s="81">
        <v>17.04</v>
      </c>
      <c r="BU20" s="81" t="s">
        <v>422</v>
      </c>
      <c r="BV20" s="167">
        <v>2E-16</v>
      </c>
      <c r="BW20" s="81" t="s">
        <v>389</v>
      </c>
      <c r="BY20" s="178"/>
      <c r="BZ20" s="178"/>
      <c r="CA20" s="178"/>
      <c r="CB20" s="178"/>
      <c r="CC20" s="177"/>
      <c r="CD20" s="178"/>
      <c r="CJ20" s="81" t="s">
        <v>337</v>
      </c>
      <c r="CK20" s="257">
        <f t="shared" si="19"/>
        <v>375.09791588361577</v>
      </c>
      <c r="CL20" s="257">
        <f t="shared" si="20"/>
        <v>1310</v>
      </c>
      <c r="CM20" s="257">
        <f t="shared" si="21"/>
        <v>457</v>
      </c>
      <c r="CP20" s="258" t="s">
        <v>442</v>
      </c>
      <c r="CQ20" s="258" t="s">
        <v>450</v>
      </c>
      <c r="CR20" s="259">
        <v>0.14799999999999999</v>
      </c>
      <c r="CS20" s="259">
        <v>4.7300000000000002E-2</v>
      </c>
      <c r="CT20" s="258">
        <v>3.14</v>
      </c>
      <c r="CU20" s="258">
        <v>1.6999999999999999E-3</v>
      </c>
      <c r="CV20" s="81" t="s">
        <v>425</v>
      </c>
      <c r="CX20" s="260" t="s">
        <v>467</v>
      </c>
      <c r="CY20" s="264" t="s">
        <v>483</v>
      </c>
      <c r="CZ20" s="261" t="s">
        <v>323</v>
      </c>
      <c r="DA20" s="262">
        <f t="shared" si="7"/>
        <v>0.14599999999999999</v>
      </c>
      <c r="DB20" s="260" t="s">
        <v>322</v>
      </c>
      <c r="DD20" s="170" t="s">
        <v>467</v>
      </c>
      <c r="DE20" s="293" t="s">
        <v>483</v>
      </c>
      <c r="DF20" s="291" t="s">
        <v>323</v>
      </c>
      <c r="DG20" s="170">
        <f>O13*Z37*AP7</f>
        <v>0.25052024496481384</v>
      </c>
      <c r="DH20" s="170" t="s">
        <v>322</v>
      </c>
      <c r="DJ20" s="308" t="s">
        <v>442</v>
      </c>
      <c r="DK20" s="308" t="s">
        <v>450</v>
      </c>
      <c r="DL20" s="312">
        <v>0.21</v>
      </c>
      <c r="DM20" s="312">
        <v>7.9699999999999993E-2</v>
      </c>
      <c r="DN20" s="308">
        <v>2.64</v>
      </c>
      <c r="DO20" s="308">
        <v>8.3999999999999995E-3</v>
      </c>
      <c r="DP20" s="308" t="s">
        <v>425</v>
      </c>
      <c r="DR20" s="309" t="s">
        <v>467</v>
      </c>
      <c r="DS20" s="314" t="s">
        <v>483</v>
      </c>
      <c r="DT20" s="310" t="s">
        <v>323</v>
      </c>
      <c r="DU20" s="311">
        <f t="shared" si="18"/>
        <v>0.13500000000000001</v>
      </c>
      <c r="DV20" s="309" t="s">
        <v>322</v>
      </c>
      <c r="DX20" s="167">
        <f t="shared" si="9"/>
        <v>0.92465753424657549</v>
      </c>
      <c r="EH20" s="167">
        <f t="shared" si="10"/>
        <v>0.53887860447749869</v>
      </c>
    </row>
    <row r="21" spans="1:138" ht="15" customHeight="1" thickTop="1" thickBot="1" x14ac:dyDescent="0.3">
      <c r="A21" s="188"/>
      <c r="B21" s="189"/>
      <c r="C21" s="189"/>
      <c r="D21" s="194" t="s">
        <v>86</v>
      </c>
      <c r="E21" s="199"/>
      <c r="F21" s="207">
        <f>G4/B6</f>
        <v>0.14497920380273319</v>
      </c>
      <c r="G21" s="199"/>
      <c r="H21" s="190"/>
      <c r="I21" s="189"/>
      <c r="K21" s="81" t="s">
        <v>84</v>
      </c>
      <c r="L21" s="218">
        <v>0</v>
      </c>
      <c r="M21" s="219">
        <v>2</v>
      </c>
      <c r="N21" s="219" t="s">
        <v>54</v>
      </c>
      <c r="O21" s="220">
        <f>H10</f>
        <v>2.85</v>
      </c>
      <c r="P21" s="221" t="s">
        <v>26</v>
      </c>
      <c r="Q21" s="30">
        <f t="shared" si="2"/>
        <v>2</v>
      </c>
      <c r="R21" s="30">
        <f t="shared" si="3"/>
        <v>5.7</v>
      </c>
      <c r="S21" s="30">
        <f t="shared" si="14"/>
        <v>0</v>
      </c>
      <c r="T21" s="30">
        <f t="shared" si="15"/>
        <v>0</v>
      </c>
      <c r="U21" s="30">
        <f t="shared" si="16"/>
        <v>0</v>
      </c>
      <c r="V21" s="31"/>
      <c r="W21" s="153"/>
      <c r="X21" s="228" t="s">
        <v>85</v>
      </c>
      <c r="Y21" s="229"/>
      <c r="Z21" s="230" t="s">
        <v>21</v>
      </c>
      <c r="AA21" s="231">
        <f>(1/(1/8+SUM(AD23:AD25)+1/8))</f>
        <v>1.7363344051446945</v>
      </c>
      <c r="AB21" s="229" t="s">
        <v>5</v>
      </c>
      <c r="AC21" s="229"/>
      <c r="AD21" s="229" t="s">
        <v>22</v>
      </c>
      <c r="AE21" s="232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9" t="s">
        <v>319</v>
      </c>
      <c r="AN21" s="81" t="s">
        <v>320</v>
      </c>
      <c r="AO21" s="81" t="s">
        <v>337</v>
      </c>
      <c r="AP21" s="81">
        <f>2*AA21*O27+O30*1*AA53</f>
        <v>375.09791588361577</v>
      </c>
      <c r="AQ21" s="81" t="s">
        <v>322</v>
      </c>
      <c r="AR21" s="167">
        <v>721.00049999999999</v>
      </c>
      <c r="AV21" s="168" t="s">
        <v>319</v>
      </c>
      <c r="AW21" s="168" t="s">
        <v>320</v>
      </c>
      <c r="AX21" s="168" t="s">
        <v>337</v>
      </c>
      <c r="AY21" s="169" t="s">
        <v>323</v>
      </c>
      <c r="AZ21" s="162">
        <f t="shared" si="22"/>
        <v>375.09791588361577</v>
      </c>
      <c r="BA21" s="168" t="s">
        <v>322</v>
      </c>
      <c r="BC21" s="81" t="s">
        <v>303</v>
      </c>
      <c r="BD21" s="167">
        <v>30400000</v>
      </c>
      <c r="BE21" s="167">
        <v>78800</v>
      </c>
      <c r="BF21" s="81">
        <v>386.04</v>
      </c>
      <c r="BG21" s="81" t="s">
        <v>388</v>
      </c>
      <c r="BJ21" s="175" t="s">
        <v>319</v>
      </c>
      <c r="BK21" s="175" t="s">
        <v>320</v>
      </c>
      <c r="BL21" s="175" t="s">
        <v>337</v>
      </c>
      <c r="BM21" s="175" t="s">
        <v>323</v>
      </c>
      <c r="BN21" s="181">
        <f>BD34</f>
        <v>1310</v>
      </c>
      <c r="BO21" s="175" t="s">
        <v>322</v>
      </c>
      <c r="BQ21" s="81" t="s">
        <v>303</v>
      </c>
      <c r="BR21" s="167">
        <v>25400000</v>
      </c>
      <c r="BS21" s="167">
        <v>316000</v>
      </c>
      <c r="BT21" s="81">
        <v>80.53</v>
      </c>
      <c r="BU21" s="81" t="s">
        <v>422</v>
      </c>
      <c r="BV21" s="167">
        <v>2E-16</v>
      </c>
      <c r="BW21" s="81" t="s">
        <v>389</v>
      </c>
      <c r="BY21" s="178" t="s">
        <v>319</v>
      </c>
      <c r="BZ21" s="178" t="s">
        <v>320</v>
      </c>
      <c r="CA21" s="178" t="s">
        <v>335</v>
      </c>
      <c r="CB21" s="178" t="s">
        <v>323</v>
      </c>
      <c r="CC21" s="180">
        <f>BR32</f>
        <v>278</v>
      </c>
      <c r="CD21" s="178" t="s">
        <v>322</v>
      </c>
      <c r="CE21" s="167">
        <f>BS32</f>
        <v>2.25</v>
      </c>
      <c r="CJ21" s="81" t="s">
        <v>338</v>
      </c>
      <c r="CK21" s="257">
        <f t="shared" si="19"/>
        <v>74.992456689190959</v>
      </c>
      <c r="CL21" s="257">
        <f t="shared" si="20"/>
        <v>253</v>
      </c>
      <c r="CM21" s="257">
        <f t="shared" si="21"/>
        <v>272</v>
      </c>
      <c r="CP21" s="258" t="s">
        <v>442</v>
      </c>
      <c r="CQ21" s="258" t="s">
        <v>343</v>
      </c>
      <c r="CR21" s="259">
        <v>0.58199999999999996</v>
      </c>
      <c r="CS21" s="259">
        <v>8.4099999999999994E-2</v>
      </c>
      <c r="CT21" s="258">
        <v>6.91</v>
      </c>
      <c r="CU21" s="259">
        <v>4.9999999999999997E-12</v>
      </c>
      <c r="CV21" s="81" t="s">
        <v>389</v>
      </c>
      <c r="CX21" s="260" t="s">
        <v>467</v>
      </c>
      <c r="CY21" s="264" t="s">
        <v>484</v>
      </c>
      <c r="CZ21" s="261" t="s">
        <v>323</v>
      </c>
      <c r="DA21" s="262">
        <f t="shared" si="7"/>
        <v>0.14099999999999999</v>
      </c>
      <c r="DB21" s="260" t="s">
        <v>322</v>
      </c>
      <c r="DD21" s="170" t="s">
        <v>467</v>
      </c>
      <c r="DE21" s="293" t="s">
        <v>484</v>
      </c>
      <c r="DF21" s="291" t="s">
        <v>323</v>
      </c>
      <c r="DG21" s="170">
        <f>O11*Z37*AP42</f>
        <v>0.24281192973512727</v>
      </c>
      <c r="DH21" s="170" t="s">
        <v>322</v>
      </c>
      <c r="DJ21" s="308" t="s">
        <v>442</v>
      </c>
      <c r="DK21" s="308" t="s">
        <v>343</v>
      </c>
      <c r="DL21" s="312">
        <v>0.54200000000000004</v>
      </c>
      <c r="DM21" s="312">
        <v>0.13400000000000001</v>
      </c>
      <c r="DN21" s="308">
        <v>4.04</v>
      </c>
      <c r="DO21" s="312">
        <v>5.3000000000000001E-5</v>
      </c>
      <c r="DP21" s="308" t="s">
        <v>389</v>
      </c>
      <c r="DR21" s="309" t="s">
        <v>467</v>
      </c>
      <c r="DS21" s="314" t="s">
        <v>484</v>
      </c>
      <c r="DT21" s="310" t="s">
        <v>323</v>
      </c>
      <c r="DU21" s="311">
        <f t="shared" si="18"/>
        <v>0.159</v>
      </c>
      <c r="DV21" s="309" t="s">
        <v>322</v>
      </c>
      <c r="DX21" s="167">
        <f t="shared" si="9"/>
        <v>1.1276595744680853</v>
      </c>
      <c r="EH21" s="167">
        <f t="shared" si="10"/>
        <v>0.65482779274249836</v>
      </c>
    </row>
    <row r="22" spans="1:138" ht="15" customHeight="1" thickTop="1" thickBot="1" x14ac:dyDescent="0.3">
      <c r="A22" s="205"/>
      <c r="B22" s="187"/>
      <c r="C22" s="187"/>
      <c r="D22" s="188" t="s">
        <v>88</v>
      </c>
      <c r="E22" s="189"/>
      <c r="F22" s="195">
        <f>G4/B26</f>
        <v>9.497859089139743E-2</v>
      </c>
      <c r="G22" s="189"/>
      <c r="H22" s="190"/>
      <c r="I22" s="189"/>
      <c r="K22" s="81" t="s">
        <v>87</v>
      </c>
      <c r="L22" s="218">
        <v>0</v>
      </c>
      <c r="M22" s="219">
        <v>2</v>
      </c>
      <c r="N22" s="219" t="s">
        <v>54</v>
      </c>
      <c r="O22" s="220">
        <f>H11</f>
        <v>3.15</v>
      </c>
      <c r="P22" s="221" t="s">
        <v>39</v>
      </c>
      <c r="Q22" s="30">
        <f t="shared" si="2"/>
        <v>2</v>
      </c>
      <c r="R22" s="30">
        <f t="shared" si="3"/>
        <v>6.3</v>
      </c>
      <c r="S22" s="30">
        <f t="shared" si="14"/>
        <v>0</v>
      </c>
      <c r="T22" s="30">
        <f t="shared" si="15"/>
        <v>0</v>
      </c>
      <c r="U22" s="30">
        <f t="shared" si="16"/>
        <v>0</v>
      </c>
      <c r="V22" s="31"/>
      <c r="W22" s="153"/>
      <c r="X22" s="233"/>
      <c r="Y22" s="234" t="s">
        <v>27</v>
      </c>
      <c r="Z22" s="234" t="s">
        <v>28</v>
      </c>
      <c r="AA22" s="234" t="s">
        <v>29</v>
      </c>
      <c r="AB22" s="234" t="s">
        <v>30</v>
      </c>
      <c r="AC22" s="234" t="s">
        <v>31</v>
      </c>
      <c r="AD22" s="234" t="s">
        <v>32</v>
      </c>
      <c r="AE22" s="235" t="s">
        <v>33</v>
      </c>
      <c r="AF22" s="14"/>
      <c r="AG22" s="14"/>
      <c r="AH22" s="14"/>
      <c r="AM22" s="159" t="s">
        <v>319</v>
      </c>
      <c r="AN22" s="81" t="s">
        <v>320</v>
      </c>
      <c r="AO22" s="81" t="s">
        <v>338</v>
      </c>
      <c r="AP22" s="153">
        <f>'Verwarming Tabula 2zone RefULG1'!B60+SUM(R10:R13)+R16</f>
        <v>74.992456689190959</v>
      </c>
      <c r="AQ22" s="81" t="s">
        <v>322</v>
      </c>
      <c r="AR22" s="167">
        <v>110.5333</v>
      </c>
      <c r="AV22" s="168" t="s">
        <v>319</v>
      </c>
      <c r="AW22" s="168" t="s">
        <v>320</v>
      </c>
      <c r="AX22" s="168" t="s">
        <v>338</v>
      </c>
      <c r="AY22" s="169" t="s">
        <v>323</v>
      </c>
      <c r="AZ22" s="162">
        <f t="shared" si="22"/>
        <v>74.992456689190959</v>
      </c>
      <c r="BA22" s="168" t="s">
        <v>322</v>
      </c>
      <c r="BC22" s="81" t="s">
        <v>400</v>
      </c>
      <c r="BD22" s="167">
        <v>-5.92</v>
      </c>
      <c r="BE22" s="167">
        <v>5.1700000000000003E-2</v>
      </c>
      <c r="BF22" s="81">
        <v>-114.57</v>
      </c>
      <c r="BG22" s="81" t="s">
        <v>388</v>
      </c>
      <c r="BJ22" s="175" t="s">
        <v>319</v>
      </c>
      <c r="BK22" s="175" t="s">
        <v>320</v>
      </c>
      <c r="BL22" s="175" t="s">
        <v>338</v>
      </c>
      <c r="BM22" s="175" t="s">
        <v>323</v>
      </c>
      <c r="BN22" s="181">
        <f>BD35</f>
        <v>253</v>
      </c>
      <c r="BO22" s="175" t="s">
        <v>322</v>
      </c>
      <c r="BQ22" s="81" t="s">
        <v>400</v>
      </c>
      <c r="BR22" s="167">
        <v>-6.08</v>
      </c>
      <c r="BS22" s="167">
        <v>0.23</v>
      </c>
      <c r="BT22" s="81">
        <v>-26.41</v>
      </c>
      <c r="BU22" s="81" t="s">
        <v>422</v>
      </c>
      <c r="BV22" s="167">
        <v>2E-16</v>
      </c>
      <c r="BW22" s="81" t="s">
        <v>389</v>
      </c>
      <c r="BY22" s="178" t="s">
        <v>319</v>
      </c>
      <c r="BZ22" s="178" t="s">
        <v>320</v>
      </c>
      <c r="CA22" s="178" t="s">
        <v>336</v>
      </c>
      <c r="CB22" s="178" t="s">
        <v>323</v>
      </c>
      <c r="CC22" s="180">
        <f t="shared" ref="CC22:CC24" si="23">BR33</f>
        <v>215</v>
      </c>
      <c r="CD22" s="178" t="s">
        <v>322</v>
      </c>
      <c r="CE22" s="167">
        <f t="shared" ref="CE22:CE24" si="24">BS33</f>
        <v>1.54</v>
      </c>
      <c r="CJ22" s="81" t="s">
        <v>339</v>
      </c>
      <c r="CK22" s="257">
        <f t="shared" si="19"/>
        <v>51.385997455732721</v>
      </c>
      <c r="CL22" s="257">
        <f t="shared" si="20"/>
        <v>217.39130434782609</v>
      </c>
      <c r="CM22" s="257">
        <f t="shared" si="21"/>
        <v>326.79738562091507</v>
      </c>
      <c r="CP22" s="258" t="s">
        <v>442</v>
      </c>
      <c r="CQ22" s="258" t="s">
        <v>451</v>
      </c>
      <c r="CR22" s="259">
        <v>5.3699999999999998E-2</v>
      </c>
      <c r="CS22" s="259">
        <v>1.8499999999999999E-2</v>
      </c>
      <c r="CT22" s="258">
        <v>2.91</v>
      </c>
      <c r="CU22" s="258">
        <v>3.7000000000000002E-3</v>
      </c>
      <c r="CV22" s="81" t="s">
        <v>425</v>
      </c>
      <c r="CX22" s="260" t="s">
        <v>467</v>
      </c>
      <c r="CY22" s="264" t="s">
        <v>485</v>
      </c>
      <c r="CZ22" s="261" t="s">
        <v>323</v>
      </c>
      <c r="DA22" s="262">
        <f t="shared" si="7"/>
        <v>0.23499999999999999</v>
      </c>
      <c r="DB22" s="260" t="s">
        <v>322</v>
      </c>
      <c r="DD22" s="170" t="s">
        <v>467</v>
      </c>
      <c r="DE22" s="293" t="s">
        <v>485</v>
      </c>
      <c r="DF22" s="291" t="s">
        <v>323</v>
      </c>
      <c r="DG22" s="170">
        <f>O10*Z37*AP42</f>
        <v>0.21968698404606754</v>
      </c>
      <c r="DH22" s="170" t="s">
        <v>322</v>
      </c>
      <c r="DJ22" s="308" t="s">
        <v>442</v>
      </c>
      <c r="DK22" s="308" t="s">
        <v>451</v>
      </c>
      <c r="DL22" s="312">
        <v>2.31E-10</v>
      </c>
      <c r="DM22" s="312">
        <v>3.8099999999999997E-8</v>
      </c>
      <c r="DN22" s="308">
        <v>0.01</v>
      </c>
      <c r="DO22" s="308">
        <v>0.99519999999999997</v>
      </c>
      <c r="DR22" s="309" t="s">
        <v>467</v>
      </c>
      <c r="DS22" s="314" t="s">
        <v>485</v>
      </c>
      <c r="DT22" s="310" t="s">
        <v>323</v>
      </c>
      <c r="DU22" s="311">
        <f t="shared" si="18"/>
        <v>0.109</v>
      </c>
      <c r="DV22" s="309" t="s">
        <v>322</v>
      </c>
      <c r="DX22" s="167">
        <f t="shared" si="9"/>
        <v>0.46382978723404256</v>
      </c>
      <c r="EH22" s="167">
        <f t="shared" si="10"/>
        <v>0.49616048248513034</v>
      </c>
    </row>
    <row r="23" spans="1:138" ht="15" customHeight="1" thickTop="1" thickBot="1" x14ac:dyDescent="0.3">
      <c r="A23" s="191" t="s">
        <v>91</v>
      </c>
      <c r="B23" s="192">
        <f>B17+B6</f>
        <v>168.3</v>
      </c>
      <c r="C23" s="202" t="s">
        <v>9</v>
      </c>
      <c r="D23" s="188"/>
      <c r="E23" s="189"/>
      <c r="F23" s="189"/>
      <c r="G23" s="189"/>
      <c r="H23" s="190"/>
      <c r="I23" s="189"/>
      <c r="K23" s="81" t="s">
        <v>89</v>
      </c>
      <c r="L23" s="218">
        <v>0</v>
      </c>
      <c r="M23" s="219">
        <v>2</v>
      </c>
      <c r="N23" s="219" t="s">
        <v>54</v>
      </c>
      <c r="O23" s="220">
        <f>H12</f>
        <v>2.95</v>
      </c>
      <c r="P23" s="221" t="s">
        <v>45</v>
      </c>
      <c r="Q23" s="30">
        <f t="shared" si="2"/>
        <v>2</v>
      </c>
      <c r="R23" s="30">
        <f t="shared" si="3"/>
        <v>5.9</v>
      </c>
      <c r="S23" s="30">
        <f t="shared" si="14"/>
        <v>0</v>
      </c>
      <c r="T23" s="30">
        <f t="shared" si="15"/>
        <v>0</v>
      </c>
      <c r="U23" s="30">
        <f t="shared" si="16"/>
        <v>0</v>
      </c>
      <c r="V23" s="31"/>
      <c r="W23" s="153"/>
      <c r="X23" s="188"/>
      <c r="Y23" s="189" t="s">
        <v>90</v>
      </c>
      <c r="Z23" s="189">
        <v>0.02</v>
      </c>
      <c r="AA23" s="189">
        <v>0.6</v>
      </c>
      <c r="AB23" s="189">
        <v>975</v>
      </c>
      <c r="AC23" s="189">
        <v>840</v>
      </c>
      <c r="AD23" s="236">
        <f>Z23/AA23</f>
        <v>3.3333333333333333E-2</v>
      </c>
      <c r="AE23" s="190">
        <f>Z23*AB23*AC23</f>
        <v>16380</v>
      </c>
      <c r="AF23" s="14"/>
      <c r="AG23" s="14"/>
      <c r="AH23" s="14"/>
      <c r="AM23" s="159" t="s">
        <v>319</v>
      </c>
      <c r="AN23" s="81" t="s">
        <v>320</v>
      </c>
      <c r="AO23" s="81" t="s">
        <v>339</v>
      </c>
      <c r="AP23" s="81">
        <f>SUM(O6:O9)*1/(SUM(AD15:AD17)+1/23)</f>
        <v>51.385997455732721</v>
      </c>
      <c r="AQ23" s="81" t="s">
        <v>322</v>
      </c>
      <c r="AR23" s="81">
        <f>1/0.01496205</f>
        <v>66.83576114235683</v>
      </c>
      <c r="AV23" s="168" t="s">
        <v>319</v>
      </c>
      <c r="AW23" s="168" t="s">
        <v>320</v>
      </c>
      <c r="AX23" s="168" t="s">
        <v>339</v>
      </c>
      <c r="AY23" s="169" t="s">
        <v>323</v>
      </c>
      <c r="AZ23" s="162">
        <f t="shared" si="22"/>
        <v>51.385997455732721</v>
      </c>
      <c r="BA23" s="168" t="s">
        <v>322</v>
      </c>
      <c r="BC23" s="81" t="s">
        <v>401</v>
      </c>
      <c r="BD23" s="167">
        <v>-13.3</v>
      </c>
      <c r="BE23" s="167">
        <v>65</v>
      </c>
      <c r="BF23" s="81">
        <v>-0.2</v>
      </c>
      <c r="BG23" s="81">
        <v>0.84</v>
      </c>
      <c r="BJ23" s="175" t="s">
        <v>319</v>
      </c>
      <c r="BK23" s="175" t="s">
        <v>320</v>
      </c>
      <c r="BL23" s="175" t="s">
        <v>339</v>
      </c>
      <c r="BM23" s="175" t="s">
        <v>323</v>
      </c>
      <c r="BN23" s="181">
        <f>1/BD41</f>
        <v>217.39130434782609</v>
      </c>
      <c r="BO23" s="175" t="s">
        <v>322</v>
      </c>
      <c r="BQ23" s="81" t="s">
        <v>401</v>
      </c>
      <c r="BR23" s="167">
        <v>-27.7</v>
      </c>
      <c r="BS23" s="167">
        <v>2.08</v>
      </c>
      <c r="BT23" s="81">
        <v>-13.34</v>
      </c>
      <c r="BU23" s="81" t="s">
        <v>422</v>
      </c>
      <c r="BV23" s="167">
        <v>2E-16</v>
      </c>
      <c r="BW23" s="81" t="s">
        <v>389</v>
      </c>
      <c r="BY23" s="178" t="s">
        <v>319</v>
      </c>
      <c r="BZ23" s="178" t="s">
        <v>320</v>
      </c>
      <c r="CA23" s="178" t="s">
        <v>337</v>
      </c>
      <c r="CB23" s="178" t="s">
        <v>323</v>
      </c>
      <c r="CC23" s="180">
        <f t="shared" si="23"/>
        <v>457</v>
      </c>
      <c r="CD23" s="178" t="s">
        <v>322</v>
      </c>
      <c r="CE23" s="167">
        <f t="shared" si="24"/>
        <v>3.7</v>
      </c>
      <c r="CJ23" s="81" t="s">
        <v>340</v>
      </c>
      <c r="CK23" s="257">
        <f t="shared" si="19"/>
        <v>31.950920245398773</v>
      </c>
      <c r="CL23" s="257">
        <f t="shared" si="20"/>
        <v>81.900000000000006</v>
      </c>
      <c r="CM23" s="257">
        <f t="shared" si="21"/>
        <v>75.900000000000006</v>
      </c>
      <c r="CP23" s="258" t="s">
        <v>442</v>
      </c>
      <c r="CQ23" s="258" t="s">
        <v>452</v>
      </c>
      <c r="CR23" s="259">
        <v>0.16200000000000001</v>
      </c>
      <c r="CS23" s="259">
        <v>2.2700000000000001E-2</v>
      </c>
      <c r="CT23" s="258">
        <v>7.16</v>
      </c>
      <c r="CU23" s="259">
        <v>8.5999999999999997E-13</v>
      </c>
      <c r="CV23" s="81" t="s">
        <v>389</v>
      </c>
      <c r="CX23" s="260" t="s">
        <v>467</v>
      </c>
      <c r="CY23" s="263" t="s">
        <v>486</v>
      </c>
      <c r="CZ23" s="261" t="s">
        <v>323</v>
      </c>
      <c r="DA23" s="262">
        <f t="shared" si="7"/>
        <v>0.14299999999999999</v>
      </c>
      <c r="DB23" s="260" t="s">
        <v>322</v>
      </c>
      <c r="DD23" s="170" t="s">
        <v>467</v>
      </c>
      <c r="DE23" s="292" t="s">
        <v>486</v>
      </c>
      <c r="DF23" s="291" t="s">
        <v>323</v>
      </c>
      <c r="DG23" s="170">
        <f>O12*Z37*AP42</f>
        <v>0.22739529927575414</v>
      </c>
      <c r="DH23" s="170" t="s">
        <v>322</v>
      </c>
      <c r="DJ23" s="308" t="s">
        <v>442</v>
      </c>
      <c r="DK23" s="308" t="s">
        <v>452</v>
      </c>
      <c r="DL23" s="312">
        <v>0.26900000000000002</v>
      </c>
      <c r="DM23" s="312">
        <v>3.04E-2</v>
      </c>
      <c r="DN23" s="308">
        <v>8.84</v>
      </c>
      <c r="DO23" s="312" t="s">
        <v>422</v>
      </c>
      <c r="DP23" s="312">
        <v>2E-16</v>
      </c>
      <c r="DQ23" s="308" t="s">
        <v>389</v>
      </c>
      <c r="DR23" s="309" t="s">
        <v>467</v>
      </c>
      <c r="DS23" s="313" t="s">
        <v>486</v>
      </c>
      <c r="DT23" s="310" t="s">
        <v>323</v>
      </c>
      <c r="DU23" s="311">
        <f t="shared" si="18"/>
        <v>0.14499999999999999</v>
      </c>
      <c r="DV23" s="309" t="s">
        <v>322</v>
      </c>
      <c r="DX23" s="167">
        <f t="shared" si="9"/>
        <v>1.013986013986014</v>
      </c>
      <c r="EH23" s="167">
        <f t="shared" si="10"/>
        <v>0.63765610134343054</v>
      </c>
    </row>
    <row r="24" spans="1:138" ht="15" customHeight="1" thickTop="1" thickBot="1" x14ac:dyDescent="0.3">
      <c r="A24" s="188" t="s">
        <v>94</v>
      </c>
      <c r="B24" s="208">
        <f>B23/B6</f>
        <v>1</v>
      </c>
      <c r="C24" s="189"/>
      <c r="D24" s="188" t="s">
        <v>95</v>
      </c>
      <c r="E24" s="189"/>
      <c r="F24" s="208">
        <f>B8/B6</f>
        <v>0.63161021984551402</v>
      </c>
      <c r="G24" s="189"/>
      <c r="H24" s="190"/>
      <c r="I24" s="189"/>
      <c r="K24" s="81" t="s">
        <v>92</v>
      </c>
      <c r="L24" s="218">
        <v>0</v>
      </c>
      <c r="M24" s="219">
        <v>2</v>
      </c>
      <c r="N24" s="219" t="s">
        <v>54</v>
      </c>
      <c r="O24" s="220">
        <f>H13</f>
        <v>3.25</v>
      </c>
      <c r="P24" s="221" t="s">
        <v>50</v>
      </c>
      <c r="Q24" s="30">
        <f t="shared" si="2"/>
        <v>2</v>
      </c>
      <c r="R24" s="30">
        <f t="shared" si="3"/>
        <v>6.5</v>
      </c>
      <c r="S24" s="30">
        <f t="shared" si="14"/>
        <v>0</v>
      </c>
      <c r="T24" s="30">
        <f t="shared" si="15"/>
        <v>0</v>
      </c>
      <c r="U24" s="30">
        <f t="shared" si="16"/>
        <v>0</v>
      </c>
      <c r="V24" s="31"/>
      <c r="W24" s="153"/>
      <c r="X24" s="188"/>
      <c r="Y24" s="189" t="s">
        <v>93</v>
      </c>
      <c r="Z24" s="189">
        <v>0.14000000000000001</v>
      </c>
      <c r="AA24" s="189">
        <v>0.54</v>
      </c>
      <c r="AB24" s="189">
        <v>1400</v>
      </c>
      <c r="AC24" s="189">
        <v>840</v>
      </c>
      <c r="AD24" s="236">
        <f>Z24/AA24</f>
        <v>0.25925925925925924</v>
      </c>
      <c r="AE24" s="190">
        <f>Z24*AB24*AC24</f>
        <v>164640.00000000003</v>
      </c>
      <c r="AF24" s="14"/>
      <c r="AG24" s="14"/>
      <c r="AH24" s="14"/>
      <c r="AM24" s="159" t="s">
        <v>319</v>
      </c>
      <c r="AN24" s="81" t="s">
        <v>320</v>
      </c>
      <c r="AO24" s="81" t="s">
        <v>340</v>
      </c>
      <c r="AP24" s="81">
        <f>SUM(O14)*1/(SUM(AD44:AD46)+1)</f>
        <v>31.950920245398773</v>
      </c>
      <c r="AQ24" s="81" t="s">
        <v>322</v>
      </c>
      <c r="AR24" s="167">
        <v>43.800190000000001</v>
      </c>
      <c r="AV24" s="168" t="s">
        <v>319</v>
      </c>
      <c r="AW24" s="168" t="s">
        <v>320</v>
      </c>
      <c r="AX24" s="168" t="s">
        <v>340</v>
      </c>
      <c r="AY24" s="169" t="s">
        <v>323</v>
      </c>
      <c r="AZ24" s="162">
        <f t="shared" si="22"/>
        <v>31.950920245398773</v>
      </c>
      <c r="BA24" s="168" t="s">
        <v>322</v>
      </c>
      <c r="BC24" s="81" t="s">
        <v>402</v>
      </c>
      <c r="BD24" s="167">
        <v>-15.6</v>
      </c>
      <c r="BE24" s="167">
        <v>83.5</v>
      </c>
      <c r="BF24" s="81">
        <v>-0.19</v>
      </c>
      <c r="BG24" s="81">
        <v>0.85</v>
      </c>
      <c r="BJ24" s="175" t="s">
        <v>319</v>
      </c>
      <c r="BK24" s="175" t="s">
        <v>320</v>
      </c>
      <c r="BL24" s="175" t="s">
        <v>340</v>
      </c>
      <c r="BM24" s="175" t="s">
        <v>323</v>
      </c>
      <c r="BN24" s="181">
        <f>BD44</f>
        <v>81.900000000000006</v>
      </c>
      <c r="BO24" s="175" t="s">
        <v>322</v>
      </c>
      <c r="BQ24" s="81" t="s">
        <v>402</v>
      </c>
      <c r="BR24" s="167">
        <v>-23.8</v>
      </c>
      <c r="BS24" s="167">
        <v>9</v>
      </c>
      <c r="BT24" s="81">
        <v>-2.65</v>
      </c>
      <c r="BU24" s="81">
        <v>8.0999999999999996E-3</v>
      </c>
      <c r="BV24" s="81" t="s">
        <v>425</v>
      </c>
      <c r="BY24" s="178" t="s">
        <v>319</v>
      </c>
      <c r="BZ24" s="178" t="s">
        <v>320</v>
      </c>
      <c r="CA24" s="178" t="s">
        <v>338</v>
      </c>
      <c r="CB24" s="178" t="s">
        <v>323</v>
      </c>
      <c r="CC24" s="180">
        <f t="shared" si="23"/>
        <v>272</v>
      </c>
      <c r="CD24" s="178" t="s">
        <v>322</v>
      </c>
      <c r="CE24" s="167">
        <f t="shared" si="24"/>
        <v>18.2</v>
      </c>
      <c r="CK24" s="255"/>
      <c r="CL24" s="255"/>
      <c r="CM24" s="255"/>
      <c r="CP24" s="258" t="s">
        <v>442</v>
      </c>
      <c r="CQ24" s="258" t="s">
        <v>453</v>
      </c>
      <c r="CR24" s="259">
        <v>0.158</v>
      </c>
      <c r="CS24" s="259">
        <v>5.5900000000000004E-3</v>
      </c>
      <c r="CT24" s="258">
        <v>28.23</v>
      </c>
      <c r="CU24" s="258" t="s">
        <v>422</v>
      </c>
      <c r="CV24" s="167">
        <v>2E-16</v>
      </c>
      <c r="CW24" s="81" t="s">
        <v>389</v>
      </c>
      <c r="CX24" s="260" t="s">
        <v>467</v>
      </c>
      <c r="CY24" s="261" t="s">
        <v>487</v>
      </c>
      <c r="CZ24" s="261" t="s">
        <v>323</v>
      </c>
      <c r="DA24" s="262">
        <f t="shared" si="7"/>
        <v>0.107</v>
      </c>
      <c r="DB24" s="260" t="s">
        <v>322</v>
      </c>
      <c r="DD24" s="170" t="s">
        <v>467</v>
      </c>
      <c r="DE24" s="291" t="s">
        <v>487</v>
      </c>
      <c r="DF24" s="291" t="s">
        <v>323</v>
      </c>
      <c r="DG24" s="170">
        <f>O13*Z37*AP42</f>
        <v>0.25052024496481384</v>
      </c>
      <c r="DH24" s="170" t="s">
        <v>322</v>
      </c>
      <c r="DJ24" s="308" t="s">
        <v>442</v>
      </c>
      <c r="DK24" s="308" t="s">
        <v>453</v>
      </c>
      <c r="DL24" s="312">
        <v>0.152</v>
      </c>
      <c r="DM24" s="312">
        <v>6.6400000000000001E-3</v>
      </c>
      <c r="DN24" s="308">
        <v>22.96</v>
      </c>
      <c r="DO24" s="308" t="s">
        <v>422</v>
      </c>
      <c r="DP24" s="312">
        <v>2E-16</v>
      </c>
      <c r="DQ24" s="308" t="s">
        <v>389</v>
      </c>
      <c r="DR24" s="309" t="s">
        <v>467</v>
      </c>
      <c r="DS24" s="310" t="s">
        <v>487</v>
      </c>
      <c r="DT24" s="310" t="s">
        <v>323</v>
      </c>
      <c r="DU24" s="311">
        <f t="shared" si="18"/>
        <v>9.4899999999999998E-2</v>
      </c>
      <c r="DV24" s="309" t="s">
        <v>322</v>
      </c>
      <c r="DX24" s="167">
        <f t="shared" si="9"/>
        <v>0.88691588785046727</v>
      </c>
      <c r="EH24" s="167">
        <f t="shared" si="10"/>
        <v>0.37881170048084906</v>
      </c>
    </row>
    <row r="25" spans="1:138" ht="15" customHeight="1" thickTop="1" thickBot="1" x14ac:dyDescent="0.3">
      <c r="A25" s="205"/>
      <c r="B25" s="187"/>
      <c r="C25" s="187"/>
      <c r="D25" s="188"/>
      <c r="E25" s="189"/>
      <c r="F25" s="189"/>
      <c r="G25" s="189"/>
      <c r="H25" s="190"/>
      <c r="I25" s="189"/>
      <c r="K25" s="81" t="s">
        <v>96</v>
      </c>
      <c r="L25" s="218">
        <v>0</v>
      </c>
      <c r="M25" s="219">
        <v>2</v>
      </c>
      <c r="N25" s="219" t="s">
        <v>20</v>
      </c>
      <c r="O25" s="220">
        <f>'Tabula data'!B7</f>
        <v>78.599999999999994</v>
      </c>
      <c r="P25" s="221" t="s">
        <v>97</v>
      </c>
      <c r="Q25" s="30">
        <f t="shared" si="2"/>
        <v>0.3127301569316186</v>
      </c>
      <c r="R25" s="30">
        <f t="shared" si="3"/>
        <v>24.580590334825221</v>
      </c>
      <c r="S25" s="30">
        <f t="shared" si="14"/>
        <v>4476427.1999999993</v>
      </c>
      <c r="T25" s="30">
        <f t="shared" si="15"/>
        <v>56951.999999999993</v>
      </c>
      <c r="U25" s="30">
        <f t="shared" si="16"/>
        <v>1287468</v>
      </c>
      <c r="V25" s="31"/>
      <c r="W25" s="153"/>
      <c r="X25" s="205"/>
      <c r="Y25" s="187" t="s">
        <v>90</v>
      </c>
      <c r="Z25" s="187">
        <v>0.02</v>
      </c>
      <c r="AA25" s="187">
        <v>0.6</v>
      </c>
      <c r="AB25" s="187">
        <v>975</v>
      </c>
      <c r="AC25" s="187">
        <v>840</v>
      </c>
      <c r="AD25" s="237">
        <f>Z25/AA25</f>
        <v>3.3333333333333333E-2</v>
      </c>
      <c r="AE25" s="210">
        <f>Z25*AB25*AC25</f>
        <v>16380</v>
      </c>
      <c r="AF25" s="14"/>
      <c r="AG25" s="14"/>
      <c r="AH25" s="14"/>
      <c r="AQ25" s="81" t="s">
        <v>322</v>
      </c>
      <c r="AV25" s="168"/>
      <c r="AW25" s="168"/>
      <c r="AX25" s="168"/>
      <c r="AY25" s="169"/>
      <c r="BA25" s="168"/>
      <c r="BC25" s="81" t="s">
        <v>403</v>
      </c>
      <c r="BD25" s="167">
        <v>-11.3</v>
      </c>
      <c r="BE25" s="167">
        <v>53</v>
      </c>
      <c r="BF25" s="81">
        <v>-0.21</v>
      </c>
      <c r="BG25" s="81">
        <v>0.83</v>
      </c>
      <c r="BJ25" s="175"/>
      <c r="BK25" s="175"/>
      <c r="BL25" s="175"/>
      <c r="BM25" s="175"/>
      <c r="BN25" s="174"/>
      <c r="BO25" s="175"/>
      <c r="BQ25" s="81" t="s">
        <v>403</v>
      </c>
      <c r="BR25" s="167">
        <v>-16.399999999999999</v>
      </c>
      <c r="BS25" s="167">
        <v>1.69</v>
      </c>
      <c r="BT25" s="81">
        <v>-9.69</v>
      </c>
      <c r="BU25" s="81" t="s">
        <v>422</v>
      </c>
      <c r="BV25" s="167">
        <v>2E-16</v>
      </c>
      <c r="BW25" s="81" t="s">
        <v>389</v>
      </c>
      <c r="BY25" s="178" t="s">
        <v>319</v>
      </c>
      <c r="BZ25" s="178" t="s">
        <v>320</v>
      </c>
      <c r="CA25" s="178" t="s">
        <v>339</v>
      </c>
      <c r="CB25" s="178" t="s">
        <v>323</v>
      </c>
      <c r="CC25" s="180">
        <f>1/BR41</f>
        <v>326.79738562091507</v>
      </c>
      <c r="CD25" s="178" t="s">
        <v>322</v>
      </c>
      <c r="CE25" s="167">
        <f>CC25/50</f>
        <v>6.5359477124183014</v>
      </c>
      <c r="CJ25" s="81" t="s">
        <v>341</v>
      </c>
      <c r="CK25" s="254">
        <f>AZ26</f>
        <v>0.19933779953344727</v>
      </c>
      <c r="CL25" s="254">
        <f>BN26</f>
        <v>0.44900000000000001</v>
      </c>
      <c r="CM25" s="254">
        <f>CC28</f>
        <v>0.46800000000000003</v>
      </c>
      <c r="CP25" s="258" t="s">
        <v>442</v>
      </c>
      <c r="CQ25" s="258" t="s">
        <v>454</v>
      </c>
      <c r="CR25" s="259">
        <v>0.17799999999999999</v>
      </c>
      <c r="CS25" s="259">
        <v>1.4E-2</v>
      </c>
      <c r="CT25" s="258">
        <v>12.66</v>
      </c>
      <c r="CU25" s="258" t="s">
        <v>422</v>
      </c>
      <c r="CV25" s="167">
        <v>2E-16</v>
      </c>
      <c r="CW25" s="81" t="s">
        <v>389</v>
      </c>
      <c r="CZ25" s="261"/>
      <c r="DF25" s="291"/>
      <c r="DJ25" s="308" t="s">
        <v>442</v>
      </c>
      <c r="DK25" s="308" t="s">
        <v>454</v>
      </c>
      <c r="DL25" s="312">
        <v>0.19900000000000001</v>
      </c>
      <c r="DM25" s="312">
        <v>1.6199999999999999E-2</v>
      </c>
      <c r="DN25" s="308">
        <v>12.24</v>
      </c>
      <c r="DO25" s="308" t="s">
        <v>422</v>
      </c>
      <c r="DP25" s="312">
        <v>2E-16</v>
      </c>
      <c r="DQ25" s="308" t="s">
        <v>389</v>
      </c>
      <c r="DT25" s="310"/>
      <c r="DX25" s="167"/>
      <c r="EH25" s="167"/>
    </row>
    <row r="26" spans="1:138" ht="15" customHeight="1" thickTop="1" thickBot="1" x14ac:dyDescent="0.3">
      <c r="A26" s="191" t="s">
        <v>100</v>
      </c>
      <c r="B26" s="209">
        <f>'Tabula data'!B6</f>
        <v>256.89999999999998</v>
      </c>
      <c r="C26" s="203" t="s">
        <v>9</v>
      </c>
      <c r="D26" s="188"/>
      <c r="E26" s="189"/>
      <c r="F26" s="189"/>
      <c r="G26" s="189"/>
      <c r="H26" s="190"/>
      <c r="I26" s="189"/>
      <c r="K26" s="81" t="s">
        <v>98</v>
      </c>
      <c r="L26" s="218">
        <v>1</v>
      </c>
      <c r="M26" s="219">
        <v>2</v>
      </c>
      <c r="N26" s="219" t="s">
        <v>99</v>
      </c>
      <c r="O26" s="220">
        <f>O14</f>
        <v>62</v>
      </c>
      <c r="P26" s="221"/>
      <c r="Q26" s="30">
        <f t="shared" si="2"/>
        <v>1.4911242603550294</v>
      </c>
      <c r="R26" s="30">
        <f t="shared" si="3"/>
        <v>92.449704142011825</v>
      </c>
      <c r="S26" s="30">
        <f t="shared" si="14"/>
        <v>28355700</v>
      </c>
      <c r="T26" s="30">
        <f t="shared" si="15"/>
        <v>457350</v>
      </c>
      <c r="U26" s="30">
        <f t="shared" si="16"/>
        <v>28355700</v>
      </c>
      <c r="V26" s="31"/>
      <c r="W26" s="153"/>
      <c r="X26" s="226"/>
      <c r="Y26" s="226"/>
      <c r="Z26" s="226"/>
      <c r="AA26" s="226"/>
      <c r="AB26" s="226"/>
      <c r="AC26" s="226"/>
      <c r="AD26" s="226"/>
      <c r="AE26" s="226"/>
      <c r="AF26" s="14"/>
      <c r="AG26" s="14"/>
      <c r="AH26" s="14"/>
      <c r="AM26" s="159" t="s">
        <v>319</v>
      </c>
      <c r="AN26" s="81" t="s">
        <v>320</v>
      </c>
      <c r="AO26" s="81" t="s">
        <v>341</v>
      </c>
      <c r="AP26" s="81">
        <f>SUM(O17:O20,O25)/SUM(O$17:O$25,2*O$28,O$26,O31,2*O29)</f>
        <v>0.19933779953344727</v>
      </c>
      <c r="AQ26" s="81" t="s">
        <v>322</v>
      </c>
      <c r="AR26" s="167">
        <v>0.44339849999999997</v>
      </c>
      <c r="AV26" s="168" t="s">
        <v>319</v>
      </c>
      <c r="AW26" s="168" t="s">
        <v>320</v>
      </c>
      <c r="AX26" s="168" t="s">
        <v>341</v>
      </c>
      <c r="AY26" s="169" t="s">
        <v>323</v>
      </c>
      <c r="AZ26" s="162">
        <f>AP26</f>
        <v>0.19933779953344727</v>
      </c>
      <c r="BA26" s="168" t="s">
        <v>322</v>
      </c>
      <c r="BC26" s="81" t="s">
        <v>404</v>
      </c>
      <c r="BD26" s="167">
        <v>-14.8</v>
      </c>
      <c r="BE26" s="167">
        <v>69.3</v>
      </c>
      <c r="BF26" s="81">
        <v>-0.21</v>
      </c>
      <c r="BG26" s="81">
        <v>0.83</v>
      </c>
      <c r="BJ26" s="175" t="s">
        <v>319</v>
      </c>
      <c r="BK26" s="175" t="s">
        <v>320</v>
      </c>
      <c r="BL26" s="175" t="s">
        <v>341</v>
      </c>
      <c r="BM26" s="175" t="s">
        <v>323</v>
      </c>
      <c r="BN26" s="174">
        <f>BD54</f>
        <v>0.44900000000000001</v>
      </c>
      <c r="BO26" s="175" t="s">
        <v>322</v>
      </c>
      <c r="BQ26" s="81" t="s">
        <v>404</v>
      </c>
      <c r="BR26" s="167">
        <v>-21.6</v>
      </c>
      <c r="BS26" s="167">
        <v>1.83E-2</v>
      </c>
      <c r="BT26" s="81">
        <v>-1183.33</v>
      </c>
      <c r="BU26" s="81" t="s">
        <v>422</v>
      </c>
      <c r="BV26" s="167">
        <v>2E-16</v>
      </c>
      <c r="BW26" s="81" t="s">
        <v>389</v>
      </c>
      <c r="BY26" s="178" t="s">
        <v>319</v>
      </c>
      <c r="BZ26" s="178" t="s">
        <v>320</v>
      </c>
      <c r="CA26" s="178" t="s">
        <v>340</v>
      </c>
      <c r="CB26" s="178" t="s">
        <v>323</v>
      </c>
      <c r="CC26" s="180">
        <f>BR44</f>
        <v>75.900000000000006</v>
      </c>
      <c r="CD26" s="178" t="s">
        <v>322</v>
      </c>
      <c r="CJ26" s="81" t="s">
        <v>342</v>
      </c>
      <c r="CK26" s="254">
        <f>AZ27</f>
        <v>0.68755712170328964</v>
      </c>
      <c r="CL26" s="254">
        <f>BN27</f>
        <v>0.111</v>
      </c>
      <c r="CM26" s="254">
        <f>CC29</f>
        <v>0.14099999999999999</v>
      </c>
      <c r="CP26" s="258" t="s">
        <v>442</v>
      </c>
      <c r="CQ26" s="258" t="s">
        <v>455</v>
      </c>
      <c r="CR26" s="259">
        <v>0.14099999999999999</v>
      </c>
      <c r="CS26" s="259">
        <v>3.0200000000000001E-3</v>
      </c>
      <c r="CT26" s="258">
        <v>46.89</v>
      </c>
      <c r="CU26" s="258" t="s">
        <v>422</v>
      </c>
      <c r="CV26" s="167">
        <v>2E-16</v>
      </c>
      <c r="CW26" s="81" t="s">
        <v>389</v>
      </c>
      <c r="CY26" s="261"/>
      <c r="CZ26" s="261"/>
      <c r="DA26" s="262"/>
      <c r="DE26" s="291"/>
      <c r="DF26" s="291"/>
      <c r="DJ26" s="308" t="s">
        <v>442</v>
      </c>
      <c r="DK26" s="308" t="s">
        <v>455</v>
      </c>
      <c r="DL26" s="312">
        <v>0.151</v>
      </c>
      <c r="DM26" s="312">
        <v>3.3600000000000001E-3</v>
      </c>
      <c r="DN26" s="308">
        <v>45.05</v>
      </c>
      <c r="DO26" s="308" t="s">
        <v>422</v>
      </c>
      <c r="DP26" s="312">
        <v>2E-16</v>
      </c>
      <c r="DQ26" s="308" t="s">
        <v>389</v>
      </c>
      <c r="DS26" s="310"/>
      <c r="DT26" s="310"/>
      <c r="DU26" s="311"/>
      <c r="DX26" s="167"/>
      <c r="EH26" s="167"/>
    </row>
    <row r="27" spans="1:138" ht="15" customHeight="1" thickTop="1" thickBot="1" x14ac:dyDescent="0.3">
      <c r="A27" s="188"/>
      <c r="B27" s="208">
        <f>SUM(O6:O25)</f>
        <v>257.09999999999997</v>
      </c>
      <c r="C27" s="190" t="s">
        <v>9</v>
      </c>
      <c r="D27" s="188"/>
      <c r="E27" s="189"/>
      <c r="F27" s="189"/>
      <c r="G27" s="189"/>
      <c r="H27" s="190"/>
      <c r="I27" s="189"/>
      <c r="K27" s="81" t="s">
        <v>101</v>
      </c>
      <c r="L27" s="218">
        <v>1</v>
      </c>
      <c r="M27" s="219">
        <v>1</v>
      </c>
      <c r="N27" s="219" t="s">
        <v>85</v>
      </c>
      <c r="O27" s="220">
        <f>SUM(O6:O9)+O30/2</f>
        <v>68.065579028785521</v>
      </c>
      <c r="P27" s="221"/>
      <c r="Q27" s="30">
        <f t="shared" si="2"/>
        <v>1.7363344051446945</v>
      </c>
      <c r="R27" s="30">
        <f t="shared" si="3"/>
        <v>118.18460667377551</v>
      </c>
      <c r="S27" s="30">
        <f t="shared" si="14"/>
        <v>13436145.300282264</v>
      </c>
      <c r="T27" s="30">
        <f t="shared" si="15"/>
        <v>197400.00000000003</v>
      </c>
      <c r="U27" s="30">
        <f t="shared" si="16"/>
        <v>13436145.300282264</v>
      </c>
      <c r="V27" s="31"/>
      <c r="W27" s="153"/>
      <c r="X27" s="228" t="s">
        <v>99</v>
      </c>
      <c r="Y27" s="229"/>
      <c r="Z27" s="230" t="s">
        <v>21</v>
      </c>
      <c r="AA27" s="231">
        <f>1/(1/10+SUM(AD29:AD32)+1/6)</f>
        <v>1.4911242603550294</v>
      </c>
      <c r="AB27" s="229" t="s">
        <v>5</v>
      </c>
      <c r="AC27" s="229"/>
      <c r="AD27" s="229" t="s">
        <v>22</v>
      </c>
      <c r="AE27" s="232">
        <f>SUM(AE29:AE33)</f>
        <v>457350</v>
      </c>
      <c r="AF27" s="14" t="s">
        <v>23</v>
      </c>
      <c r="AG27" s="14">
        <f>SUM(AE29:AE32)</f>
        <v>457350</v>
      </c>
      <c r="AH27" s="14"/>
      <c r="AM27" s="159" t="s">
        <v>319</v>
      </c>
      <c r="AN27" s="81" t="s">
        <v>320</v>
      </c>
      <c r="AO27" s="81" t="s">
        <v>342</v>
      </c>
      <c r="AP27" s="81">
        <f>SUM(2*O28,2*O29,O31)/SUM(O$17:O$25,2*O$28,O$26,O31,2*O29)</f>
        <v>0.68755712170328964</v>
      </c>
      <c r="AQ27" s="81" t="s">
        <v>322</v>
      </c>
      <c r="AR27" s="167">
        <v>0.14522370000000001</v>
      </c>
      <c r="AV27" s="168" t="s">
        <v>319</v>
      </c>
      <c r="AW27" s="168" t="s">
        <v>320</v>
      </c>
      <c r="AX27" s="168" t="s">
        <v>342</v>
      </c>
      <c r="AY27" s="169" t="s">
        <v>323</v>
      </c>
      <c r="AZ27" s="162">
        <f t="shared" ref="AZ27:AZ28" si="25">AP27</f>
        <v>0.68755712170328964</v>
      </c>
      <c r="BA27" s="168" t="s">
        <v>322</v>
      </c>
      <c r="BC27" s="81" t="s">
        <v>405</v>
      </c>
      <c r="BD27" s="167">
        <v>0.11700000000000001</v>
      </c>
      <c r="BE27" s="167">
        <v>5.5000000000000003E-4</v>
      </c>
      <c r="BF27" s="81">
        <v>212.4</v>
      </c>
      <c r="BG27" s="81" t="s">
        <v>388</v>
      </c>
      <c r="BJ27" s="175" t="s">
        <v>319</v>
      </c>
      <c r="BK27" s="175" t="s">
        <v>320</v>
      </c>
      <c r="BL27" s="175" t="s">
        <v>342</v>
      </c>
      <c r="BM27" s="175" t="s">
        <v>323</v>
      </c>
      <c r="BN27" s="174">
        <f>BD55</f>
        <v>0.111</v>
      </c>
      <c r="BO27" s="175" t="s">
        <v>322</v>
      </c>
      <c r="BQ27" s="81" t="s">
        <v>405</v>
      </c>
      <c r="BR27" s="167">
        <v>7.0400000000000004E-2</v>
      </c>
      <c r="BS27" s="167">
        <v>1.0300000000000001E-3</v>
      </c>
      <c r="BT27" s="81">
        <v>68.37</v>
      </c>
      <c r="BU27" s="81" t="s">
        <v>422</v>
      </c>
      <c r="BV27" s="167">
        <v>2E-16</v>
      </c>
      <c r="BW27" s="81" t="s">
        <v>389</v>
      </c>
      <c r="BY27" s="178"/>
      <c r="BZ27" s="178"/>
      <c r="CA27" s="178"/>
      <c r="CB27" s="178"/>
      <c r="CC27" s="177"/>
      <c r="CD27" s="178"/>
      <c r="CJ27" s="81" t="s">
        <v>343</v>
      </c>
      <c r="CK27" s="254">
        <f>AZ28</f>
        <v>1.8596791926035174E-2</v>
      </c>
      <c r="CL27" s="254">
        <f>BN28</f>
        <v>0.255</v>
      </c>
      <c r="CM27" s="254">
        <f>CC30</f>
        <v>0.108</v>
      </c>
      <c r="CP27" s="258" t="s">
        <v>442</v>
      </c>
      <c r="CQ27" s="258" t="s">
        <v>456</v>
      </c>
      <c r="CR27" s="259">
        <v>0.14599999999999999</v>
      </c>
      <c r="CS27" s="259">
        <v>2.99E-3</v>
      </c>
      <c r="CT27" s="258">
        <v>48.79</v>
      </c>
      <c r="CU27" s="258" t="s">
        <v>422</v>
      </c>
      <c r="CV27" s="167">
        <v>2E-16</v>
      </c>
      <c r="CW27" s="81" t="s">
        <v>389</v>
      </c>
      <c r="CX27" s="260" t="s">
        <v>467</v>
      </c>
      <c r="CY27" s="261" t="s">
        <v>330</v>
      </c>
      <c r="CZ27" s="261" t="s">
        <v>323</v>
      </c>
      <c r="DA27" s="262">
        <f>CR33</f>
        <v>4610000</v>
      </c>
      <c r="DB27" s="260" t="s">
        <v>322</v>
      </c>
      <c r="DD27" s="170" t="s">
        <v>467</v>
      </c>
      <c r="DE27" s="291" t="s">
        <v>330</v>
      </c>
      <c r="DF27" s="291" t="s">
        <v>323</v>
      </c>
      <c r="DG27" s="295">
        <f>AP12</f>
        <v>6879520</v>
      </c>
      <c r="DH27" s="170" t="s">
        <v>322</v>
      </c>
      <c r="DJ27" s="308" t="s">
        <v>442</v>
      </c>
      <c r="DK27" s="308" t="s">
        <v>456</v>
      </c>
      <c r="DL27" s="312">
        <v>0.13500000000000001</v>
      </c>
      <c r="DM27" s="312">
        <v>3.4099999999999998E-3</v>
      </c>
      <c r="DN27" s="308">
        <v>39.49</v>
      </c>
      <c r="DO27" s="308" t="s">
        <v>422</v>
      </c>
      <c r="DP27" s="312">
        <v>2E-16</v>
      </c>
      <c r="DQ27" s="308" t="s">
        <v>389</v>
      </c>
      <c r="DR27" s="309" t="s">
        <v>467</v>
      </c>
      <c r="DS27" s="310" t="s">
        <v>330</v>
      </c>
      <c r="DT27" s="310" t="s">
        <v>323</v>
      </c>
      <c r="DU27" s="311">
        <f>DL33</f>
        <v>5050000</v>
      </c>
      <c r="DV27" s="309" t="s">
        <v>322</v>
      </c>
      <c r="DX27" s="167">
        <f t="shared" si="9"/>
        <v>1.0954446854663775</v>
      </c>
      <c r="EH27" s="167">
        <f t="shared" si="10"/>
        <v>0.73406284159359958</v>
      </c>
    </row>
    <row r="28" spans="1:138" ht="15" customHeight="1" thickTop="1" thickBot="1" x14ac:dyDescent="0.3">
      <c r="A28" s="188"/>
      <c r="B28" s="189"/>
      <c r="C28" s="190"/>
      <c r="D28" s="188"/>
      <c r="E28" s="189"/>
      <c r="F28" s="189"/>
      <c r="G28" s="189"/>
      <c r="H28" s="190"/>
      <c r="I28" s="189"/>
      <c r="K28" s="81" t="s">
        <v>102</v>
      </c>
      <c r="L28" s="218">
        <v>2</v>
      </c>
      <c r="M28" s="219">
        <v>2</v>
      </c>
      <c r="N28" s="219" t="s">
        <v>85</v>
      </c>
      <c r="O28" s="220">
        <f>SUM(O17:O20)+O31/2</f>
        <v>116.69953307677261</v>
      </c>
      <c r="P28" s="221"/>
      <c r="Q28" s="30">
        <f>VLOOKUP(N28,$X$5:$AA$391,4,0)</f>
        <v>1.7363344051446945</v>
      </c>
      <c r="R28" s="30">
        <f>Q28*O28</f>
        <v>202.62941434552158</v>
      </c>
      <c r="S28" s="30">
        <f>VLOOKUP(N28,$X$5:$AE$391,8,0)*O28</f>
        <v>23036487.829354916</v>
      </c>
      <c r="T28" s="30">
        <f>S28/O28</f>
        <v>197400.00000000003</v>
      </c>
      <c r="U28" s="30">
        <f>VLOOKUP(N28,$X$5:$AG$391,10,0)*O28</f>
        <v>23036487.829354916</v>
      </c>
      <c r="V28" s="31"/>
      <c r="X28" s="233"/>
      <c r="Y28" s="234" t="s">
        <v>27</v>
      </c>
      <c r="Z28" s="234" t="s">
        <v>28</v>
      </c>
      <c r="AA28" s="234" t="s">
        <v>29</v>
      </c>
      <c r="AB28" s="234" t="s">
        <v>30</v>
      </c>
      <c r="AC28" s="234" t="s">
        <v>31</v>
      </c>
      <c r="AD28" s="234" t="s">
        <v>32</v>
      </c>
      <c r="AE28" s="235" t="s">
        <v>33</v>
      </c>
      <c r="AF28" s="14"/>
      <c r="AG28" s="14"/>
      <c r="AH28" s="14"/>
      <c r="AM28" s="159" t="s">
        <v>319</v>
      </c>
      <c r="AN28" s="81" t="s">
        <v>320</v>
      </c>
      <c r="AO28" s="81" t="s">
        <v>343</v>
      </c>
      <c r="AP28" s="81">
        <f>SUM(O21:O24)/SUM(O$17:O$25,2*O$28,O$26,O31,2*O29)</f>
        <v>1.8596791926035174E-2</v>
      </c>
      <c r="AQ28" s="81" t="s">
        <v>322</v>
      </c>
      <c r="AR28" s="167">
        <v>0.13569049999999999</v>
      </c>
      <c r="AV28" s="168" t="s">
        <v>319</v>
      </c>
      <c r="AW28" s="168" t="s">
        <v>320</v>
      </c>
      <c r="AX28" s="168" t="s">
        <v>343</v>
      </c>
      <c r="AY28" s="169" t="s">
        <v>323</v>
      </c>
      <c r="AZ28" s="162">
        <f t="shared" si="25"/>
        <v>1.8596791926035174E-2</v>
      </c>
      <c r="BA28" s="168" t="s">
        <v>322</v>
      </c>
      <c r="BC28" s="81" t="s">
        <v>406</v>
      </c>
      <c r="BD28" s="167">
        <v>0.22500000000000001</v>
      </c>
      <c r="BE28" s="167">
        <v>9.9500000000000001E-4</v>
      </c>
      <c r="BF28" s="81">
        <v>225.89</v>
      </c>
      <c r="BG28" s="81" t="s">
        <v>388</v>
      </c>
      <c r="BJ28" s="175" t="s">
        <v>319</v>
      </c>
      <c r="BK28" s="175" t="s">
        <v>320</v>
      </c>
      <c r="BL28" s="175" t="s">
        <v>343</v>
      </c>
      <c r="BM28" s="175" t="s">
        <v>323</v>
      </c>
      <c r="BN28" s="174">
        <f>BD56</f>
        <v>0.255</v>
      </c>
      <c r="BO28" s="175" t="s">
        <v>322</v>
      </c>
      <c r="BQ28" s="81" t="s">
        <v>406</v>
      </c>
      <c r="BR28" s="167">
        <v>0.13700000000000001</v>
      </c>
      <c r="BS28" s="167">
        <v>1.8699999999999999E-3</v>
      </c>
      <c r="BT28" s="81">
        <v>73.45</v>
      </c>
      <c r="BU28" s="81" t="s">
        <v>422</v>
      </c>
      <c r="BV28" s="167">
        <v>2E-16</v>
      </c>
      <c r="BW28" s="81" t="s">
        <v>389</v>
      </c>
      <c r="BY28" s="178" t="s">
        <v>319</v>
      </c>
      <c r="BZ28" s="178" t="s">
        <v>320</v>
      </c>
      <c r="CA28" s="178" t="s">
        <v>341</v>
      </c>
      <c r="CB28" s="178" t="s">
        <v>323</v>
      </c>
      <c r="CC28" s="177">
        <f>BR53</f>
        <v>0.46800000000000003</v>
      </c>
      <c r="CD28" s="178" t="s">
        <v>322</v>
      </c>
      <c r="CK28" s="255"/>
      <c r="CL28" s="255"/>
      <c r="CM28" s="255"/>
      <c r="CP28" s="258" t="s">
        <v>442</v>
      </c>
      <c r="CQ28" s="258" t="s">
        <v>457</v>
      </c>
      <c r="CR28" s="259">
        <v>0.14099999999999999</v>
      </c>
      <c r="CS28" s="259">
        <v>8.0099999999999998E-3</v>
      </c>
      <c r="CT28" s="258">
        <v>17.649999999999999</v>
      </c>
      <c r="CU28" s="258" t="s">
        <v>422</v>
      </c>
      <c r="CV28" s="167">
        <v>2E-16</v>
      </c>
      <c r="CW28" s="81" t="s">
        <v>389</v>
      </c>
      <c r="CX28" s="260" t="s">
        <v>467</v>
      </c>
      <c r="CY28" s="264" t="s">
        <v>327</v>
      </c>
      <c r="CZ28" s="261" t="s">
        <v>323</v>
      </c>
      <c r="DA28" s="262">
        <f t="shared" ref="DA28:DA30" si="26">CR34</f>
        <v>1060000</v>
      </c>
      <c r="DB28" s="260" t="s">
        <v>322</v>
      </c>
      <c r="DD28" s="170" t="s">
        <v>467</v>
      </c>
      <c r="DE28" s="293" t="s">
        <v>327</v>
      </c>
      <c r="DF28" s="291" t="s">
        <v>323</v>
      </c>
      <c r="DG28" s="295">
        <f>AP9</f>
        <v>897190.73464052298</v>
      </c>
      <c r="DH28" s="170" t="s">
        <v>322</v>
      </c>
      <c r="DJ28" s="308" t="s">
        <v>442</v>
      </c>
      <c r="DK28" s="308" t="s">
        <v>457</v>
      </c>
      <c r="DL28" s="312">
        <v>0.159</v>
      </c>
      <c r="DM28" s="312">
        <v>9.5999999999999992E-3</v>
      </c>
      <c r="DN28" s="308">
        <v>16.53</v>
      </c>
      <c r="DO28" s="308" t="s">
        <v>422</v>
      </c>
      <c r="DP28" s="312">
        <v>2E-16</v>
      </c>
      <c r="DQ28" s="308" t="s">
        <v>389</v>
      </c>
      <c r="DR28" s="309" t="s">
        <v>467</v>
      </c>
      <c r="DS28" s="314" t="s">
        <v>327</v>
      </c>
      <c r="DT28" s="310" t="s">
        <v>323</v>
      </c>
      <c r="DU28" s="311">
        <f t="shared" ref="DU28:DU30" si="27">DL34</f>
        <v>691000</v>
      </c>
      <c r="DV28" s="309" t="s">
        <v>322</v>
      </c>
      <c r="DX28" s="167">
        <f t="shared" si="9"/>
        <v>0.65188679245283021</v>
      </c>
      <c r="EH28" s="167">
        <f t="shared" si="10"/>
        <v>0.77018182792186618</v>
      </c>
    </row>
    <row r="29" spans="1:138" ht="15" customHeight="1" thickTop="1" thickBot="1" x14ac:dyDescent="0.3">
      <c r="A29" s="188"/>
      <c r="B29" s="189"/>
      <c r="C29" s="190"/>
      <c r="D29" s="188"/>
      <c r="E29" s="189"/>
      <c r="F29" s="189"/>
      <c r="G29" s="189"/>
      <c r="H29" s="190"/>
      <c r="I29" s="189"/>
      <c r="L29" s="218">
        <v>2</v>
      </c>
      <c r="M29" s="219">
        <v>2</v>
      </c>
      <c r="N29" s="219" t="s">
        <v>99</v>
      </c>
      <c r="O29" s="220">
        <f>B8-B7</f>
        <v>44.300000000000011</v>
      </c>
      <c r="P29" s="221"/>
      <c r="Q29" s="30">
        <f t="shared" ref="Q29:Q31" si="28">VLOOKUP(N29,$X$5:$AA$391,4,0)</f>
        <v>1.4911242603550294</v>
      </c>
      <c r="R29" s="30">
        <f t="shared" ref="R29:R31" si="29">Q29*O29</f>
        <v>66.056804733727816</v>
      </c>
      <c r="S29" s="30">
        <f t="shared" ref="S29:S31" si="30">VLOOKUP(N29,$X$5:$AE$391,8,0)*O29</f>
        <v>20260605.000000004</v>
      </c>
      <c r="T29" s="30">
        <f t="shared" ref="T29:T31" si="31">S29/O29</f>
        <v>457349.99999999994</v>
      </c>
      <c r="U29" s="30">
        <f t="shared" ref="U29:U31" si="32">VLOOKUP(N29,$X$5:$AG$391,10,0)*O29</f>
        <v>20260605.000000004</v>
      </c>
      <c r="X29" s="239"/>
      <c r="Y29" s="240" t="s">
        <v>103</v>
      </c>
      <c r="Z29" s="240">
        <v>0.02</v>
      </c>
      <c r="AA29" s="240">
        <v>0.18</v>
      </c>
      <c r="AB29" s="240">
        <v>550</v>
      </c>
      <c r="AC29" s="240">
        <v>1880</v>
      </c>
      <c r="AD29" s="241">
        <f>Z29/AA29</f>
        <v>0.11111111111111112</v>
      </c>
      <c r="AE29" s="242">
        <f>Z29*AB29*AC29</f>
        <v>20680</v>
      </c>
      <c r="AF29" s="14" t="s">
        <v>104</v>
      </c>
      <c r="AG29" s="14"/>
      <c r="AH29" s="14"/>
      <c r="AQ29" s="81" t="s">
        <v>322</v>
      </c>
      <c r="AV29" s="168"/>
      <c r="AW29" s="168"/>
      <c r="AX29" s="168"/>
      <c r="AY29" s="169"/>
      <c r="BA29" s="168"/>
      <c r="BC29" s="81" t="s">
        <v>407</v>
      </c>
      <c r="BD29" s="167">
        <v>0.46500000000000002</v>
      </c>
      <c r="BE29" s="167">
        <v>2.8900000000000002E-3</v>
      </c>
      <c r="BF29" s="81">
        <v>161.16999999999999</v>
      </c>
      <c r="BG29" s="81" t="s">
        <v>388</v>
      </c>
      <c r="BJ29" s="175"/>
      <c r="BK29" s="175"/>
      <c r="BL29" s="175"/>
      <c r="BM29" s="175"/>
      <c r="BN29" s="174"/>
      <c r="BO29" s="175"/>
      <c r="BQ29" s="81" t="s">
        <v>407</v>
      </c>
      <c r="BR29" s="167">
        <v>0.76900000000000002</v>
      </c>
      <c r="BS29" s="167">
        <v>3.4299999999999997E-2</v>
      </c>
      <c r="BT29" s="81">
        <v>22.44</v>
      </c>
      <c r="BU29" s="81" t="s">
        <v>422</v>
      </c>
      <c r="BV29" s="167">
        <v>2E-16</v>
      </c>
      <c r="BW29" s="81" t="s">
        <v>389</v>
      </c>
      <c r="BY29" s="178" t="s">
        <v>319</v>
      </c>
      <c r="BZ29" s="178" t="s">
        <v>320</v>
      </c>
      <c r="CA29" s="178" t="s">
        <v>342</v>
      </c>
      <c r="CB29" s="178" t="s">
        <v>323</v>
      </c>
      <c r="CC29" s="177">
        <f t="shared" ref="CC29:CC30" si="33">BR54</f>
        <v>0.14099999999999999</v>
      </c>
      <c r="CD29" s="178" t="s">
        <v>322</v>
      </c>
      <c r="CJ29" s="81" t="s">
        <v>344</v>
      </c>
      <c r="CK29" s="256">
        <f t="shared" ref="CK29:CK34" si="34">AZ30</f>
        <v>1538247.9853594769</v>
      </c>
      <c r="CL29" s="256">
        <f t="shared" ref="CL29:CL34" si="35">BN30</f>
        <v>858000</v>
      </c>
      <c r="CM29" s="256">
        <f t="shared" ref="CM29:CM34" si="36">CC32</f>
        <v>752000</v>
      </c>
      <c r="CP29" s="258" t="s">
        <v>442</v>
      </c>
      <c r="CQ29" s="258" t="s">
        <v>360</v>
      </c>
      <c r="CR29" s="259">
        <v>0.23499999999999999</v>
      </c>
      <c r="CS29" s="259">
        <v>0.02</v>
      </c>
      <c r="CT29" s="258">
        <v>11.75</v>
      </c>
      <c r="CU29" s="258" t="s">
        <v>422</v>
      </c>
      <c r="CV29" s="167">
        <v>2E-16</v>
      </c>
      <c r="CW29" s="81" t="s">
        <v>389</v>
      </c>
      <c r="CX29" s="260" t="s">
        <v>467</v>
      </c>
      <c r="CY29" s="264" t="s">
        <v>328</v>
      </c>
      <c r="CZ29" s="261" t="s">
        <v>323</v>
      </c>
      <c r="DA29" s="262">
        <f t="shared" si="26"/>
        <v>4460000</v>
      </c>
      <c r="DB29" s="260" t="s">
        <v>322</v>
      </c>
      <c r="DD29" s="170" t="s">
        <v>467</v>
      </c>
      <c r="DE29" s="293" t="s">
        <v>328</v>
      </c>
      <c r="DF29" s="291" t="s">
        <v>323</v>
      </c>
      <c r="DG29" s="295">
        <f>AP10</f>
        <v>5508256.8270944748</v>
      </c>
      <c r="DH29" s="170" t="s">
        <v>322</v>
      </c>
      <c r="DJ29" s="308" t="s">
        <v>442</v>
      </c>
      <c r="DK29" s="308" t="s">
        <v>360</v>
      </c>
      <c r="DL29" s="312">
        <v>0.109</v>
      </c>
      <c r="DM29" s="312">
        <v>2.3E-2</v>
      </c>
      <c r="DN29" s="308">
        <v>4.72</v>
      </c>
      <c r="DO29" s="312">
        <v>2.3999999999999999E-6</v>
      </c>
      <c r="DP29" s="312" t="s">
        <v>389</v>
      </c>
      <c r="DR29" s="309" t="s">
        <v>467</v>
      </c>
      <c r="DS29" s="314" t="s">
        <v>328</v>
      </c>
      <c r="DT29" s="310" t="s">
        <v>323</v>
      </c>
      <c r="DU29" s="311">
        <f t="shared" si="27"/>
        <v>4690000</v>
      </c>
      <c r="DV29" s="309" t="s">
        <v>322</v>
      </c>
      <c r="DX29" s="167">
        <f t="shared" si="9"/>
        <v>1.0515695067264574</v>
      </c>
      <c r="EH29" s="167">
        <f t="shared" si="10"/>
        <v>0.85144904226876916</v>
      </c>
    </row>
    <row r="30" spans="1:138" ht="15" customHeight="1" thickTop="1" thickBot="1" x14ac:dyDescent="0.3">
      <c r="A30" s="205"/>
      <c r="B30" s="187"/>
      <c r="C30" s="210"/>
      <c r="D30" s="205"/>
      <c r="E30" s="187"/>
      <c r="F30" s="187"/>
      <c r="G30" s="187"/>
      <c r="H30" s="210"/>
      <c r="I30" s="189"/>
      <c r="L30" s="218" t="s">
        <v>511</v>
      </c>
      <c r="M30" s="219">
        <v>1</v>
      </c>
      <c r="N30" s="219" t="s">
        <v>512</v>
      </c>
      <c r="O30" s="220">
        <f>'Tabula data'!B$19*C$43</f>
        <v>75.273166376049957</v>
      </c>
      <c r="P30" s="221"/>
      <c r="Q30" s="30">
        <f t="shared" si="28"/>
        <v>1.8430034129692836</v>
      </c>
      <c r="R30" s="30">
        <f t="shared" si="29"/>
        <v>138.72870253606479</v>
      </c>
      <c r="S30" s="30">
        <f t="shared" si="30"/>
        <v>13625948.577392565</v>
      </c>
      <c r="T30" s="30">
        <f t="shared" si="31"/>
        <v>181020.00000000003</v>
      </c>
      <c r="U30" s="30">
        <f t="shared" si="32"/>
        <v>13625948.577392565</v>
      </c>
      <c r="X30" s="188"/>
      <c r="Y30" s="189" t="s">
        <v>129</v>
      </c>
      <c r="Z30" s="189">
        <v>0.08</v>
      </c>
      <c r="AA30" s="189">
        <v>0.6</v>
      </c>
      <c r="AB30" s="189">
        <v>1100</v>
      </c>
      <c r="AC30" s="189">
        <v>860</v>
      </c>
      <c r="AD30" s="236">
        <f>Z30/AA30</f>
        <v>0.13333333333333333</v>
      </c>
      <c r="AE30" s="190">
        <f>Z30*AB30*AC30</f>
        <v>75680</v>
      </c>
      <c r="AF30" s="14"/>
      <c r="AG30" s="14"/>
      <c r="AH30" s="14"/>
      <c r="AM30" s="159" t="s">
        <v>319</v>
      </c>
      <c r="AN30" s="81" t="s">
        <v>320</v>
      </c>
      <c r="AO30" s="81" t="s">
        <v>344</v>
      </c>
      <c r="AP30" s="167">
        <f>B35*1.04*1012*5</f>
        <v>1538247.9853594769</v>
      </c>
      <c r="AQ30" s="81" t="s">
        <v>322</v>
      </c>
      <c r="AR30" s="167">
        <v>1612741</v>
      </c>
      <c r="AV30" s="168" t="s">
        <v>319</v>
      </c>
      <c r="AW30" s="168" t="s">
        <v>320</v>
      </c>
      <c r="AX30" s="168" t="s">
        <v>344</v>
      </c>
      <c r="AY30" s="169" t="s">
        <v>323</v>
      </c>
      <c r="AZ30" s="162">
        <f>AP30</f>
        <v>1538247.9853594769</v>
      </c>
      <c r="BA30" s="168" t="s">
        <v>322</v>
      </c>
      <c r="BC30" s="81" t="s">
        <v>408</v>
      </c>
      <c r="BD30" s="167">
        <v>0.11</v>
      </c>
      <c r="BE30" s="167">
        <v>6.3400000000000001E-4</v>
      </c>
      <c r="BF30" s="81">
        <v>173.77</v>
      </c>
      <c r="BG30" s="81" t="s">
        <v>388</v>
      </c>
      <c r="BJ30" s="175" t="s">
        <v>319</v>
      </c>
      <c r="BK30" s="175" t="s">
        <v>320</v>
      </c>
      <c r="BL30" s="175" t="s">
        <v>344</v>
      </c>
      <c r="BM30" s="175" t="s">
        <v>323</v>
      </c>
      <c r="BN30" s="174">
        <f>BD59</f>
        <v>858000</v>
      </c>
      <c r="BO30" s="175" t="s">
        <v>322</v>
      </c>
      <c r="BQ30" s="81" t="s">
        <v>408</v>
      </c>
      <c r="BR30" s="167">
        <v>7.2499999999999995E-2</v>
      </c>
      <c r="BS30" s="167">
        <v>7.0500000000000001E-4</v>
      </c>
      <c r="BT30" s="81">
        <v>102.71</v>
      </c>
      <c r="BU30" s="81" t="s">
        <v>422</v>
      </c>
      <c r="BV30" s="167">
        <v>2E-16</v>
      </c>
      <c r="BW30" s="81" t="s">
        <v>389</v>
      </c>
      <c r="BY30" s="178" t="s">
        <v>319</v>
      </c>
      <c r="BZ30" s="178" t="s">
        <v>320</v>
      </c>
      <c r="CA30" s="178" t="s">
        <v>343</v>
      </c>
      <c r="CB30" s="178" t="s">
        <v>323</v>
      </c>
      <c r="CC30" s="177">
        <f t="shared" si="33"/>
        <v>0.108</v>
      </c>
      <c r="CD30" s="178" t="s">
        <v>322</v>
      </c>
      <c r="CJ30" s="81" t="s">
        <v>345</v>
      </c>
      <c r="CK30" s="256">
        <f t="shared" si="34"/>
        <v>10731463.172905527</v>
      </c>
      <c r="CL30" s="256">
        <f t="shared" si="35"/>
        <v>2990000</v>
      </c>
      <c r="CM30" s="256">
        <f t="shared" si="36"/>
        <v>8650000</v>
      </c>
      <c r="CP30" s="258" t="s">
        <v>442</v>
      </c>
      <c r="CQ30" s="258" t="s">
        <v>458</v>
      </c>
      <c r="CR30" s="259">
        <v>0.14299999999999999</v>
      </c>
      <c r="CS30" s="259">
        <v>4.3699999999999998E-3</v>
      </c>
      <c r="CT30" s="258">
        <v>32.69</v>
      </c>
      <c r="CU30" s="258" t="s">
        <v>422</v>
      </c>
      <c r="CV30" s="167">
        <v>2E-16</v>
      </c>
      <c r="CW30" s="81" t="s">
        <v>389</v>
      </c>
      <c r="CX30" s="260" t="s">
        <v>467</v>
      </c>
      <c r="CY30" s="264" t="s">
        <v>329</v>
      </c>
      <c r="CZ30" s="261" t="s">
        <v>323</v>
      </c>
      <c r="DA30" s="262">
        <f t="shared" si="26"/>
        <v>17100000</v>
      </c>
      <c r="DB30" s="260" t="s">
        <v>322</v>
      </c>
      <c r="DD30" s="170" t="s">
        <v>467</v>
      </c>
      <c r="DE30" s="293" t="s">
        <v>329</v>
      </c>
      <c r="DF30" s="291" t="s">
        <v>323</v>
      </c>
      <c r="DG30" s="295">
        <f>AP11</f>
        <v>27062093.877674829</v>
      </c>
      <c r="DH30" s="170" t="s">
        <v>322</v>
      </c>
      <c r="DJ30" s="308" t="s">
        <v>442</v>
      </c>
      <c r="DK30" s="308" t="s">
        <v>458</v>
      </c>
      <c r="DL30" s="312">
        <v>0.14499999999999999</v>
      </c>
      <c r="DM30" s="312">
        <v>5.0499999999999998E-3</v>
      </c>
      <c r="DN30" s="308">
        <v>28.6</v>
      </c>
      <c r="DO30" s="308" t="s">
        <v>422</v>
      </c>
      <c r="DP30" s="312">
        <v>2E-16</v>
      </c>
      <c r="DQ30" s="308" t="s">
        <v>389</v>
      </c>
      <c r="DR30" s="309" t="s">
        <v>467</v>
      </c>
      <c r="DS30" s="314" t="s">
        <v>329</v>
      </c>
      <c r="DT30" s="310" t="s">
        <v>323</v>
      </c>
      <c r="DU30" s="311">
        <f t="shared" si="27"/>
        <v>18700000</v>
      </c>
      <c r="DV30" s="309" t="s">
        <v>322</v>
      </c>
      <c r="DX30" s="167">
        <f t="shared" si="9"/>
        <v>1.0935672514619883</v>
      </c>
      <c r="EH30" s="167">
        <f t="shared" si="10"/>
        <v>0.69100344136440861</v>
      </c>
    </row>
    <row r="31" spans="1:138" ht="15" customHeight="1" thickTop="1" thickBot="1" x14ac:dyDescent="0.3">
      <c r="L31" s="223" t="s">
        <v>511</v>
      </c>
      <c r="M31" s="224">
        <v>2</v>
      </c>
      <c r="N31" s="224" t="s">
        <v>512</v>
      </c>
      <c r="O31" s="220">
        <f>'Tabula data'!B$19*(1-C$43)</f>
        <v>129.05705783506633</v>
      </c>
      <c r="P31" s="225"/>
      <c r="Q31" s="30">
        <f t="shared" si="28"/>
        <v>1.8430034129692836</v>
      </c>
      <c r="R31" s="30">
        <f t="shared" si="29"/>
        <v>237.85259805780146</v>
      </c>
      <c r="S31" s="30">
        <f t="shared" si="30"/>
        <v>23361908.609303713</v>
      </c>
      <c r="T31" s="30">
        <f t="shared" si="31"/>
        <v>181020.00000000003</v>
      </c>
      <c r="U31" s="30">
        <f t="shared" si="32"/>
        <v>23361908.609303713</v>
      </c>
      <c r="X31" s="188"/>
      <c r="Y31" s="189" t="s">
        <v>278</v>
      </c>
      <c r="Z31" s="189">
        <v>0.2</v>
      </c>
      <c r="AA31" s="189">
        <v>1.4</v>
      </c>
      <c r="AB31" s="189">
        <v>2100</v>
      </c>
      <c r="AC31" s="189">
        <v>840</v>
      </c>
      <c r="AD31" s="236">
        <f>Z31/AA31</f>
        <v>0.14285714285714288</v>
      </c>
      <c r="AE31" s="190">
        <f>Z31*AB31*AC31</f>
        <v>352800</v>
      </c>
      <c r="AF31" s="14"/>
      <c r="AG31" s="14"/>
      <c r="AH31" s="14"/>
      <c r="AM31" s="159" t="s">
        <v>319</v>
      </c>
      <c r="AN31" s="81" t="s">
        <v>320</v>
      </c>
      <c r="AO31" s="81" t="s">
        <v>345</v>
      </c>
      <c r="AP31" s="167">
        <f>U25+SUM(U17:U20)</f>
        <v>10731463.172905527</v>
      </c>
      <c r="AQ31" s="81" t="s">
        <v>322</v>
      </c>
      <c r="AR31" s="167">
        <v>6867267</v>
      </c>
      <c r="AV31" s="168" t="s">
        <v>319</v>
      </c>
      <c r="AW31" s="168" t="s">
        <v>320</v>
      </c>
      <c r="AX31" s="168" t="s">
        <v>345</v>
      </c>
      <c r="AY31" s="169" t="s">
        <v>323</v>
      </c>
      <c r="AZ31" s="162">
        <f t="shared" ref="AZ31:AZ35" si="37">AP31</f>
        <v>10731463.172905527</v>
      </c>
      <c r="BA31" s="168" t="s">
        <v>322</v>
      </c>
      <c r="BC31" s="81" t="s">
        <v>409</v>
      </c>
      <c r="BD31" s="167">
        <v>7.3400000000000007E-2</v>
      </c>
      <c r="BE31" s="167">
        <v>4.9700000000000005E-4</v>
      </c>
      <c r="BF31" s="81">
        <v>147.68</v>
      </c>
      <c r="BG31" s="81" t="s">
        <v>388</v>
      </c>
      <c r="BJ31" s="175" t="s">
        <v>319</v>
      </c>
      <c r="BK31" s="175" t="s">
        <v>320</v>
      </c>
      <c r="BL31" s="175" t="s">
        <v>345</v>
      </c>
      <c r="BM31" s="175" t="s">
        <v>323</v>
      </c>
      <c r="BN31" s="174">
        <f>BD60</f>
        <v>2990000</v>
      </c>
      <c r="BO31" s="175" t="s">
        <v>322</v>
      </c>
      <c r="BQ31" s="81" t="s">
        <v>409</v>
      </c>
      <c r="BR31" s="167">
        <v>4.4299999999999999E-2</v>
      </c>
      <c r="BS31" s="167">
        <v>3.0499999999999999E-4</v>
      </c>
      <c r="BT31" s="81">
        <v>145.31</v>
      </c>
      <c r="BU31" s="81" t="s">
        <v>422</v>
      </c>
      <c r="BV31" s="167">
        <v>2E-16</v>
      </c>
      <c r="BW31" s="81" t="s">
        <v>389</v>
      </c>
      <c r="BY31" s="178"/>
      <c r="BZ31" s="178"/>
      <c r="CA31" s="178"/>
      <c r="CB31" s="178"/>
      <c r="CC31" s="177"/>
      <c r="CD31" s="178"/>
      <c r="CJ31" s="81" t="s">
        <v>346</v>
      </c>
      <c r="CK31" s="256">
        <f t="shared" si="34"/>
        <v>46855746.438658625</v>
      </c>
      <c r="CL31" s="256">
        <f t="shared" si="35"/>
        <v>5280000</v>
      </c>
      <c r="CM31" s="256">
        <f t="shared" si="36"/>
        <v>17100000</v>
      </c>
      <c r="CP31" s="258" t="s">
        <v>442</v>
      </c>
      <c r="CQ31" s="258" t="s">
        <v>459</v>
      </c>
      <c r="CR31" s="259">
        <v>0.107</v>
      </c>
      <c r="CS31" s="259">
        <v>4.1700000000000001E-3</v>
      </c>
      <c r="CT31" s="258">
        <v>25.72</v>
      </c>
      <c r="CU31" s="258" t="s">
        <v>422</v>
      </c>
      <c r="CV31" s="167">
        <v>2E-16</v>
      </c>
      <c r="CW31" s="81" t="s">
        <v>389</v>
      </c>
      <c r="CZ31" s="261"/>
      <c r="DF31" s="291"/>
      <c r="DJ31" s="308" t="s">
        <v>442</v>
      </c>
      <c r="DK31" s="308" t="s">
        <v>459</v>
      </c>
      <c r="DL31" s="312">
        <v>9.4899999999999998E-2</v>
      </c>
      <c r="DM31" s="312">
        <v>4.9899999999999996E-3</v>
      </c>
      <c r="DN31" s="308">
        <v>19</v>
      </c>
      <c r="DO31" s="308" t="s">
        <v>422</v>
      </c>
      <c r="DP31" s="312">
        <v>2E-16</v>
      </c>
      <c r="DQ31" s="308" t="s">
        <v>389</v>
      </c>
      <c r="DT31" s="310"/>
      <c r="DX31" s="167"/>
      <c r="EH31" s="167"/>
    </row>
    <row r="32" spans="1:138" ht="15" customHeight="1" thickTop="1" thickBot="1" x14ac:dyDescent="0.3">
      <c r="L32" s="218"/>
      <c r="M32" s="219"/>
      <c r="N32" s="219"/>
      <c r="O32" s="220"/>
      <c r="P32" s="221"/>
      <c r="Q32" s="81"/>
      <c r="R32" s="81"/>
      <c r="X32" s="205"/>
      <c r="Y32" s="187" t="s">
        <v>80</v>
      </c>
      <c r="Z32" s="187">
        <v>0.01</v>
      </c>
      <c r="AA32" s="187">
        <v>0.6</v>
      </c>
      <c r="AB32" s="187">
        <v>975</v>
      </c>
      <c r="AC32" s="187">
        <v>840</v>
      </c>
      <c r="AD32" s="237">
        <f>Z32/AA32</f>
        <v>1.6666666666666666E-2</v>
      </c>
      <c r="AE32" s="210">
        <f>Z32*AB32*AC32</f>
        <v>8190</v>
      </c>
      <c r="AF32" s="14"/>
      <c r="AG32" s="14"/>
      <c r="AH32" s="14"/>
      <c r="AM32" s="159" t="s">
        <v>319</v>
      </c>
      <c r="AN32" s="81" t="s">
        <v>320</v>
      </c>
      <c r="AO32" s="81" t="s">
        <v>346</v>
      </c>
      <c r="AP32" s="167">
        <f>SUM(U28,U31,AG27)</f>
        <v>46855746.438658625</v>
      </c>
      <c r="AQ32" s="81" t="s">
        <v>322</v>
      </c>
      <c r="AR32" s="167">
        <v>4590824</v>
      </c>
      <c r="AV32" s="168" t="s">
        <v>319</v>
      </c>
      <c r="AW32" s="168" t="s">
        <v>320</v>
      </c>
      <c r="AX32" s="168" t="s">
        <v>346</v>
      </c>
      <c r="AY32" s="169" t="s">
        <v>323</v>
      </c>
      <c r="AZ32" s="162">
        <f t="shared" si="37"/>
        <v>46855746.438658625</v>
      </c>
      <c r="BA32" s="168" t="s">
        <v>322</v>
      </c>
      <c r="BC32" s="81" t="s">
        <v>410</v>
      </c>
      <c r="BD32" s="167">
        <v>637</v>
      </c>
      <c r="BE32" s="167">
        <v>4.58</v>
      </c>
      <c r="BF32" s="81">
        <v>139.22</v>
      </c>
      <c r="BG32" s="81" t="s">
        <v>388</v>
      </c>
      <c r="BJ32" s="175" t="s">
        <v>319</v>
      </c>
      <c r="BK32" s="175" t="s">
        <v>320</v>
      </c>
      <c r="BL32" s="175" t="s">
        <v>346</v>
      </c>
      <c r="BM32" s="175" t="s">
        <v>323</v>
      </c>
      <c r="BN32" s="174">
        <f>BD61</f>
        <v>5280000</v>
      </c>
      <c r="BO32" s="175" t="s">
        <v>322</v>
      </c>
      <c r="BQ32" s="81" t="s">
        <v>410</v>
      </c>
      <c r="BR32" s="167">
        <v>278</v>
      </c>
      <c r="BS32" s="167">
        <v>2.25</v>
      </c>
      <c r="BT32" s="81">
        <v>123.56</v>
      </c>
      <c r="BU32" s="81" t="s">
        <v>422</v>
      </c>
      <c r="BV32" s="167">
        <v>2E-16</v>
      </c>
      <c r="BW32" s="81" t="s">
        <v>389</v>
      </c>
      <c r="BY32" s="178" t="s">
        <v>319</v>
      </c>
      <c r="BZ32" s="178" t="s">
        <v>320</v>
      </c>
      <c r="CA32" s="178" t="s">
        <v>344</v>
      </c>
      <c r="CB32" s="178" t="s">
        <v>323</v>
      </c>
      <c r="CC32" s="177">
        <f>BR58</f>
        <v>752000</v>
      </c>
      <c r="CD32" s="178" t="s">
        <v>322</v>
      </c>
      <c r="CJ32" s="81" t="s">
        <v>347</v>
      </c>
      <c r="CK32" s="254">
        <f t="shared" si="34"/>
        <v>3.9867559906689456E-2</v>
      </c>
      <c r="CL32" s="254">
        <f t="shared" si="35"/>
        <v>0.38</v>
      </c>
      <c r="CM32" s="254">
        <f t="shared" si="36"/>
        <v>0.23</v>
      </c>
      <c r="CP32" s="258" t="s">
        <v>442</v>
      </c>
      <c r="CQ32" s="258" t="s">
        <v>308</v>
      </c>
      <c r="CR32" s="259">
        <v>3180000000</v>
      </c>
      <c r="CS32" s="259">
        <v>380000000</v>
      </c>
      <c r="CT32" s="258">
        <v>8.35</v>
      </c>
      <c r="CU32" s="258" t="s">
        <v>422</v>
      </c>
      <c r="CV32" s="167">
        <v>2E-16</v>
      </c>
      <c r="CW32" s="81" t="s">
        <v>389</v>
      </c>
      <c r="CX32" s="260" t="s">
        <v>467</v>
      </c>
      <c r="CY32" s="264" t="s">
        <v>335</v>
      </c>
      <c r="CZ32" s="261" t="s">
        <v>323</v>
      </c>
      <c r="DA32" s="262">
        <f>CR47</f>
        <v>59.1</v>
      </c>
      <c r="DB32" s="260" t="s">
        <v>322</v>
      </c>
      <c r="DD32" s="170" t="s">
        <v>467</v>
      </c>
      <c r="DE32" s="293" t="s">
        <v>335</v>
      </c>
      <c r="DF32" s="291" t="s">
        <v>323</v>
      </c>
      <c r="DG32" s="170">
        <f>AP19</f>
        <v>72.867661880313506</v>
      </c>
      <c r="DH32" s="170" t="s">
        <v>322</v>
      </c>
      <c r="DJ32" s="308" t="s">
        <v>442</v>
      </c>
      <c r="DK32" s="308" t="s">
        <v>308</v>
      </c>
      <c r="DL32" s="312">
        <v>2880000000</v>
      </c>
      <c r="DM32" s="312">
        <v>379000000</v>
      </c>
      <c r="DN32" s="308">
        <v>7.6</v>
      </c>
      <c r="DO32" s="312">
        <v>3.4E-14</v>
      </c>
      <c r="DP32" s="312" t="s">
        <v>389</v>
      </c>
      <c r="DR32" s="309" t="s">
        <v>467</v>
      </c>
      <c r="DS32" s="314" t="s">
        <v>335</v>
      </c>
      <c r="DT32" s="310" t="s">
        <v>323</v>
      </c>
      <c r="DU32" s="311">
        <f>DL47</f>
        <v>52.8</v>
      </c>
      <c r="DV32" s="309" t="s">
        <v>322</v>
      </c>
      <c r="DX32" s="167">
        <f t="shared" si="9"/>
        <v>0.8934010152284263</v>
      </c>
      <c r="EH32" s="167">
        <f t="shared" si="10"/>
        <v>0.7246012653284386</v>
      </c>
    </row>
    <row r="33" spans="1:138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7" t="s">
        <v>112</v>
      </c>
      <c r="F33" s="317"/>
      <c r="G33" s="72" t="s">
        <v>113</v>
      </c>
      <c r="L33" s="223"/>
      <c r="M33" s="224"/>
      <c r="N33" s="224"/>
      <c r="O33" s="224"/>
      <c r="P33" s="225"/>
      <c r="Q33" s="81"/>
      <c r="R33" s="81"/>
      <c r="X33" s="189"/>
      <c r="Y33" s="189"/>
      <c r="Z33" s="189"/>
      <c r="AA33" s="189"/>
      <c r="AB33" s="189"/>
      <c r="AC33" s="189"/>
      <c r="AD33" s="236"/>
      <c r="AE33" s="189"/>
      <c r="AF33" s="14"/>
      <c r="AG33" s="14"/>
      <c r="AH33" s="14"/>
      <c r="AM33" s="159" t="s">
        <v>319</v>
      </c>
      <c r="AN33" s="81" t="s">
        <v>320</v>
      </c>
      <c r="AO33" s="81" t="s">
        <v>347</v>
      </c>
      <c r="AP33" s="81">
        <f>AP26*0.2</f>
        <v>3.9867559906689456E-2</v>
      </c>
      <c r="AQ33" s="81" t="s">
        <v>322</v>
      </c>
      <c r="AR33" s="167">
        <v>0.1616958</v>
      </c>
      <c r="AV33" s="168" t="s">
        <v>319</v>
      </c>
      <c r="AW33" s="168" t="s">
        <v>320</v>
      </c>
      <c r="AX33" s="168" t="s">
        <v>347</v>
      </c>
      <c r="AY33" s="169" t="s">
        <v>323</v>
      </c>
      <c r="AZ33" s="162">
        <f t="shared" si="37"/>
        <v>3.9867559906689456E-2</v>
      </c>
      <c r="BA33" s="168" t="s">
        <v>322</v>
      </c>
      <c r="BC33" s="81" t="s">
        <v>411</v>
      </c>
      <c r="BD33" s="167">
        <v>795</v>
      </c>
      <c r="BE33" s="167">
        <v>5.28</v>
      </c>
      <c r="BF33" s="81">
        <v>150.51</v>
      </c>
      <c r="BG33" s="81" t="s">
        <v>388</v>
      </c>
      <c r="BJ33" s="175" t="s">
        <v>319</v>
      </c>
      <c r="BK33" s="175" t="s">
        <v>320</v>
      </c>
      <c r="BL33" s="175" t="s">
        <v>347</v>
      </c>
      <c r="BM33" s="175" t="s">
        <v>323</v>
      </c>
      <c r="BN33" s="174">
        <f>BD66</f>
        <v>0.38</v>
      </c>
      <c r="BO33" s="175" t="s">
        <v>322</v>
      </c>
      <c r="BQ33" s="81" t="s">
        <v>411</v>
      </c>
      <c r="BR33" s="167">
        <v>215</v>
      </c>
      <c r="BS33" s="167">
        <v>1.54</v>
      </c>
      <c r="BT33" s="81">
        <v>139.77000000000001</v>
      </c>
      <c r="BU33" s="81" t="s">
        <v>422</v>
      </c>
      <c r="BV33" s="167">
        <v>2E-16</v>
      </c>
      <c r="BW33" s="81" t="s">
        <v>389</v>
      </c>
      <c r="BY33" s="178" t="s">
        <v>319</v>
      </c>
      <c r="BZ33" s="178" t="s">
        <v>320</v>
      </c>
      <c r="CA33" s="178" t="s">
        <v>345</v>
      </c>
      <c r="CB33" s="178" t="s">
        <v>323</v>
      </c>
      <c r="CC33" s="177">
        <f t="shared" ref="CC33:CC34" si="38">BR59</f>
        <v>8650000</v>
      </c>
      <c r="CD33" s="178" t="s">
        <v>322</v>
      </c>
      <c r="CJ33" s="81" t="s">
        <v>348</v>
      </c>
      <c r="CK33" s="254">
        <f t="shared" si="34"/>
        <v>0.13751142434065794</v>
      </c>
      <c r="CL33" s="254">
        <f t="shared" si="35"/>
        <v>7.2800000000000004E-2</v>
      </c>
      <c r="CM33" s="254">
        <f t="shared" si="36"/>
        <v>4.8599999999999997E-2</v>
      </c>
      <c r="CP33" s="258" t="s">
        <v>442</v>
      </c>
      <c r="CQ33" s="258" t="s">
        <v>304</v>
      </c>
      <c r="CR33" s="259">
        <v>4610000</v>
      </c>
      <c r="CS33" s="259">
        <v>48400</v>
      </c>
      <c r="CT33" s="258">
        <v>95.24</v>
      </c>
      <c r="CU33" s="258" t="s">
        <v>422</v>
      </c>
      <c r="CV33" s="167">
        <v>2E-16</v>
      </c>
      <c r="CW33" s="81" t="s">
        <v>389</v>
      </c>
      <c r="CX33" s="260" t="s">
        <v>467</v>
      </c>
      <c r="CY33" s="264" t="s">
        <v>336</v>
      </c>
      <c r="CZ33" s="261" t="s">
        <v>323</v>
      </c>
      <c r="DA33" s="262">
        <f t="shared" ref="DA33:DA35" si="39">CR48</f>
        <v>91.4</v>
      </c>
      <c r="DB33" s="260" t="s">
        <v>322</v>
      </c>
      <c r="DD33" s="170" t="s">
        <v>467</v>
      </c>
      <c r="DE33" s="293" t="s">
        <v>336</v>
      </c>
      <c r="DF33" s="291" t="s">
        <v>323</v>
      </c>
      <c r="DG33" s="170">
        <f>AP20</f>
        <v>197.27272727272728</v>
      </c>
      <c r="DH33" s="170" t="s">
        <v>322</v>
      </c>
      <c r="DJ33" s="308" t="s">
        <v>442</v>
      </c>
      <c r="DK33" s="308" t="s">
        <v>304</v>
      </c>
      <c r="DL33" s="312">
        <v>5050000</v>
      </c>
      <c r="DM33" s="312">
        <v>70400</v>
      </c>
      <c r="DN33" s="308">
        <v>71.7</v>
      </c>
      <c r="DO33" s="308" t="s">
        <v>422</v>
      </c>
      <c r="DP33" s="312">
        <v>2E-16</v>
      </c>
      <c r="DQ33" s="308" t="s">
        <v>389</v>
      </c>
      <c r="DR33" s="309" t="s">
        <v>467</v>
      </c>
      <c r="DS33" s="314" t="s">
        <v>336</v>
      </c>
      <c r="DT33" s="310" t="s">
        <v>323</v>
      </c>
      <c r="DU33" s="311">
        <f t="shared" ref="DU33:DU35" si="40">DL48</f>
        <v>83.4</v>
      </c>
      <c r="DV33" s="309" t="s">
        <v>322</v>
      </c>
      <c r="DX33" s="167">
        <f t="shared" si="9"/>
        <v>0.91247264770240699</v>
      </c>
      <c r="EH33" s="167">
        <f t="shared" si="10"/>
        <v>0.42276497695852538</v>
      </c>
    </row>
    <row r="34" spans="1:138" ht="15" customHeight="1" thickTop="1" thickBot="1" x14ac:dyDescent="0.3">
      <c r="A34" s="73">
        <v>1</v>
      </c>
      <c r="B34" s="74">
        <f>B7*'Tabula data'!B16</f>
        <v>170.49079025549614</v>
      </c>
      <c r="C34" s="73"/>
      <c r="D34" s="73" t="s">
        <v>42</v>
      </c>
      <c r="E34" s="318">
        <v>21</v>
      </c>
      <c r="F34" s="318"/>
      <c r="G34" s="76">
        <f>VLOOKUP(D34,A6:B22,2,0)</f>
        <v>62</v>
      </c>
      <c r="L34" s="81"/>
      <c r="M34" s="81"/>
      <c r="N34" s="81"/>
      <c r="Q34" s="69" t="s">
        <v>106</v>
      </c>
      <c r="R34" s="70">
        <f>SUM(R6:R25)</f>
        <v>245.36675982922407</v>
      </c>
      <c r="S34" s="69" t="s">
        <v>107</v>
      </c>
      <c r="X34" s="226"/>
      <c r="Y34" s="226"/>
      <c r="Z34" s="227" t="s">
        <v>437</v>
      </c>
      <c r="AA34" s="227">
        <v>2.8</v>
      </c>
      <c r="AB34" s="227" t="s">
        <v>5</v>
      </c>
      <c r="AC34" s="226"/>
      <c r="AD34" s="226"/>
      <c r="AE34" s="226"/>
      <c r="AF34" s="14"/>
      <c r="AG34" s="14"/>
      <c r="AH34" s="14"/>
      <c r="AM34" s="159" t="s">
        <v>319</v>
      </c>
      <c r="AN34" s="81" t="s">
        <v>320</v>
      </c>
      <c r="AO34" s="81" t="s">
        <v>348</v>
      </c>
      <c r="AP34" s="81">
        <f>AP27*0.2</f>
        <v>0.13751142434065794</v>
      </c>
      <c r="AQ34" s="81" t="s">
        <v>322</v>
      </c>
      <c r="AR34" s="81" t="s">
        <v>349</v>
      </c>
      <c r="AV34" s="168" t="s">
        <v>319</v>
      </c>
      <c r="AW34" s="168" t="s">
        <v>320</v>
      </c>
      <c r="AX34" s="168" t="s">
        <v>348</v>
      </c>
      <c r="AY34" s="169" t="s">
        <v>323</v>
      </c>
      <c r="AZ34" s="162">
        <f t="shared" si="37"/>
        <v>0.13751142434065794</v>
      </c>
      <c r="BA34" s="168" t="s">
        <v>322</v>
      </c>
      <c r="BC34" s="81" t="s">
        <v>295</v>
      </c>
      <c r="BD34" s="167">
        <v>1310</v>
      </c>
      <c r="BE34" s="167">
        <v>8.17</v>
      </c>
      <c r="BF34" s="81">
        <v>160.79</v>
      </c>
      <c r="BG34" s="81" t="s">
        <v>388</v>
      </c>
      <c r="BJ34" s="175" t="s">
        <v>319</v>
      </c>
      <c r="BK34" s="175" t="s">
        <v>320</v>
      </c>
      <c r="BL34" s="175" t="s">
        <v>348</v>
      </c>
      <c r="BM34" s="175" t="s">
        <v>323</v>
      </c>
      <c r="BN34" s="174">
        <f>BD67</f>
        <v>7.2800000000000004E-2</v>
      </c>
      <c r="BO34" s="175" t="s">
        <v>322</v>
      </c>
      <c r="BQ34" s="81" t="s">
        <v>295</v>
      </c>
      <c r="BR34" s="167">
        <v>457</v>
      </c>
      <c r="BS34" s="167">
        <v>3.7</v>
      </c>
      <c r="BT34" s="81">
        <v>123.52</v>
      </c>
      <c r="BU34" s="81" t="s">
        <v>422</v>
      </c>
      <c r="BV34" s="167">
        <v>2E-16</v>
      </c>
      <c r="BW34" s="81" t="s">
        <v>389</v>
      </c>
      <c r="BY34" s="178" t="s">
        <v>319</v>
      </c>
      <c r="BZ34" s="178" t="s">
        <v>320</v>
      </c>
      <c r="CA34" s="178" t="s">
        <v>346</v>
      </c>
      <c r="CB34" s="178" t="s">
        <v>323</v>
      </c>
      <c r="CC34" s="177">
        <f t="shared" si="38"/>
        <v>17100000</v>
      </c>
      <c r="CD34" s="178" t="s">
        <v>322</v>
      </c>
      <c r="CJ34" s="81" t="s">
        <v>350</v>
      </c>
      <c r="CK34" s="254">
        <f t="shared" si="34"/>
        <v>0.80371935838520703</v>
      </c>
      <c r="CL34" s="254">
        <f t="shared" si="35"/>
        <v>0.41799999999999998</v>
      </c>
      <c r="CM34" s="254">
        <f t="shared" si="36"/>
        <v>0.63200000000000001</v>
      </c>
      <c r="CP34" s="258" t="s">
        <v>442</v>
      </c>
      <c r="CQ34" s="258" t="s">
        <v>399</v>
      </c>
      <c r="CR34" s="259">
        <v>1060000</v>
      </c>
      <c r="CS34" s="259">
        <v>6680</v>
      </c>
      <c r="CT34" s="258">
        <v>158.94999999999999</v>
      </c>
      <c r="CU34" s="258" t="s">
        <v>422</v>
      </c>
      <c r="CV34" s="167">
        <v>2E-16</v>
      </c>
      <c r="CW34" s="81" t="s">
        <v>389</v>
      </c>
      <c r="CX34" s="260" t="s">
        <v>467</v>
      </c>
      <c r="CY34" s="265" t="s">
        <v>337</v>
      </c>
      <c r="CZ34" s="261" t="s">
        <v>323</v>
      </c>
      <c r="DA34" s="262">
        <f t="shared" si="39"/>
        <v>307</v>
      </c>
      <c r="DB34" s="260" t="s">
        <v>322</v>
      </c>
      <c r="DD34" s="170" t="s">
        <v>467</v>
      </c>
      <c r="DE34" s="294" t="s">
        <v>337</v>
      </c>
      <c r="DF34" s="291" t="s">
        <v>323</v>
      </c>
      <c r="DG34" s="170">
        <f>AP21</f>
        <v>375.09791588361577</v>
      </c>
      <c r="DH34" s="170" t="s">
        <v>322</v>
      </c>
      <c r="DJ34" s="308" t="s">
        <v>442</v>
      </c>
      <c r="DK34" s="308" t="s">
        <v>399</v>
      </c>
      <c r="DL34" s="312">
        <v>691000</v>
      </c>
      <c r="DM34" s="312">
        <v>22500</v>
      </c>
      <c r="DN34" s="308">
        <v>30.7</v>
      </c>
      <c r="DO34" s="308" t="s">
        <v>422</v>
      </c>
      <c r="DP34" s="312">
        <v>2E-16</v>
      </c>
      <c r="DQ34" s="308" t="s">
        <v>389</v>
      </c>
      <c r="DR34" s="309" t="s">
        <v>467</v>
      </c>
      <c r="DS34" s="315" t="s">
        <v>337</v>
      </c>
      <c r="DT34" s="310" t="s">
        <v>323</v>
      </c>
      <c r="DU34" s="311">
        <f t="shared" si="40"/>
        <v>265</v>
      </c>
      <c r="DV34" s="309" t="s">
        <v>322</v>
      </c>
      <c r="DX34" s="167">
        <f t="shared" si="9"/>
        <v>0.8631921824104235</v>
      </c>
      <c r="EH34" s="167">
        <f t="shared" si="10"/>
        <v>0.70648219779025212</v>
      </c>
    </row>
    <row r="35" spans="1:138" ht="15" customHeight="1" thickTop="1" thickBot="1" x14ac:dyDescent="0.3">
      <c r="A35" s="73">
        <v>2</v>
      </c>
      <c r="B35" s="74">
        <f>B4-B34</f>
        <v>292.30920974450385</v>
      </c>
      <c r="C35" s="73"/>
      <c r="D35" s="73" t="s">
        <v>116</v>
      </c>
      <c r="E35" s="77">
        <v>16</v>
      </c>
      <c r="F35" s="77"/>
      <c r="G35" s="76">
        <f>VLOOKUP(D35,A7:B23,2,0)</f>
        <v>106.30000000000001</v>
      </c>
      <c r="L35" s="81"/>
      <c r="M35" s="81"/>
      <c r="N35" s="81"/>
      <c r="Q35" s="81" t="s">
        <v>514</v>
      </c>
      <c r="R35" s="81">
        <f>G4*Z37</f>
        <v>11.467999999999998</v>
      </c>
      <c r="X35" s="228" t="s">
        <v>115</v>
      </c>
      <c r="Y35" s="229"/>
      <c r="Z35" s="230" t="s">
        <v>21</v>
      </c>
      <c r="AA35" s="243">
        <v>2</v>
      </c>
      <c r="AB35" s="229" t="s">
        <v>5</v>
      </c>
      <c r="AC35" s="229"/>
      <c r="AD35" s="229" t="s">
        <v>22</v>
      </c>
      <c r="AE35" s="232">
        <f>SUM(AE36:AE37)</f>
        <v>0</v>
      </c>
      <c r="AF35" s="14" t="s">
        <v>23</v>
      </c>
      <c r="AG35" s="14">
        <f>SUM(AE37:AE38)</f>
        <v>0</v>
      </c>
      <c r="AH35" s="14"/>
      <c r="AM35" s="159" t="s">
        <v>319</v>
      </c>
      <c r="AN35" s="81" t="s">
        <v>320</v>
      </c>
      <c r="AO35" s="81" t="s">
        <v>350</v>
      </c>
      <c r="AP35" s="81">
        <f>AP28*0.2+0.8</f>
        <v>0.80371935838520703</v>
      </c>
      <c r="AQ35" s="81" t="s">
        <v>322</v>
      </c>
      <c r="AR35" s="81" t="s">
        <v>351</v>
      </c>
      <c r="AV35" s="168" t="s">
        <v>319</v>
      </c>
      <c r="AW35" s="168" t="s">
        <v>320</v>
      </c>
      <c r="AX35" s="168" t="s">
        <v>350</v>
      </c>
      <c r="AY35" s="169" t="s">
        <v>323</v>
      </c>
      <c r="AZ35" s="162">
        <f t="shared" si="37"/>
        <v>0.80371935838520703</v>
      </c>
      <c r="BA35" s="168" t="s">
        <v>322</v>
      </c>
      <c r="BC35" s="81" t="s">
        <v>120</v>
      </c>
      <c r="BD35" s="167">
        <v>253</v>
      </c>
      <c r="BE35" s="167">
        <v>0.97099999999999997</v>
      </c>
      <c r="BF35" s="81">
        <v>260.89</v>
      </c>
      <c r="BG35" s="81" t="s">
        <v>388</v>
      </c>
      <c r="BJ35" s="175" t="s">
        <v>319</v>
      </c>
      <c r="BK35" s="175" t="s">
        <v>320</v>
      </c>
      <c r="BL35" s="175" t="s">
        <v>350</v>
      </c>
      <c r="BM35" s="175" t="s">
        <v>323</v>
      </c>
      <c r="BN35" s="174">
        <f>BD68</f>
        <v>0.41799999999999998</v>
      </c>
      <c r="BO35" s="175" t="s">
        <v>322</v>
      </c>
      <c r="BQ35" s="81" t="s">
        <v>120</v>
      </c>
      <c r="BR35" s="167">
        <v>272</v>
      </c>
      <c r="BS35" s="167">
        <v>18.2</v>
      </c>
      <c r="BT35" s="81">
        <v>14.96</v>
      </c>
      <c r="BU35" s="81" t="s">
        <v>422</v>
      </c>
      <c r="BV35" s="167">
        <v>2E-16</v>
      </c>
      <c r="BW35" s="81" t="s">
        <v>389</v>
      </c>
      <c r="BY35" s="178" t="s">
        <v>319</v>
      </c>
      <c r="BZ35" s="178" t="s">
        <v>320</v>
      </c>
      <c r="CA35" s="178" t="s">
        <v>347</v>
      </c>
      <c r="CB35" s="178" t="s">
        <v>323</v>
      </c>
      <c r="CC35" s="177">
        <f>BR65</f>
        <v>0.23</v>
      </c>
      <c r="CD35" s="178" t="s">
        <v>322</v>
      </c>
      <c r="CK35" s="255"/>
      <c r="CL35" s="255"/>
      <c r="CM35" s="255"/>
      <c r="CP35" s="258" t="s">
        <v>442</v>
      </c>
      <c r="CQ35" s="258" t="s">
        <v>301</v>
      </c>
      <c r="CR35" s="259">
        <v>4460000</v>
      </c>
      <c r="CS35" s="259">
        <v>63600</v>
      </c>
      <c r="CT35" s="258">
        <v>70.2</v>
      </c>
      <c r="CU35" s="258" t="s">
        <v>422</v>
      </c>
      <c r="CV35" s="167">
        <v>2E-16</v>
      </c>
      <c r="CW35" s="81" t="s">
        <v>389</v>
      </c>
      <c r="CX35" s="260" t="s">
        <v>467</v>
      </c>
      <c r="CY35" s="265" t="s">
        <v>338</v>
      </c>
      <c r="CZ35" s="261" t="s">
        <v>323</v>
      </c>
      <c r="DA35" s="262">
        <f t="shared" si="39"/>
        <v>66.8</v>
      </c>
      <c r="DB35" s="260" t="s">
        <v>322</v>
      </c>
      <c r="DD35" s="170" t="s">
        <v>467</v>
      </c>
      <c r="DE35" s="294" t="s">
        <v>338</v>
      </c>
      <c r="DF35" s="291" t="s">
        <v>323</v>
      </c>
      <c r="DG35" s="170">
        <f>AP22</f>
        <v>74.992456689190959</v>
      </c>
      <c r="DH35" s="170" t="s">
        <v>322</v>
      </c>
      <c r="DJ35" s="308" t="s">
        <v>442</v>
      </c>
      <c r="DK35" s="308" t="s">
        <v>301</v>
      </c>
      <c r="DL35" s="312">
        <v>4690000</v>
      </c>
      <c r="DM35" s="312">
        <v>93300</v>
      </c>
      <c r="DN35" s="308">
        <v>50.25</v>
      </c>
      <c r="DO35" s="308" t="s">
        <v>422</v>
      </c>
      <c r="DP35" s="312">
        <v>2E-16</v>
      </c>
      <c r="DQ35" s="308" t="s">
        <v>389</v>
      </c>
      <c r="DR35" s="309" t="s">
        <v>467</v>
      </c>
      <c r="DS35" s="315" t="s">
        <v>338</v>
      </c>
      <c r="DT35" s="310" t="s">
        <v>323</v>
      </c>
      <c r="DU35" s="311">
        <f t="shared" si="40"/>
        <v>64.5</v>
      </c>
      <c r="DV35" s="309" t="s">
        <v>322</v>
      </c>
      <c r="DX35" s="167">
        <f t="shared" si="9"/>
        <v>0.96556886227544914</v>
      </c>
      <c r="EH35" s="167">
        <f t="shared" si="10"/>
        <v>0.86008650533109832</v>
      </c>
    </row>
    <row r="36" spans="1:138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9" t="s">
        <v>119</v>
      </c>
      <c r="F36" s="319"/>
      <c r="G36" s="76">
        <f>B17</f>
        <v>0</v>
      </c>
      <c r="L36" s="81"/>
      <c r="M36" s="81"/>
      <c r="N36" s="81"/>
      <c r="Q36" s="81"/>
      <c r="R36" s="81"/>
      <c r="X36" s="239"/>
      <c r="Y36" s="240" t="s">
        <v>16</v>
      </c>
      <c r="Z36" s="240">
        <v>1.361</v>
      </c>
      <c r="AA36" s="240" t="s">
        <v>5</v>
      </c>
      <c r="AB36" s="240"/>
      <c r="AC36" s="240" t="s">
        <v>515</v>
      </c>
      <c r="AD36" s="240">
        <f>(AA35-(1-AD37)*Z36)/AD37</f>
        <v>3.9169999999999998</v>
      </c>
      <c r="AE36" s="244"/>
      <c r="AF36" s="14"/>
      <c r="AG36" s="14"/>
      <c r="AH36" s="14"/>
      <c r="AQ36" s="81" t="s">
        <v>322</v>
      </c>
      <c r="AV36" s="168"/>
      <c r="AW36" s="168"/>
      <c r="AX36" s="168"/>
      <c r="AY36" s="169"/>
      <c r="BA36" s="168"/>
      <c r="BC36" s="81" t="s">
        <v>412</v>
      </c>
      <c r="BD36" s="167">
        <v>-5.43</v>
      </c>
      <c r="BE36" s="167">
        <v>2.2100000000000002E-2</v>
      </c>
      <c r="BF36" s="81">
        <v>-245.28</v>
      </c>
      <c r="BG36" s="81" t="s">
        <v>388</v>
      </c>
      <c r="BJ36" s="175"/>
      <c r="BK36" s="175"/>
      <c r="BL36" s="175"/>
      <c r="BM36" s="175"/>
      <c r="BN36" s="174"/>
      <c r="BO36" s="175"/>
      <c r="BQ36" s="81" t="s">
        <v>412</v>
      </c>
      <c r="BR36" s="167">
        <v>-5.48</v>
      </c>
      <c r="BS36" s="167">
        <v>7.46E-2</v>
      </c>
      <c r="BT36" s="81">
        <v>-73.489999999999995</v>
      </c>
      <c r="BU36" s="81" t="s">
        <v>422</v>
      </c>
      <c r="BV36" s="167">
        <v>2E-16</v>
      </c>
      <c r="BW36" s="81" t="s">
        <v>389</v>
      </c>
      <c r="BY36" s="178" t="s">
        <v>319</v>
      </c>
      <c r="BZ36" s="178" t="s">
        <v>320</v>
      </c>
      <c r="CA36" s="178" t="s">
        <v>348</v>
      </c>
      <c r="CB36" s="178" t="s">
        <v>323</v>
      </c>
      <c r="CC36" s="177">
        <f t="shared" ref="CC36:CC37" si="41">BR66</f>
        <v>4.8599999999999997E-2</v>
      </c>
      <c r="CD36" s="178" t="s">
        <v>322</v>
      </c>
      <c r="CJ36" s="81" t="s">
        <v>352</v>
      </c>
      <c r="CK36" s="257">
        <f>AZ37</f>
        <v>172.50907413856567</v>
      </c>
      <c r="CL36" s="257">
        <f>BN37</f>
        <v>568</v>
      </c>
      <c r="CM36" s="257">
        <f>CC39</f>
        <v>219</v>
      </c>
      <c r="CP36" s="258" t="s">
        <v>442</v>
      </c>
      <c r="CQ36" s="258" t="s">
        <v>303</v>
      </c>
      <c r="CR36" s="259">
        <v>17100000</v>
      </c>
      <c r="CS36" s="259">
        <v>192000</v>
      </c>
      <c r="CT36" s="258">
        <v>88.87</v>
      </c>
      <c r="CU36" s="258" t="s">
        <v>422</v>
      </c>
      <c r="CV36" s="167">
        <v>2E-16</v>
      </c>
      <c r="CW36" s="81" t="s">
        <v>389</v>
      </c>
      <c r="CX36" s="260" t="s">
        <v>467</v>
      </c>
      <c r="CY36" s="266" t="s">
        <v>340</v>
      </c>
      <c r="CZ36" s="261" t="s">
        <v>323</v>
      </c>
      <c r="DA36" s="262">
        <f>CR59</f>
        <v>68</v>
      </c>
      <c r="DB36" s="260" t="s">
        <v>322</v>
      </c>
      <c r="DD36" s="170" t="s">
        <v>467</v>
      </c>
      <c r="DE36" s="296" t="s">
        <v>340</v>
      </c>
      <c r="DF36" s="291" t="s">
        <v>323</v>
      </c>
      <c r="DG36" s="170">
        <f>AP24</f>
        <v>31.950920245398773</v>
      </c>
      <c r="DH36" s="170" t="s">
        <v>322</v>
      </c>
      <c r="DJ36" s="308" t="s">
        <v>442</v>
      </c>
      <c r="DK36" s="308" t="s">
        <v>303</v>
      </c>
      <c r="DL36" s="312">
        <v>18700000</v>
      </c>
      <c r="DM36" s="312">
        <v>217000</v>
      </c>
      <c r="DN36" s="308">
        <v>86.17</v>
      </c>
      <c r="DO36" s="308" t="s">
        <v>422</v>
      </c>
      <c r="DP36" s="312">
        <v>2E-16</v>
      </c>
      <c r="DQ36" s="308" t="s">
        <v>389</v>
      </c>
      <c r="DR36" s="309" t="s">
        <v>467</v>
      </c>
      <c r="DS36" s="316" t="s">
        <v>340</v>
      </c>
      <c r="DT36" s="310" t="s">
        <v>323</v>
      </c>
      <c r="DU36" s="311">
        <f>DL59</f>
        <v>67.900000000000006</v>
      </c>
      <c r="DV36" s="309" t="s">
        <v>322</v>
      </c>
      <c r="DX36" s="167">
        <f t="shared" si="9"/>
        <v>0.998529411764706</v>
      </c>
      <c r="EH36" s="167">
        <f t="shared" si="10"/>
        <v>2.1251344086021509</v>
      </c>
    </row>
    <row r="37" spans="1:138" ht="15" customHeight="1" thickTop="1" thickBot="1" x14ac:dyDescent="0.3">
      <c r="L37" s="81"/>
      <c r="M37" s="81"/>
      <c r="N37" s="81"/>
      <c r="Q37" s="81"/>
      <c r="R37" s="81"/>
      <c r="X37" s="205"/>
      <c r="Y37" s="187" t="s">
        <v>121</v>
      </c>
      <c r="Z37" s="187">
        <v>0.47</v>
      </c>
      <c r="AA37" s="187"/>
      <c r="AB37" s="187"/>
      <c r="AC37" s="187" t="s">
        <v>516</v>
      </c>
      <c r="AD37" s="187">
        <v>0.25</v>
      </c>
      <c r="AE37" s="210"/>
      <c r="AF37" s="149" t="s">
        <v>279</v>
      </c>
      <c r="AG37" s="14"/>
      <c r="AH37" s="14"/>
      <c r="AM37" s="159" t="s">
        <v>319</v>
      </c>
      <c r="AN37" s="81" t="s">
        <v>320</v>
      </c>
      <c r="AO37" s="81" t="s">
        <v>352</v>
      </c>
      <c r="AP37" s="81">
        <f>SUM(O17:O20)*(1/(SUM(AD18:AD19)+1/8))+O25*(1/(SUM(AD9:AD10)/2+1/8))</f>
        <v>172.50907413856567</v>
      </c>
      <c r="AQ37" s="81" t="s">
        <v>322</v>
      </c>
      <c r="AR37" s="81" t="s">
        <v>353</v>
      </c>
      <c r="AV37" s="168" t="s">
        <v>319</v>
      </c>
      <c r="AW37" s="168" t="s">
        <v>320</v>
      </c>
      <c r="AX37" s="168" t="s">
        <v>352</v>
      </c>
      <c r="AY37" s="169" t="s">
        <v>323</v>
      </c>
      <c r="AZ37" s="162">
        <f>AP37</f>
        <v>172.50907413856567</v>
      </c>
      <c r="BA37" s="168" t="s">
        <v>322</v>
      </c>
      <c r="BC37" s="81" t="s">
        <v>413</v>
      </c>
      <c r="BD37" s="167">
        <v>-6.85</v>
      </c>
      <c r="BE37" s="167">
        <v>1.8800000000000001E-2</v>
      </c>
      <c r="BF37" s="81">
        <v>-364.7</v>
      </c>
      <c r="BG37" s="81" t="s">
        <v>388</v>
      </c>
      <c r="BJ37" s="175" t="s">
        <v>319</v>
      </c>
      <c r="BK37" s="175" t="s">
        <v>320</v>
      </c>
      <c r="BL37" s="175" t="s">
        <v>352</v>
      </c>
      <c r="BM37" s="175" t="s">
        <v>323</v>
      </c>
      <c r="BN37" s="174">
        <f>BD70</f>
        <v>568</v>
      </c>
      <c r="BO37" s="175" t="s">
        <v>322</v>
      </c>
      <c r="BQ37" s="81" t="s">
        <v>413</v>
      </c>
      <c r="BR37" s="167">
        <v>-6.06</v>
      </c>
      <c r="BS37" s="167">
        <v>4.41E-2</v>
      </c>
      <c r="BT37" s="81">
        <v>-137.35</v>
      </c>
      <c r="BU37" s="81" t="s">
        <v>422</v>
      </c>
      <c r="BV37" s="167">
        <v>2E-16</v>
      </c>
      <c r="BW37" s="81" t="s">
        <v>389</v>
      </c>
      <c r="BY37" s="178" t="s">
        <v>319</v>
      </c>
      <c r="BZ37" s="178" t="s">
        <v>320</v>
      </c>
      <c r="CA37" s="178" t="s">
        <v>350</v>
      </c>
      <c r="CB37" s="178" t="s">
        <v>323</v>
      </c>
      <c r="CC37" s="177">
        <f t="shared" si="41"/>
        <v>0.63200000000000001</v>
      </c>
      <c r="CD37" s="178" t="s">
        <v>322</v>
      </c>
      <c r="CJ37" s="81" t="s">
        <v>354</v>
      </c>
      <c r="CK37" s="257">
        <f>AZ38</f>
        <v>775.22503621630028</v>
      </c>
      <c r="CL37" s="257">
        <f>BN38</f>
        <v>238</v>
      </c>
      <c r="CM37" s="257">
        <f>CC40</f>
        <v>85.9</v>
      </c>
      <c r="CP37" s="258" t="s">
        <v>442</v>
      </c>
      <c r="CQ37" s="258" t="s">
        <v>400</v>
      </c>
      <c r="CR37" s="259">
        <v>-7.16</v>
      </c>
      <c r="CS37" s="259">
        <v>8.8900000000000007E-2</v>
      </c>
      <c r="CT37" s="258">
        <v>-80.5</v>
      </c>
      <c r="CU37" s="258" t="s">
        <v>422</v>
      </c>
      <c r="CV37" s="167">
        <v>2E-16</v>
      </c>
      <c r="CW37" s="81" t="s">
        <v>389</v>
      </c>
      <c r="CX37" s="260" t="s">
        <v>467</v>
      </c>
      <c r="CY37" s="266" t="s">
        <v>339</v>
      </c>
      <c r="CZ37" s="261" t="s">
        <v>323</v>
      </c>
      <c r="DA37" s="262">
        <f>1/CR56</f>
        <v>53.475935828876999</v>
      </c>
      <c r="DB37" s="260" t="s">
        <v>322</v>
      </c>
      <c r="DD37" s="170" t="s">
        <v>467</v>
      </c>
      <c r="DE37" s="296" t="s">
        <v>339</v>
      </c>
      <c r="DF37" s="291" t="s">
        <v>323</v>
      </c>
      <c r="DG37" s="170">
        <f>AP23</f>
        <v>51.385997455732721</v>
      </c>
      <c r="DH37" s="170" t="s">
        <v>322</v>
      </c>
      <c r="DJ37" s="308" t="s">
        <v>442</v>
      </c>
      <c r="DK37" s="308" t="s">
        <v>400</v>
      </c>
      <c r="DL37" s="312">
        <v>-6.71</v>
      </c>
      <c r="DM37" s="312">
        <v>7.3300000000000004E-2</v>
      </c>
      <c r="DN37" s="308">
        <v>-91.52</v>
      </c>
      <c r="DO37" s="308" t="s">
        <v>422</v>
      </c>
      <c r="DP37" s="312">
        <v>2E-16</v>
      </c>
      <c r="DQ37" s="308" t="s">
        <v>389</v>
      </c>
      <c r="DR37" s="309" t="s">
        <v>467</v>
      </c>
      <c r="DS37" s="316" t="s">
        <v>339</v>
      </c>
      <c r="DT37" s="310" t="s">
        <v>323</v>
      </c>
      <c r="DU37" s="311">
        <f>1/DL56</f>
        <v>58.479532163742689</v>
      </c>
      <c r="DV37" s="309" t="s">
        <v>322</v>
      </c>
      <c r="DX37" s="167">
        <f t="shared" si="9"/>
        <v>1.0935672514619885</v>
      </c>
      <c r="EH37" s="167">
        <f t="shared" si="10"/>
        <v>1.1380441182273597</v>
      </c>
    </row>
    <row r="38" spans="1:138" ht="15" customHeight="1" thickTop="1" thickBot="1" x14ac:dyDescent="0.3">
      <c r="B38" s="153"/>
      <c r="L38" s="81"/>
      <c r="M38" s="81"/>
      <c r="N38" s="81"/>
      <c r="Q38" s="81"/>
      <c r="R38" s="81"/>
      <c r="X38" s="226"/>
      <c r="Y38" s="226"/>
      <c r="Z38" s="226"/>
      <c r="AA38" s="226"/>
      <c r="AB38" s="226"/>
      <c r="AC38" s="226"/>
      <c r="AD38" s="226"/>
      <c r="AE38" s="226"/>
      <c r="AF38" s="14"/>
      <c r="AG38" s="14"/>
      <c r="AH38" s="14"/>
      <c r="AM38" s="159" t="s">
        <v>319</v>
      </c>
      <c r="AN38" s="81" t="s">
        <v>320</v>
      </c>
      <c r="AO38" s="81" t="s">
        <v>354</v>
      </c>
      <c r="AP38" s="81">
        <f>2*AA21*O28+1*O31*AA53+2*O29*AA27</f>
        <v>775.22503621630028</v>
      </c>
      <c r="AQ38" s="81" t="s">
        <v>322</v>
      </c>
      <c r="AR38" s="167">
        <v>85.692350000000005</v>
      </c>
      <c r="AV38" s="168" t="s">
        <v>319</v>
      </c>
      <c r="AW38" s="168" t="s">
        <v>320</v>
      </c>
      <c r="AX38" s="168" t="s">
        <v>354</v>
      </c>
      <c r="AY38" s="169" t="s">
        <v>323</v>
      </c>
      <c r="AZ38" s="162">
        <f t="shared" ref="AZ38:AZ40" si="42">AP38</f>
        <v>775.22503621630028</v>
      </c>
      <c r="BA38" s="168" t="s">
        <v>322</v>
      </c>
      <c r="BC38" s="81" t="s">
        <v>414</v>
      </c>
      <c r="BD38" s="167">
        <v>-8.6300000000000008</v>
      </c>
      <c r="BE38" s="167">
        <v>5.8999999999999997E-2</v>
      </c>
      <c r="BF38" s="81">
        <v>-146.31</v>
      </c>
      <c r="BG38" s="81" t="s">
        <v>388</v>
      </c>
      <c r="BJ38" s="175" t="s">
        <v>319</v>
      </c>
      <c r="BK38" s="175" t="s">
        <v>320</v>
      </c>
      <c r="BL38" s="175" t="s">
        <v>354</v>
      </c>
      <c r="BM38" s="175" t="s">
        <v>323</v>
      </c>
      <c r="BN38" s="174">
        <f>BD71</f>
        <v>238</v>
      </c>
      <c r="BO38" s="175" t="s">
        <v>322</v>
      </c>
      <c r="BQ38" s="81" t="s">
        <v>414</v>
      </c>
      <c r="BR38" s="167">
        <v>-6.9</v>
      </c>
      <c r="BS38" s="167">
        <v>0.127</v>
      </c>
      <c r="BT38" s="81">
        <v>-54.4</v>
      </c>
      <c r="BU38" s="81" t="s">
        <v>422</v>
      </c>
      <c r="BV38" s="167">
        <v>2E-16</v>
      </c>
      <c r="BW38" s="81" t="s">
        <v>389</v>
      </c>
      <c r="BY38" s="178"/>
      <c r="BZ38" s="178"/>
      <c r="CA38" s="178"/>
      <c r="CB38" s="178"/>
      <c r="CC38" s="177"/>
      <c r="CD38" s="178"/>
      <c r="CJ38" s="81" t="s">
        <v>355</v>
      </c>
      <c r="CK38" s="257">
        <f>AZ39</f>
        <v>50.307964117309652</v>
      </c>
      <c r="CL38" s="257">
        <f>BN39</f>
        <v>58</v>
      </c>
      <c r="CM38" s="257">
        <f>CC41</f>
        <v>49.4</v>
      </c>
      <c r="CP38" s="258" t="s">
        <v>442</v>
      </c>
      <c r="CQ38" s="258" t="s">
        <v>401</v>
      </c>
      <c r="CR38" s="259">
        <v>-19.899999999999999</v>
      </c>
      <c r="CS38" s="259">
        <v>34.200000000000003</v>
      </c>
      <c r="CT38" s="258">
        <v>-0.57999999999999996</v>
      </c>
      <c r="CU38" s="258">
        <v>0.56010000000000004</v>
      </c>
      <c r="CX38" s="260" t="s">
        <v>467</v>
      </c>
      <c r="CY38" s="263" t="s">
        <v>331</v>
      </c>
      <c r="CZ38" s="261" t="s">
        <v>323</v>
      </c>
      <c r="DA38" s="262">
        <f>CR42</f>
        <v>2.52E-2</v>
      </c>
      <c r="DB38" s="260" t="s">
        <v>322</v>
      </c>
      <c r="DD38" s="170" t="s">
        <v>467</v>
      </c>
      <c r="DE38" s="292" t="s">
        <v>331</v>
      </c>
      <c r="DF38" s="291" t="s">
        <v>323</v>
      </c>
      <c r="DG38" s="170">
        <f>AP14</f>
        <v>1.6098578727755948E-2</v>
      </c>
      <c r="DH38" s="170" t="s">
        <v>322</v>
      </c>
      <c r="DJ38" s="308" t="s">
        <v>442</v>
      </c>
      <c r="DK38" s="308" t="s">
        <v>401</v>
      </c>
      <c r="DL38" s="312">
        <v>-17</v>
      </c>
      <c r="DM38" s="312">
        <v>78</v>
      </c>
      <c r="DN38" s="308">
        <v>-0.22</v>
      </c>
      <c r="DO38" s="308">
        <v>0.82769999999999999</v>
      </c>
      <c r="DR38" s="309" t="s">
        <v>467</v>
      </c>
      <c r="DS38" s="313" t="s">
        <v>331</v>
      </c>
      <c r="DT38" s="310" t="s">
        <v>323</v>
      </c>
      <c r="DU38" s="311">
        <f>DL42</f>
        <v>3.2199999999999999E-2</v>
      </c>
      <c r="DV38" s="309" t="s">
        <v>322</v>
      </c>
      <c r="DX38" s="167">
        <f t="shared" si="9"/>
        <v>1.2777777777777777</v>
      </c>
      <c r="EH38" s="167">
        <f t="shared" si="10"/>
        <v>2.0001765711455759</v>
      </c>
    </row>
    <row r="39" spans="1:138" ht="15" customHeight="1" thickTop="1" thickBot="1" x14ac:dyDescent="0.3">
      <c r="L39" s="81"/>
      <c r="M39" s="81"/>
      <c r="N39" s="81" t="s">
        <v>114</v>
      </c>
      <c r="O39" s="153">
        <f>SUM(R6:R9,R15,R17:R20,R25)</f>
        <v>106.38239109174913</v>
      </c>
      <c r="P39" s="153"/>
      <c r="R39" s="81"/>
      <c r="X39" s="226"/>
      <c r="Y39" s="226"/>
      <c r="Z39" s="227" t="s">
        <v>4</v>
      </c>
      <c r="AA39" s="227">
        <v>0.85</v>
      </c>
      <c r="AB39" s="227" t="s">
        <v>5</v>
      </c>
      <c r="AC39" s="226"/>
      <c r="AD39" s="226"/>
      <c r="AE39" s="226"/>
      <c r="AF39" s="14"/>
      <c r="AG39" s="14"/>
      <c r="AH39" s="14"/>
      <c r="AM39" s="159" t="s">
        <v>319</v>
      </c>
      <c r="AN39" s="81" t="s">
        <v>320</v>
      </c>
      <c r="AO39" s="81" t="s">
        <v>355</v>
      </c>
      <c r="AP39" s="153">
        <f>'Verwarming Tabula 2zone Ref1'!B139+SUM(R21:R24)</f>
        <v>50.307964117309652</v>
      </c>
      <c r="AQ39" s="81" t="s">
        <v>322</v>
      </c>
      <c r="AR39" s="81" t="s">
        <v>356</v>
      </c>
      <c r="AV39" s="168" t="s">
        <v>319</v>
      </c>
      <c r="AW39" s="168" t="s">
        <v>320</v>
      </c>
      <c r="AX39" s="168" t="s">
        <v>355</v>
      </c>
      <c r="AY39" s="169" t="s">
        <v>323</v>
      </c>
      <c r="AZ39" s="162">
        <f t="shared" si="42"/>
        <v>50.307964117309652</v>
      </c>
      <c r="BA39" s="168" t="s">
        <v>322</v>
      </c>
      <c r="BC39" s="81" t="s">
        <v>415</v>
      </c>
      <c r="BD39" s="167">
        <v>-6.14</v>
      </c>
      <c r="BE39" s="167">
        <v>2.1399999999999999E-2</v>
      </c>
      <c r="BF39" s="81">
        <v>-287.01</v>
      </c>
      <c r="BG39" s="81" t="s">
        <v>388</v>
      </c>
      <c r="BJ39" s="175" t="s">
        <v>319</v>
      </c>
      <c r="BK39" s="175" t="s">
        <v>320</v>
      </c>
      <c r="BL39" s="175" t="s">
        <v>355</v>
      </c>
      <c r="BM39" s="175" t="s">
        <v>323</v>
      </c>
      <c r="BN39" s="174">
        <f>BD72</f>
        <v>58</v>
      </c>
      <c r="BO39" s="175" t="s">
        <v>322</v>
      </c>
      <c r="BQ39" s="81" t="s">
        <v>415</v>
      </c>
      <c r="BR39" s="167">
        <v>-6.05</v>
      </c>
      <c r="BS39" s="167">
        <v>2.2700000000000001E-2</v>
      </c>
      <c r="BT39" s="81">
        <v>-266.10000000000002</v>
      </c>
      <c r="BU39" s="81" t="s">
        <v>422</v>
      </c>
      <c r="BV39" s="167">
        <v>2E-16</v>
      </c>
      <c r="BW39" s="81" t="s">
        <v>389</v>
      </c>
      <c r="BY39" s="178" t="s">
        <v>319</v>
      </c>
      <c r="BZ39" s="178" t="s">
        <v>320</v>
      </c>
      <c r="CA39" s="178" t="s">
        <v>352</v>
      </c>
      <c r="CB39" s="178" t="s">
        <v>323</v>
      </c>
      <c r="CC39" s="177">
        <f>BR69</f>
        <v>219</v>
      </c>
      <c r="CD39" s="178" t="s">
        <v>322</v>
      </c>
      <c r="CJ39" s="81" t="s">
        <v>357</v>
      </c>
      <c r="CK39" s="257">
        <f>AZ40</f>
        <v>132.51411102224171</v>
      </c>
      <c r="CL39" s="257">
        <f>BN40</f>
        <v>215.51724137931035</v>
      </c>
      <c r="CM39" s="257">
        <f>CC42</f>
        <v>350.87719298245611</v>
      </c>
      <c r="CP39" s="258" t="s">
        <v>442</v>
      </c>
      <c r="CQ39" s="258" t="s">
        <v>402</v>
      </c>
      <c r="CR39" s="259">
        <v>-15.1</v>
      </c>
      <c r="CS39" s="259">
        <v>123</v>
      </c>
      <c r="CT39" s="258">
        <v>-0.12</v>
      </c>
      <c r="CU39" s="258">
        <v>0.90210000000000001</v>
      </c>
      <c r="CX39" s="260" t="s">
        <v>467</v>
      </c>
      <c r="CY39" s="264" t="s">
        <v>332</v>
      </c>
      <c r="CZ39" s="261" t="s">
        <v>323</v>
      </c>
      <c r="DA39" s="262">
        <f t="shared" ref="DA39:DA42" si="43">CR43</f>
        <v>0.17599999999999999</v>
      </c>
      <c r="DB39" s="260" t="s">
        <v>322</v>
      </c>
      <c r="DD39" s="170" t="s">
        <v>467</v>
      </c>
      <c r="DE39" s="293" t="s">
        <v>332</v>
      </c>
      <c r="DF39" s="291" t="s">
        <v>323</v>
      </c>
      <c r="DG39" s="170">
        <f>AP15</f>
        <v>0.11184428096453561</v>
      </c>
      <c r="DH39" s="170" t="s">
        <v>322</v>
      </c>
      <c r="DJ39" s="308" t="s">
        <v>442</v>
      </c>
      <c r="DK39" s="308" t="s">
        <v>402</v>
      </c>
      <c r="DL39" s="312">
        <v>-16.100000000000001</v>
      </c>
      <c r="DM39" s="312">
        <v>1.31</v>
      </c>
      <c r="DN39" s="308">
        <v>-12.25</v>
      </c>
      <c r="DO39" s="308" t="s">
        <v>422</v>
      </c>
      <c r="DP39" s="312">
        <v>2E-16</v>
      </c>
      <c r="DQ39" s="308" t="s">
        <v>389</v>
      </c>
      <c r="DR39" s="309" t="s">
        <v>467</v>
      </c>
      <c r="DS39" s="314" t="s">
        <v>332</v>
      </c>
      <c r="DT39" s="310" t="s">
        <v>323</v>
      </c>
      <c r="DU39" s="311">
        <f t="shared" ref="DU39:DU42" si="44">DL43</f>
        <v>0.20899999999999999</v>
      </c>
      <c r="DV39" s="309" t="s">
        <v>322</v>
      </c>
      <c r="DX39" s="167">
        <f t="shared" si="9"/>
        <v>1.1875</v>
      </c>
      <c r="EH39" s="167">
        <f t="shared" si="10"/>
        <v>1.8686695305079677</v>
      </c>
    </row>
    <row r="40" spans="1:138" ht="15" customHeight="1" thickTop="1" thickBot="1" x14ac:dyDescent="0.3">
      <c r="A40" s="81" t="s">
        <v>280</v>
      </c>
      <c r="L40" s="81"/>
      <c r="M40" s="81"/>
      <c r="N40" s="81" t="s">
        <v>117</v>
      </c>
      <c r="O40" s="153">
        <f>SUM(R10:R13,R21:R24)</f>
        <v>48.8</v>
      </c>
      <c r="R40" s="81"/>
      <c r="X40" s="228" t="s">
        <v>63</v>
      </c>
      <c r="Y40" s="229"/>
      <c r="Z40" s="230" t="s">
        <v>21</v>
      </c>
      <c r="AA40" s="231">
        <f>1/(1/10+SUM(AD42:AD46))</f>
        <v>0.84168336673346678</v>
      </c>
      <c r="AB40" s="229" t="s">
        <v>5</v>
      </c>
      <c r="AC40" s="229"/>
      <c r="AD40" s="229" t="s">
        <v>22</v>
      </c>
      <c r="AE40" s="232">
        <f>SUM(AE42:AE46)</f>
        <v>376883</v>
      </c>
      <c r="AF40" s="14" t="s">
        <v>23</v>
      </c>
      <c r="AG40" s="14">
        <f>SUM(AE42:AE43)</f>
        <v>110960</v>
      </c>
      <c r="AH40" s="14"/>
      <c r="AM40" s="159" t="s">
        <v>319</v>
      </c>
      <c r="AN40" s="81" t="s">
        <v>320</v>
      </c>
      <c r="AO40" s="81" t="s">
        <v>357</v>
      </c>
      <c r="AP40" s="81">
        <f>SUM(O17:O20)*1/(SUM(AD15:AD17)+1/23)+O25*1/(SUM(AD7:AD8)+SUM(AD9:AD10)/2+1/23)</f>
        <v>132.51411102224171</v>
      </c>
      <c r="AQ40" s="81" t="s">
        <v>322</v>
      </c>
      <c r="AR40" s="81">
        <f>1/0.01634389</f>
        <v>61.184944343115376</v>
      </c>
      <c r="AV40" s="168" t="s">
        <v>319</v>
      </c>
      <c r="AW40" s="168" t="s">
        <v>320</v>
      </c>
      <c r="AX40" s="168" t="s">
        <v>357</v>
      </c>
      <c r="AY40" s="169" t="s">
        <v>323</v>
      </c>
      <c r="AZ40" s="162">
        <f t="shared" si="42"/>
        <v>132.51411102224171</v>
      </c>
      <c r="BA40" s="168" t="s">
        <v>322</v>
      </c>
      <c r="BC40" s="81" t="s">
        <v>416</v>
      </c>
      <c r="BD40" s="167">
        <v>-7.59</v>
      </c>
      <c r="BE40" s="167">
        <v>2.3199999999999998E-2</v>
      </c>
      <c r="BF40" s="81">
        <v>-327.07</v>
      </c>
      <c r="BG40" s="81" t="s">
        <v>388</v>
      </c>
      <c r="BJ40" s="175" t="s">
        <v>319</v>
      </c>
      <c r="BK40" s="175" t="s">
        <v>320</v>
      </c>
      <c r="BL40" s="175" t="s">
        <v>357</v>
      </c>
      <c r="BM40" s="175" t="s">
        <v>323</v>
      </c>
      <c r="BN40" s="174">
        <f>1/BD77</f>
        <v>215.51724137931035</v>
      </c>
      <c r="BO40" s="175" t="s">
        <v>322</v>
      </c>
      <c r="BQ40" s="81" t="s">
        <v>416</v>
      </c>
      <c r="BR40" s="167">
        <v>-6.56</v>
      </c>
      <c r="BS40" s="167">
        <v>3.3300000000000003E-2</v>
      </c>
      <c r="BT40" s="81">
        <v>-196.87</v>
      </c>
      <c r="BU40" s="81" t="s">
        <v>422</v>
      </c>
      <c r="BV40" s="167">
        <v>2E-16</v>
      </c>
      <c r="BW40" s="81" t="s">
        <v>389</v>
      </c>
      <c r="BY40" s="178" t="s">
        <v>319</v>
      </c>
      <c r="BZ40" s="178" t="s">
        <v>320</v>
      </c>
      <c r="CA40" s="178" t="s">
        <v>354</v>
      </c>
      <c r="CB40" s="178" t="s">
        <v>323</v>
      </c>
      <c r="CC40" s="177">
        <f t="shared" ref="CC40:CC41" si="45">BR70</f>
        <v>85.9</v>
      </c>
      <c r="CD40" s="178" t="s">
        <v>322</v>
      </c>
      <c r="CK40" s="255"/>
      <c r="CL40" s="255"/>
      <c r="CM40" s="255"/>
      <c r="CP40" s="258" t="s">
        <v>442</v>
      </c>
      <c r="CQ40" s="258" t="s">
        <v>403</v>
      </c>
      <c r="CR40" s="259">
        <v>-18.100000000000001</v>
      </c>
      <c r="CS40" s="259">
        <v>3.08</v>
      </c>
      <c r="CT40" s="258">
        <v>-5.87</v>
      </c>
      <c r="CU40" s="259">
        <v>4.5999999999999998E-9</v>
      </c>
      <c r="CV40" s="81" t="s">
        <v>389</v>
      </c>
      <c r="CX40" s="260" t="s">
        <v>467</v>
      </c>
      <c r="CY40" s="264" t="s">
        <v>333</v>
      </c>
      <c r="CZ40" s="261" t="s">
        <v>323</v>
      </c>
      <c r="DA40" s="262">
        <f t="shared" si="43"/>
        <v>0.71099999999999997</v>
      </c>
      <c r="DB40" s="260" t="s">
        <v>322</v>
      </c>
      <c r="DD40" s="170" t="s">
        <v>467</v>
      </c>
      <c r="DE40" s="293" t="s">
        <v>333</v>
      </c>
      <c r="DF40" s="291" t="s">
        <v>323</v>
      </c>
      <c r="DG40" s="170">
        <f>AP16</f>
        <v>0.80645445750186528</v>
      </c>
      <c r="DH40" s="170" t="s">
        <v>322</v>
      </c>
      <c r="DJ40" s="308" t="s">
        <v>442</v>
      </c>
      <c r="DK40" s="308" t="s">
        <v>403</v>
      </c>
      <c r="DL40" s="312">
        <v>-16.2</v>
      </c>
      <c r="DM40" s="312">
        <v>85.6</v>
      </c>
      <c r="DN40" s="308">
        <v>-0.19</v>
      </c>
      <c r="DO40" s="312">
        <v>0.84940000000000004</v>
      </c>
      <c r="DR40" s="309" t="s">
        <v>467</v>
      </c>
      <c r="DS40" s="314" t="s">
        <v>333</v>
      </c>
      <c r="DT40" s="310" t="s">
        <v>323</v>
      </c>
      <c r="DU40" s="311">
        <f t="shared" si="44"/>
        <v>0.63400000000000001</v>
      </c>
      <c r="DV40" s="309" t="s">
        <v>322</v>
      </c>
      <c r="DX40" s="167">
        <f t="shared" si="9"/>
        <v>0.89170182841068923</v>
      </c>
      <c r="EH40" s="167">
        <f t="shared" si="10"/>
        <v>0.78615722698579493</v>
      </c>
    </row>
    <row r="41" spans="1:138" ht="15" customHeight="1" thickTop="1" thickBot="1" x14ac:dyDescent="0.3">
      <c r="A41" s="150" t="s">
        <v>281</v>
      </c>
      <c r="L41" s="81"/>
      <c r="M41" s="81"/>
      <c r="N41" s="81" t="s">
        <v>120</v>
      </c>
      <c r="O41" s="153">
        <f>'Verwarming Tabula'!B60</f>
        <v>138.03320000000002</v>
      </c>
      <c r="R41" s="81"/>
      <c r="X41" s="233"/>
      <c r="Y41" s="234" t="s">
        <v>27</v>
      </c>
      <c r="Z41" s="234" t="s">
        <v>28</v>
      </c>
      <c r="AA41" s="234" t="s">
        <v>29</v>
      </c>
      <c r="AB41" s="234" t="s">
        <v>30</v>
      </c>
      <c r="AC41" s="234" t="s">
        <v>31</v>
      </c>
      <c r="AD41" s="234" t="s">
        <v>32</v>
      </c>
      <c r="AE41" s="235" t="s">
        <v>33</v>
      </c>
      <c r="AF41" s="14"/>
      <c r="AG41" s="14"/>
      <c r="AH41" s="14"/>
      <c r="AQ41" s="81" t="s">
        <v>322</v>
      </c>
      <c r="AV41" s="168"/>
      <c r="AW41" s="168"/>
      <c r="AX41" s="168"/>
      <c r="AY41" s="169"/>
      <c r="BA41" s="168"/>
      <c r="BC41" s="81" t="s">
        <v>417</v>
      </c>
      <c r="BD41" s="167">
        <v>4.5999999999999999E-3</v>
      </c>
      <c r="BE41" s="167">
        <v>2.5000000000000001E-5</v>
      </c>
      <c r="BF41" s="81">
        <v>184.29</v>
      </c>
      <c r="BG41" s="81" t="s">
        <v>388</v>
      </c>
      <c r="BJ41" s="175"/>
      <c r="BK41" s="175"/>
      <c r="BL41" s="175"/>
      <c r="BM41" s="175"/>
      <c r="BN41" s="174"/>
      <c r="BO41" s="175"/>
      <c r="BQ41" s="81" t="s">
        <v>417</v>
      </c>
      <c r="BR41" s="167">
        <v>3.0599999999999998E-3</v>
      </c>
      <c r="BS41" s="167">
        <v>6.4700000000000001E-5</v>
      </c>
      <c r="BT41" s="81">
        <v>47.35</v>
      </c>
      <c r="BU41" s="81" t="s">
        <v>422</v>
      </c>
      <c r="BV41" s="167">
        <v>2E-16</v>
      </c>
      <c r="BW41" s="81" t="s">
        <v>389</v>
      </c>
      <c r="BY41" s="178" t="s">
        <v>319</v>
      </c>
      <c r="BZ41" s="178" t="s">
        <v>320</v>
      </c>
      <c r="CA41" s="178" t="s">
        <v>355</v>
      </c>
      <c r="CB41" s="178" t="s">
        <v>323</v>
      </c>
      <c r="CC41" s="177">
        <f t="shared" si="45"/>
        <v>49.4</v>
      </c>
      <c r="CD41" s="178" t="s">
        <v>322</v>
      </c>
      <c r="CJ41" s="81" t="s">
        <v>358</v>
      </c>
      <c r="CK41" s="254">
        <f t="shared" ref="CK41:CK49" si="46">AZ42</f>
        <v>0.16400670701460809</v>
      </c>
      <c r="CL41" s="254">
        <f t="shared" ref="CL41:CL49" si="47">BN42</f>
        <v>9.35E-2</v>
      </c>
      <c r="CM41" s="254">
        <f t="shared" ref="CM41:CM49" si="48">CC44</f>
        <v>0.11799999999999999</v>
      </c>
      <c r="CP41" s="258" t="s">
        <v>442</v>
      </c>
      <c r="CQ41" s="258" t="s">
        <v>404</v>
      </c>
      <c r="CR41" s="259">
        <v>-18.399999999999999</v>
      </c>
      <c r="CS41" s="259">
        <v>18</v>
      </c>
      <c r="CT41" s="258">
        <v>-1.02</v>
      </c>
      <c r="CU41" s="258">
        <v>0.30570000000000003</v>
      </c>
      <c r="CX41" s="260" t="s">
        <v>467</v>
      </c>
      <c r="CY41" s="261" t="s">
        <v>334</v>
      </c>
      <c r="CZ41" s="261" t="s">
        <v>323</v>
      </c>
      <c r="DA41" s="262">
        <f t="shared" si="43"/>
        <v>5.3699999999999998E-2</v>
      </c>
      <c r="DB41" s="260" t="s">
        <v>322</v>
      </c>
      <c r="DD41" s="170" t="s">
        <v>467</v>
      </c>
      <c r="DE41" s="291" t="s">
        <v>334</v>
      </c>
      <c r="DF41" s="291" t="s">
        <v>323</v>
      </c>
      <c r="DG41" s="170">
        <f>AP17</f>
        <v>4.920201210438243E-2</v>
      </c>
      <c r="DH41" s="170" t="s">
        <v>322</v>
      </c>
      <c r="DJ41" s="308" t="s">
        <v>442</v>
      </c>
      <c r="DK41" s="308" t="s">
        <v>404</v>
      </c>
      <c r="DL41" s="312">
        <v>-17</v>
      </c>
      <c r="DM41" s="312">
        <v>83.9</v>
      </c>
      <c r="DN41" s="308">
        <v>-0.2</v>
      </c>
      <c r="DO41" s="308">
        <v>0.83989999999999998</v>
      </c>
      <c r="DR41" s="309" t="s">
        <v>467</v>
      </c>
      <c r="DS41" s="310" t="s">
        <v>334</v>
      </c>
      <c r="DT41" s="310" t="s">
        <v>323</v>
      </c>
      <c r="DU41" s="311">
        <f t="shared" si="44"/>
        <v>6.3E-2</v>
      </c>
      <c r="DV41" s="309" t="s">
        <v>322</v>
      </c>
      <c r="DX41" s="167">
        <f t="shared" si="9"/>
        <v>1.1731843575418994</v>
      </c>
      <c r="EH41" s="167">
        <f t="shared" si="10"/>
        <v>1.2804354396390343</v>
      </c>
    </row>
    <row r="42" spans="1:138" ht="15" customHeight="1" thickTop="1" thickBot="1" x14ac:dyDescent="0.3">
      <c r="A42" s="81" t="s">
        <v>282</v>
      </c>
      <c r="C42" s="81">
        <v>1</v>
      </c>
      <c r="L42" s="81"/>
      <c r="M42" s="81"/>
      <c r="N42" s="81"/>
      <c r="O42" s="153"/>
      <c r="R42" s="81"/>
      <c r="X42" s="239"/>
      <c r="Y42" s="240" t="s">
        <v>128</v>
      </c>
      <c r="Z42" s="240">
        <v>0.02</v>
      </c>
      <c r="AA42" s="240">
        <v>1.4</v>
      </c>
      <c r="AB42" s="240">
        <v>2100</v>
      </c>
      <c r="AC42" s="240">
        <v>840</v>
      </c>
      <c r="AD42" s="241">
        <f>Z42/AA42</f>
        <v>1.4285714285714287E-2</v>
      </c>
      <c r="AE42" s="242">
        <f>Z42*AB42*AC42</f>
        <v>35280</v>
      </c>
      <c r="AF42" s="14" t="s">
        <v>104</v>
      </c>
      <c r="AG42" s="14"/>
      <c r="AH42" s="14"/>
      <c r="AM42" s="159" t="s">
        <v>319</v>
      </c>
      <c r="AN42" s="81" t="s">
        <v>320</v>
      </c>
      <c r="AO42" s="81" t="s">
        <v>358</v>
      </c>
      <c r="AP42" s="81">
        <f>SUM(O26)/(SUM($O$6:$O$14,$O$26,O30)+2*SUM($O$27))</f>
        <v>0.16400670701460809</v>
      </c>
      <c r="AQ42" s="81" t="s">
        <v>322</v>
      </c>
      <c r="AR42" s="81" t="s">
        <v>359</v>
      </c>
      <c r="AV42" s="168" t="s">
        <v>319</v>
      </c>
      <c r="AW42" s="168" t="s">
        <v>320</v>
      </c>
      <c r="AX42" s="168" t="s">
        <v>358</v>
      </c>
      <c r="AY42" s="169" t="s">
        <v>323</v>
      </c>
      <c r="AZ42" s="162">
        <f>AP42</f>
        <v>0.16400670701460809</v>
      </c>
      <c r="BA42" s="168" t="s">
        <v>322</v>
      </c>
      <c r="BC42" s="81" t="s">
        <v>418</v>
      </c>
      <c r="BD42" s="167">
        <v>393</v>
      </c>
      <c r="BE42" s="167">
        <v>4.21</v>
      </c>
      <c r="BF42" s="81">
        <v>93.48</v>
      </c>
      <c r="BG42" s="81" t="s">
        <v>388</v>
      </c>
      <c r="BJ42" s="175" t="s">
        <v>319</v>
      </c>
      <c r="BK42" s="175" t="s">
        <v>320</v>
      </c>
      <c r="BL42" s="175" t="s">
        <v>358</v>
      </c>
      <c r="BM42" s="175" t="s">
        <v>323</v>
      </c>
      <c r="BN42" s="174">
        <f>BD15</f>
        <v>9.35E-2</v>
      </c>
      <c r="BO42" s="175" t="s">
        <v>322</v>
      </c>
      <c r="BQ42" s="81" t="s">
        <v>418</v>
      </c>
      <c r="BR42" s="167">
        <v>113</v>
      </c>
      <c r="BS42" s="167">
        <v>2.08</v>
      </c>
      <c r="BT42" s="81">
        <v>54.6</v>
      </c>
      <c r="BU42" s="81" t="s">
        <v>422</v>
      </c>
      <c r="BV42" s="167">
        <v>2E-16</v>
      </c>
      <c r="BW42" s="81" t="s">
        <v>389</v>
      </c>
      <c r="BY42" s="178" t="s">
        <v>319</v>
      </c>
      <c r="BZ42" s="178" t="s">
        <v>320</v>
      </c>
      <c r="CA42" s="178" t="s">
        <v>357</v>
      </c>
      <c r="CB42" s="178" t="s">
        <v>323</v>
      </c>
      <c r="CC42" s="177">
        <f>1/BR76</f>
        <v>350.87719298245611</v>
      </c>
      <c r="CD42" s="178" t="s">
        <v>322</v>
      </c>
      <c r="CJ42" s="81" t="s">
        <v>360</v>
      </c>
      <c r="CK42" s="254">
        <f t="shared" si="46"/>
        <v>9.4508286837227937E-2</v>
      </c>
      <c r="CL42" s="254">
        <f t="shared" si="47"/>
        <v>0.19800000000000001</v>
      </c>
      <c r="CM42" s="254">
        <f t="shared" si="48"/>
        <v>0.28299999999999997</v>
      </c>
      <c r="CP42" s="258" t="s">
        <v>442</v>
      </c>
      <c r="CQ42" s="258" t="s">
        <v>405</v>
      </c>
      <c r="CR42" s="259">
        <v>2.52E-2</v>
      </c>
      <c r="CS42" s="259">
        <v>1.8200000000000001E-4</v>
      </c>
      <c r="CT42" s="258">
        <v>138.27000000000001</v>
      </c>
      <c r="CU42" s="258" t="s">
        <v>422</v>
      </c>
      <c r="CV42" s="167">
        <v>2E-16</v>
      </c>
      <c r="CW42" s="81" t="s">
        <v>389</v>
      </c>
      <c r="CX42" s="260" t="s">
        <v>467</v>
      </c>
      <c r="CY42" s="261" t="s">
        <v>428</v>
      </c>
      <c r="CZ42" s="261" t="s">
        <v>323</v>
      </c>
      <c r="DA42" s="262">
        <f t="shared" si="43"/>
        <v>5.0599999999999999E-2</v>
      </c>
      <c r="DB42" s="260" t="s">
        <v>322</v>
      </c>
      <c r="DD42" s="170" t="s">
        <v>467</v>
      </c>
      <c r="DE42" s="291" t="s">
        <v>428</v>
      </c>
      <c r="DF42" s="291" t="s">
        <v>323</v>
      </c>
      <c r="DG42" s="170">
        <f>AP46</f>
        <v>3.2801341402921617E-2</v>
      </c>
      <c r="DH42" s="170" t="s">
        <v>322</v>
      </c>
      <c r="DJ42" s="308" t="s">
        <v>442</v>
      </c>
      <c r="DK42" s="308" t="s">
        <v>405</v>
      </c>
      <c r="DL42" s="312">
        <v>3.2199999999999999E-2</v>
      </c>
      <c r="DM42" s="312">
        <v>5.0500000000000002E-4</v>
      </c>
      <c r="DN42" s="308">
        <v>63.74</v>
      </c>
      <c r="DO42" s="308" t="s">
        <v>422</v>
      </c>
      <c r="DP42" s="312">
        <v>2E-16</v>
      </c>
      <c r="DQ42" s="308" t="s">
        <v>389</v>
      </c>
      <c r="DR42" s="309" t="s">
        <v>467</v>
      </c>
      <c r="DS42" s="310" t="s">
        <v>428</v>
      </c>
      <c r="DT42" s="310" t="s">
        <v>323</v>
      </c>
      <c r="DU42" s="311">
        <f t="shared" si="44"/>
        <v>5.5899999999999998E-2</v>
      </c>
      <c r="DV42" s="309" t="s">
        <v>322</v>
      </c>
      <c r="DX42" s="167">
        <f t="shared" si="9"/>
        <v>1.1047430830039526</v>
      </c>
      <c r="EH42" s="167">
        <f t="shared" si="10"/>
        <v>1.7041985970433813</v>
      </c>
    </row>
    <row r="43" spans="1:138" ht="15" customHeight="1" thickTop="1" thickBot="1" x14ac:dyDescent="0.3">
      <c r="A43" s="81" t="s">
        <v>283</v>
      </c>
      <c r="C43" s="81">
        <f>B7/B6</f>
        <v>0.36838978015448604</v>
      </c>
      <c r="D43" s="81" t="s">
        <v>284</v>
      </c>
      <c r="L43" s="81"/>
      <c r="M43" s="81"/>
      <c r="N43" s="81" t="s">
        <v>122</v>
      </c>
      <c r="O43" s="153">
        <f>B4*1.204*1012*5/1000000</f>
        <v>2.8194886719999999</v>
      </c>
      <c r="P43" s="81" t="s">
        <v>123</v>
      </c>
      <c r="Q43" s="81"/>
      <c r="R43" s="81"/>
      <c r="X43" s="188"/>
      <c r="Y43" s="189" t="s">
        <v>129</v>
      </c>
      <c r="Z43" s="189">
        <v>0.08</v>
      </c>
      <c r="AA43" s="189">
        <v>0.6</v>
      </c>
      <c r="AB43" s="189">
        <v>1100</v>
      </c>
      <c r="AC43" s="189">
        <v>860</v>
      </c>
      <c r="AD43" s="236">
        <f>Z43/AA43</f>
        <v>0.13333333333333333</v>
      </c>
      <c r="AE43" s="190">
        <f>Z43*AB43*AC43</f>
        <v>75680</v>
      </c>
      <c r="AF43" s="14"/>
      <c r="AG43" s="14"/>
      <c r="AH43" s="14"/>
      <c r="AM43" s="159" t="s">
        <v>319</v>
      </c>
      <c r="AN43" s="81" t="s">
        <v>320</v>
      </c>
      <c r="AO43" s="81" t="s">
        <v>360</v>
      </c>
      <c r="AP43" s="81">
        <f>SUM(O26)/SUM(O$17:O$25,2*O$28,O$26,O31,2*O29)</f>
        <v>9.4508286837227937E-2</v>
      </c>
      <c r="AQ43" s="81" t="s">
        <v>322</v>
      </c>
      <c r="AR43" s="81" t="s">
        <v>361</v>
      </c>
      <c r="AV43" s="168" t="s">
        <v>319</v>
      </c>
      <c r="AW43" s="168" t="s">
        <v>320</v>
      </c>
      <c r="AX43" s="168" t="s">
        <v>360</v>
      </c>
      <c r="AY43" s="169" t="s">
        <v>323</v>
      </c>
      <c r="AZ43" s="162">
        <f t="shared" ref="AZ43:AZ50" si="49">AP43</f>
        <v>9.4508286837227937E-2</v>
      </c>
      <c r="BA43" s="168" t="s">
        <v>322</v>
      </c>
      <c r="BC43" s="81" t="s">
        <v>419</v>
      </c>
      <c r="BD43" s="167">
        <v>141</v>
      </c>
      <c r="BE43" s="167">
        <v>4.72</v>
      </c>
      <c r="BF43" s="81">
        <v>29.84</v>
      </c>
      <c r="BG43" s="81" t="s">
        <v>388</v>
      </c>
      <c r="BJ43" s="175" t="s">
        <v>319</v>
      </c>
      <c r="BK43" s="175" t="s">
        <v>320</v>
      </c>
      <c r="BL43" s="175" t="s">
        <v>360</v>
      </c>
      <c r="BM43" s="175" t="s">
        <v>323</v>
      </c>
      <c r="BN43" s="174">
        <f>BD57</f>
        <v>0.19800000000000001</v>
      </c>
      <c r="BO43" s="175" t="s">
        <v>322</v>
      </c>
      <c r="BQ43" s="81" t="s">
        <v>419</v>
      </c>
      <c r="BR43" s="167">
        <v>4990</v>
      </c>
      <c r="BS43" s="167">
        <v>2330</v>
      </c>
      <c r="BT43" s="81">
        <v>2.14</v>
      </c>
      <c r="BU43" s="81">
        <v>3.27E-2</v>
      </c>
      <c r="BV43" s="81" t="s">
        <v>434</v>
      </c>
      <c r="BY43" s="178"/>
      <c r="BZ43" s="178"/>
      <c r="CA43" s="178"/>
      <c r="CB43" s="178"/>
      <c r="CC43" s="177"/>
      <c r="CD43" s="178"/>
      <c r="CJ43" s="81" t="s">
        <v>362</v>
      </c>
      <c r="CK43" s="256">
        <f t="shared" si="46"/>
        <v>14177850</v>
      </c>
      <c r="CL43" s="256">
        <f t="shared" si="47"/>
        <v>8270000</v>
      </c>
      <c r="CM43" s="256">
        <f t="shared" si="48"/>
        <v>19200000</v>
      </c>
      <c r="CP43" s="258" t="s">
        <v>442</v>
      </c>
      <c r="CQ43" s="258" t="s">
        <v>406</v>
      </c>
      <c r="CR43" s="259">
        <v>0.17599999999999999</v>
      </c>
      <c r="CS43" s="259">
        <v>8.0199999999999998E-4</v>
      </c>
      <c r="CT43" s="258">
        <v>219.97</v>
      </c>
      <c r="CU43" s="258" t="s">
        <v>422</v>
      </c>
      <c r="CV43" s="167">
        <v>2E-16</v>
      </c>
      <c r="CW43" s="81" t="s">
        <v>389</v>
      </c>
      <c r="CZ43" s="261"/>
      <c r="DF43" s="291"/>
      <c r="DJ43" s="308" t="s">
        <v>442</v>
      </c>
      <c r="DK43" s="308" t="s">
        <v>406</v>
      </c>
      <c r="DL43" s="312">
        <v>0.20899999999999999</v>
      </c>
      <c r="DM43" s="312">
        <v>1.65E-3</v>
      </c>
      <c r="DN43" s="308">
        <v>126.52</v>
      </c>
      <c r="DO43" s="308" t="s">
        <v>422</v>
      </c>
      <c r="DP43" s="312">
        <v>2E-16</v>
      </c>
      <c r="DQ43" s="308" t="s">
        <v>389</v>
      </c>
      <c r="DT43" s="310"/>
      <c r="DX43" s="167"/>
      <c r="EH43" s="167"/>
    </row>
    <row r="44" spans="1:138" ht="15" customHeight="1" thickTop="1" thickBot="1" x14ac:dyDescent="0.3">
      <c r="A44" s="81" t="s">
        <v>287</v>
      </c>
      <c r="C44" s="81">
        <v>0.7</v>
      </c>
      <c r="E44" s="79"/>
      <c r="L44" s="81"/>
      <c r="M44" s="81"/>
      <c r="N44" s="81" t="s">
        <v>124</v>
      </c>
      <c r="O44" s="153">
        <f>SUM(S6:S9,S15)/1000000</f>
        <v>18.011311493761145</v>
      </c>
      <c r="P44" s="81" t="s">
        <v>125</v>
      </c>
      <c r="Q44" s="153">
        <f>SUM(U6:U9,U15)/1000000</f>
        <v>6.7957248270944746</v>
      </c>
      <c r="R44" s="81"/>
      <c r="X44" s="188"/>
      <c r="Y44" s="189" t="s">
        <v>285</v>
      </c>
      <c r="Z44" s="189">
        <v>0.03</v>
      </c>
      <c r="AA44" s="189">
        <v>3.5999999999999997E-2</v>
      </c>
      <c r="AB44" s="189">
        <v>30</v>
      </c>
      <c r="AC44" s="189">
        <v>1470</v>
      </c>
      <c r="AD44" s="236">
        <f>Z44/AA44</f>
        <v>0.83333333333333337</v>
      </c>
      <c r="AE44" s="190">
        <f>Z44*AB44*AC44</f>
        <v>1322.9999999999998</v>
      </c>
      <c r="AF44" s="149" t="s">
        <v>286</v>
      </c>
      <c r="AG44" s="14"/>
      <c r="AH44" s="14"/>
      <c r="AM44" s="159" t="s">
        <v>319</v>
      </c>
      <c r="AN44" s="81" t="s">
        <v>320</v>
      </c>
      <c r="AO44" s="81" t="s">
        <v>362</v>
      </c>
      <c r="AP44" s="81">
        <f>U26/2</f>
        <v>14177850</v>
      </c>
      <c r="AQ44" s="81" t="s">
        <v>322</v>
      </c>
      <c r="AR44" s="81" t="s">
        <v>363</v>
      </c>
      <c r="AV44" s="168" t="s">
        <v>319</v>
      </c>
      <c r="AW44" s="168" t="s">
        <v>320</v>
      </c>
      <c r="AX44" s="168" t="s">
        <v>362</v>
      </c>
      <c r="AY44" s="169" t="s">
        <v>323</v>
      </c>
      <c r="AZ44" s="162">
        <f t="shared" si="49"/>
        <v>14177850</v>
      </c>
      <c r="BA44" s="168" t="s">
        <v>322</v>
      </c>
      <c r="BC44" s="81" t="s">
        <v>420</v>
      </c>
      <c r="BD44" s="167">
        <v>81.900000000000006</v>
      </c>
      <c r="BE44" s="167">
        <v>0.45900000000000002</v>
      </c>
      <c r="BF44" s="81">
        <v>178.48</v>
      </c>
      <c r="BG44" s="81" t="s">
        <v>388</v>
      </c>
      <c r="BJ44" s="175" t="s">
        <v>319</v>
      </c>
      <c r="BK44" s="175" t="s">
        <v>320</v>
      </c>
      <c r="BL44" s="175" t="s">
        <v>362</v>
      </c>
      <c r="BM44" s="175" t="s">
        <v>323</v>
      </c>
      <c r="BN44" s="174">
        <f>BD87</f>
        <v>8270000</v>
      </c>
      <c r="BO44" s="175" t="s">
        <v>322</v>
      </c>
      <c r="BQ44" s="81" t="s">
        <v>420</v>
      </c>
      <c r="BR44" s="167">
        <v>75.900000000000006</v>
      </c>
      <c r="BS44" s="167">
        <v>3.39</v>
      </c>
      <c r="BT44" s="81">
        <v>22.42</v>
      </c>
      <c r="BU44" s="81" t="s">
        <v>422</v>
      </c>
      <c r="BV44" s="167">
        <v>2E-16</v>
      </c>
      <c r="BW44" s="81" t="s">
        <v>389</v>
      </c>
      <c r="BY44" s="178" t="s">
        <v>319</v>
      </c>
      <c r="BZ44" s="178" t="s">
        <v>320</v>
      </c>
      <c r="CA44" s="178" t="s">
        <v>358</v>
      </c>
      <c r="CB44" s="178" t="s">
        <v>323</v>
      </c>
      <c r="CC44" s="177">
        <f>BR15</f>
        <v>0.11799999999999999</v>
      </c>
      <c r="CD44" s="178" t="s">
        <v>322</v>
      </c>
      <c r="CJ44" s="81" t="s">
        <v>364</v>
      </c>
      <c r="CK44" s="256">
        <f t="shared" si="46"/>
        <v>14177850</v>
      </c>
      <c r="CL44" s="256">
        <f t="shared" si="47"/>
        <v>25000000</v>
      </c>
      <c r="CM44" s="256">
        <f t="shared" si="48"/>
        <v>65100000</v>
      </c>
      <c r="CP44" s="258" t="s">
        <v>442</v>
      </c>
      <c r="CQ44" s="258" t="s">
        <v>407</v>
      </c>
      <c r="CR44" s="259">
        <v>0.71099999999999997</v>
      </c>
      <c r="CS44" s="259">
        <v>1.72E-3</v>
      </c>
      <c r="CT44" s="258">
        <v>412.6</v>
      </c>
      <c r="CU44" s="258" t="s">
        <v>422</v>
      </c>
      <c r="CV44" s="167">
        <v>2E-16</v>
      </c>
      <c r="CW44" s="81" t="s">
        <v>389</v>
      </c>
      <c r="CX44" s="260" t="s">
        <v>467</v>
      </c>
      <c r="CY44" s="266" t="s">
        <v>489</v>
      </c>
      <c r="CZ44" s="261" t="s">
        <v>323</v>
      </c>
      <c r="DA44" s="262">
        <f>CR68</f>
        <v>1.39E-9</v>
      </c>
      <c r="DB44" s="260" t="s">
        <v>322</v>
      </c>
      <c r="DD44" s="170" t="s">
        <v>467</v>
      </c>
      <c r="DE44" s="296" t="s">
        <v>489</v>
      </c>
      <c r="DF44" s="291" t="s">
        <v>323</v>
      </c>
      <c r="DG44" s="170">
        <f>O11*Z37*AP26</f>
        <v>0.29511961220926869</v>
      </c>
      <c r="DH44" s="170" t="s">
        <v>322</v>
      </c>
      <c r="DJ44" s="308" t="s">
        <v>442</v>
      </c>
      <c r="DK44" s="308" t="s">
        <v>407</v>
      </c>
      <c r="DL44" s="312">
        <v>0.63400000000000001</v>
      </c>
      <c r="DM44" s="312">
        <v>3.7299999999999998E-3</v>
      </c>
      <c r="DN44" s="308">
        <v>169.8</v>
      </c>
      <c r="DO44" s="308" t="s">
        <v>422</v>
      </c>
      <c r="DP44" s="312">
        <v>2E-16</v>
      </c>
      <c r="DQ44" s="308" t="s">
        <v>389</v>
      </c>
      <c r="DR44" s="309" t="s">
        <v>467</v>
      </c>
      <c r="DS44" s="316" t="s">
        <v>489</v>
      </c>
      <c r="DT44" s="310" t="s">
        <v>323</v>
      </c>
      <c r="DU44" s="311">
        <f>DL68</f>
        <v>3.5699999999999998E-7</v>
      </c>
      <c r="DV44" s="309" t="s">
        <v>322</v>
      </c>
      <c r="DX44" s="167">
        <f t="shared" si="9"/>
        <v>256.83453237410072</v>
      </c>
      <c r="EH44" s="167">
        <f t="shared" si="10"/>
        <v>1.2096790088855635E-6</v>
      </c>
    </row>
    <row r="45" spans="1:138" ht="15" customHeight="1" thickTop="1" thickBot="1" x14ac:dyDescent="0.3">
      <c r="A45" s="81" t="s">
        <v>288</v>
      </c>
      <c r="C45" s="81">
        <v>0.5</v>
      </c>
      <c r="E45" s="79"/>
      <c r="L45" s="81"/>
      <c r="M45" s="81"/>
      <c r="N45" s="81" t="s">
        <v>126</v>
      </c>
      <c r="O45" s="153">
        <f>SUM(S26:S27)/1000000</f>
        <v>41.791845300282262</v>
      </c>
      <c r="P45" s="81" t="s">
        <v>125</v>
      </c>
      <c r="Q45" s="153">
        <f>SUM(U26:U27)/1000000</f>
        <v>41.791845300282262</v>
      </c>
      <c r="R45" s="81"/>
      <c r="X45" s="188"/>
      <c r="Y45" s="189" t="s">
        <v>131</v>
      </c>
      <c r="Z45" s="189">
        <v>0.15</v>
      </c>
      <c r="AA45" s="189">
        <v>1.4</v>
      </c>
      <c r="AB45" s="189">
        <v>2100</v>
      </c>
      <c r="AC45" s="189">
        <v>840</v>
      </c>
      <c r="AD45" s="236">
        <f>Z45/AA45</f>
        <v>0.10714285714285715</v>
      </c>
      <c r="AE45" s="190">
        <f>Z45*AB45*AC45</f>
        <v>264600</v>
      </c>
      <c r="AF45" s="14"/>
      <c r="AG45" s="14"/>
      <c r="AH45" s="14"/>
      <c r="AM45" s="159" t="s">
        <v>319</v>
      </c>
      <c r="AN45" s="81" t="s">
        <v>320</v>
      </c>
      <c r="AO45" s="81" t="s">
        <v>364</v>
      </c>
      <c r="AP45" s="81">
        <f>U26/2</f>
        <v>14177850</v>
      </c>
      <c r="AQ45" s="81" t="s">
        <v>322</v>
      </c>
      <c r="AR45" s="81" t="s">
        <v>365</v>
      </c>
      <c r="AV45" s="168" t="s">
        <v>319</v>
      </c>
      <c r="AW45" s="168" t="s">
        <v>320</v>
      </c>
      <c r="AX45" s="168" t="s">
        <v>364</v>
      </c>
      <c r="AY45" s="169" t="s">
        <v>323</v>
      </c>
      <c r="AZ45" s="162">
        <f t="shared" si="49"/>
        <v>14177850</v>
      </c>
      <c r="BA45" s="168" t="s">
        <v>322</v>
      </c>
      <c r="BJ45" s="175" t="s">
        <v>319</v>
      </c>
      <c r="BK45" s="175" t="s">
        <v>320</v>
      </c>
      <c r="BL45" s="175" t="s">
        <v>364</v>
      </c>
      <c r="BM45" s="175" t="s">
        <v>323</v>
      </c>
      <c r="BN45" s="174">
        <f>BD88</f>
        <v>25000000</v>
      </c>
      <c r="BO45" s="175" t="s">
        <v>322</v>
      </c>
      <c r="BY45" s="178" t="s">
        <v>319</v>
      </c>
      <c r="BZ45" s="178" t="s">
        <v>320</v>
      </c>
      <c r="CA45" s="178" t="s">
        <v>360</v>
      </c>
      <c r="CB45" s="178" t="s">
        <v>323</v>
      </c>
      <c r="CC45" s="177">
        <f>BR56</f>
        <v>0.28299999999999997</v>
      </c>
      <c r="CD45" s="178" t="s">
        <v>322</v>
      </c>
      <c r="CJ45" s="81" t="s">
        <v>366</v>
      </c>
      <c r="CK45" s="254">
        <f t="shared" si="46"/>
        <v>3.2801341402921617E-2</v>
      </c>
      <c r="CL45" s="254">
        <f t="shared" si="47"/>
        <v>7.3400000000000007E-2</v>
      </c>
      <c r="CM45" s="254">
        <f t="shared" si="48"/>
        <v>4.4299999999999999E-2</v>
      </c>
      <c r="CP45" s="258" t="s">
        <v>442</v>
      </c>
      <c r="CQ45" s="258" t="s">
        <v>408</v>
      </c>
      <c r="CR45" s="259">
        <v>5.3699999999999998E-2</v>
      </c>
      <c r="CS45" s="259">
        <v>2.4600000000000002E-4</v>
      </c>
      <c r="CT45" s="258">
        <v>217.9</v>
      </c>
      <c r="CU45" s="258" t="s">
        <v>422</v>
      </c>
      <c r="CV45" s="167">
        <v>2E-16</v>
      </c>
      <c r="CW45" s="81" t="s">
        <v>389</v>
      </c>
      <c r="CX45" s="260" t="s">
        <v>467</v>
      </c>
      <c r="CY45" s="266" t="s">
        <v>490</v>
      </c>
      <c r="CZ45" s="261" t="s">
        <v>323</v>
      </c>
      <c r="DA45" s="262">
        <f t="shared" ref="DA45:DA59" si="50">CR69</f>
        <v>0.113</v>
      </c>
      <c r="DB45" s="260" t="s">
        <v>322</v>
      </c>
      <c r="DD45" s="170" t="s">
        <v>467</v>
      </c>
      <c r="DE45" s="296" t="s">
        <v>490</v>
      </c>
      <c r="DF45" s="291" t="s">
        <v>323</v>
      </c>
      <c r="DG45" s="170">
        <f>O10*Z37*AP26</f>
        <v>0.26701298247505262</v>
      </c>
      <c r="DH45" s="170" t="s">
        <v>322</v>
      </c>
      <c r="DJ45" s="308" t="s">
        <v>442</v>
      </c>
      <c r="DK45" s="308" t="s">
        <v>408</v>
      </c>
      <c r="DL45" s="312">
        <v>6.3E-2</v>
      </c>
      <c r="DM45" s="312">
        <v>5.7700000000000004E-4</v>
      </c>
      <c r="DN45" s="308">
        <v>109.07</v>
      </c>
      <c r="DO45" s="308" t="s">
        <v>422</v>
      </c>
      <c r="DP45" s="312">
        <v>2E-16</v>
      </c>
      <c r="DQ45" s="308" t="s">
        <v>389</v>
      </c>
      <c r="DR45" s="309" t="s">
        <v>467</v>
      </c>
      <c r="DS45" s="316" t="s">
        <v>490</v>
      </c>
      <c r="DT45" s="310" t="s">
        <v>323</v>
      </c>
      <c r="DU45" s="311">
        <f t="shared" ref="DU45:DU59" si="51">DL69</f>
        <v>9.540000000000001E-7</v>
      </c>
      <c r="DV45" s="309" t="s">
        <v>322</v>
      </c>
      <c r="DX45" s="167">
        <f t="shared" si="9"/>
        <v>8.4424778761061958E-6</v>
      </c>
      <c r="EH45" s="167">
        <f t="shared" si="10"/>
        <v>3.5728599829003956E-6</v>
      </c>
    </row>
    <row r="46" spans="1:138" ht="15" customHeight="1" thickTop="1" thickBot="1" x14ac:dyDescent="0.3">
      <c r="L46" s="81"/>
      <c r="M46" s="81"/>
      <c r="N46" s="81" t="s">
        <v>127</v>
      </c>
      <c r="O46" s="153">
        <f>S14/1000000</f>
        <v>23.366745999999999</v>
      </c>
      <c r="Q46" s="153">
        <f>U14/1000000</f>
        <v>6.8795200000000003</v>
      </c>
      <c r="R46" s="81"/>
      <c r="X46" s="205"/>
      <c r="Y46" s="187" t="s">
        <v>132</v>
      </c>
      <c r="Z46" s="187">
        <v>0</v>
      </c>
      <c r="AA46" s="187">
        <v>0.02</v>
      </c>
      <c r="AB46" s="187">
        <v>30</v>
      </c>
      <c r="AC46" s="187">
        <v>1470</v>
      </c>
      <c r="AD46" s="237">
        <f>Z46/AA46</f>
        <v>0</v>
      </c>
      <c r="AE46" s="210">
        <f>Z46*AB46*AC46</f>
        <v>0</v>
      </c>
      <c r="AF46" s="14"/>
      <c r="AG46" s="14"/>
      <c r="AH46" s="14"/>
      <c r="AM46" s="159" t="s">
        <v>319</v>
      </c>
      <c r="AN46" s="81" t="s">
        <v>320</v>
      </c>
      <c r="AO46" s="81" t="s">
        <v>366</v>
      </c>
      <c r="AP46" s="81">
        <f>AP42*0.2</f>
        <v>3.2801341402921617E-2</v>
      </c>
      <c r="AQ46" s="81" t="s">
        <v>322</v>
      </c>
      <c r="AR46" s="81" t="s">
        <v>367</v>
      </c>
      <c r="AV46" s="168" t="s">
        <v>319</v>
      </c>
      <c r="AW46" s="168" t="s">
        <v>320</v>
      </c>
      <c r="AX46" s="168" t="s">
        <v>366</v>
      </c>
      <c r="AY46" s="169" t="s">
        <v>323</v>
      </c>
      <c r="AZ46" s="162">
        <f t="shared" si="49"/>
        <v>3.2801341402921617E-2</v>
      </c>
      <c r="BA46" s="168" t="s">
        <v>322</v>
      </c>
      <c r="BJ46" s="175" t="s">
        <v>319</v>
      </c>
      <c r="BK46" s="175" t="s">
        <v>320</v>
      </c>
      <c r="BL46" s="175" t="s">
        <v>366</v>
      </c>
      <c r="BM46" s="175" t="s">
        <v>323</v>
      </c>
      <c r="BN46" s="174">
        <f>BD31</f>
        <v>7.3400000000000007E-2</v>
      </c>
      <c r="BO46" s="175" t="s">
        <v>322</v>
      </c>
      <c r="BQ46" s="81" t="s">
        <v>433</v>
      </c>
      <c r="BR46" s="81" t="s">
        <v>421</v>
      </c>
      <c r="BY46" s="178" t="s">
        <v>319</v>
      </c>
      <c r="BZ46" s="178" t="s">
        <v>320</v>
      </c>
      <c r="CA46" s="178" t="s">
        <v>362</v>
      </c>
      <c r="CB46" s="178" t="s">
        <v>323</v>
      </c>
      <c r="CC46" s="177">
        <f>BR87</f>
        <v>19200000</v>
      </c>
      <c r="CD46" s="178" t="s">
        <v>322</v>
      </c>
      <c r="CJ46" s="81" t="s">
        <v>368</v>
      </c>
      <c r="CK46" s="254">
        <f t="shared" si="46"/>
        <v>1.890165736744559E-2</v>
      </c>
      <c r="CL46" s="254">
        <f t="shared" si="47"/>
        <v>0.126</v>
      </c>
      <c r="CM46" s="254">
        <f t="shared" si="48"/>
        <v>7.3200000000000001E-2</v>
      </c>
      <c r="CP46" s="258" t="s">
        <v>442</v>
      </c>
      <c r="CQ46" s="258" t="s">
        <v>409</v>
      </c>
      <c r="CR46" s="259">
        <v>5.0599999999999999E-2</v>
      </c>
      <c r="CS46" s="259">
        <v>2.5099999999999998E-4</v>
      </c>
      <c r="CT46" s="258">
        <v>201.2</v>
      </c>
      <c r="CU46" s="258" t="s">
        <v>422</v>
      </c>
      <c r="CV46" s="167">
        <v>2E-16</v>
      </c>
      <c r="CW46" s="81" t="s">
        <v>389</v>
      </c>
      <c r="CX46" s="260" t="s">
        <v>467</v>
      </c>
      <c r="CY46" s="266" t="s">
        <v>491</v>
      </c>
      <c r="CZ46" s="261" t="s">
        <v>323</v>
      </c>
      <c r="DA46" s="262">
        <f t="shared" si="50"/>
        <v>0.14799999999999999</v>
      </c>
      <c r="DB46" s="260" t="s">
        <v>322</v>
      </c>
      <c r="DD46" s="170" t="s">
        <v>467</v>
      </c>
      <c r="DE46" s="296" t="s">
        <v>491</v>
      </c>
      <c r="DF46" s="291" t="s">
        <v>323</v>
      </c>
      <c r="DG46" s="170">
        <f>O12*Z37*AP26</f>
        <v>0.27638185905312462</v>
      </c>
      <c r="DH46" s="170" t="s">
        <v>322</v>
      </c>
      <c r="DJ46" s="308" t="s">
        <v>442</v>
      </c>
      <c r="DK46" s="308" t="s">
        <v>409</v>
      </c>
      <c r="DL46" s="312">
        <v>5.5899999999999998E-2</v>
      </c>
      <c r="DM46" s="312">
        <v>7.0200000000000004E-4</v>
      </c>
      <c r="DN46" s="308">
        <v>79.540000000000006</v>
      </c>
      <c r="DO46" s="308" t="s">
        <v>422</v>
      </c>
      <c r="DP46" s="312">
        <v>2E-16</v>
      </c>
      <c r="DQ46" s="308" t="s">
        <v>389</v>
      </c>
      <c r="DR46" s="309" t="s">
        <v>467</v>
      </c>
      <c r="DS46" s="316" t="s">
        <v>491</v>
      </c>
      <c r="DT46" s="310" t="s">
        <v>323</v>
      </c>
      <c r="DU46" s="311">
        <f t="shared" si="51"/>
        <v>0.125</v>
      </c>
      <c r="DV46" s="309" t="s">
        <v>322</v>
      </c>
      <c r="DX46" s="167">
        <f t="shared" si="9"/>
        <v>0.84459459459459463</v>
      </c>
      <c r="EH46" s="167">
        <f t="shared" si="10"/>
        <v>0.45227280990237922</v>
      </c>
    </row>
    <row r="47" spans="1:138" ht="15" customHeight="1" thickTop="1" thickBot="1" x14ac:dyDescent="0.3">
      <c r="B47" s="153"/>
      <c r="L47" s="81"/>
      <c r="M47" s="81"/>
      <c r="N47" s="81"/>
      <c r="Q47" s="81"/>
      <c r="R47" s="81"/>
      <c r="X47" s="189"/>
      <c r="Y47" s="189"/>
      <c r="Z47" s="189"/>
      <c r="AA47" s="189"/>
      <c r="AB47" s="189"/>
      <c r="AC47" s="189"/>
      <c r="AD47" s="236"/>
      <c r="AE47" s="189"/>
      <c r="AF47" s="14"/>
      <c r="AG47" s="14"/>
      <c r="AH47" s="14"/>
      <c r="AM47" s="159" t="s">
        <v>319</v>
      </c>
      <c r="AN47" s="81" t="s">
        <v>320</v>
      </c>
      <c r="AO47" s="81" t="s">
        <v>368</v>
      </c>
      <c r="AP47" s="81">
        <f>AP43*0.2</f>
        <v>1.890165736744559E-2</v>
      </c>
      <c r="AQ47" s="81" t="s">
        <v>322</v>
      </c>
      <c r="AR47" s="81" t="s">
        <v>369</v>
      </c>
      <c r="AV47" s="168" t="s">
        <v>319</v>
      </c>
      <c r="AW47" s="168" t="s">
        <v>320</v>
      </c>
      <c r="AX47" s="168" t="s">
        <v>368</v>
      </c>
      <c r="AY47" s="169" t="s">
        <v>323</v>
      </c>
      <c r="AZ47" s="162">
        <f t="shared" si="49"/>
        <v>1.890165736744559E-2</v>
      </c>
      <c r="BA47" s="168" t="s">
        <v>322</v>
      </c>
      <c r="BD47" s="172" t="s">
        <v>421</v>
      </c>
      <c r="BJ47" s="175" t="s">
        <v>319</v>
      </c>
      <c r="BK47" s="175" t="s">
        <v>320</v>
      </c>
      <c r="BL47" s="175" t="s">
        <v>368</v>
      </c>
      <c r="BM47" s="175" t="s">
        <v>323</v>
      </c>
      <c r="BN47" s="174">
        <f>BD69</f>
        <v>0.126</v>
      </c>
      <c r="BO47" s="175" t="s">
        <v>322</v>
      </c>
      <c r="BQ47" s="81" t="s">
        <v>380</v>
      </c>
      <c r="BY47" s="178" t="s">
        <v>319</v>
      </c>
      <c r="BZ47" s="178" t="s">
        <v>320</v>
      </c>
      <c r="CA47" s="178" t="s">
        <v>364</v>
      </c>
      <c r="CB47" s="178" t="s">
        <v>323</v>
      </c>
      <c r="CC47" s="177">
        <f>BR89</f>
        <v>65100000</v>
      </c>
      <c r="CD47" s="178" t="s">
        <v>322</v>
      </c>
      <c r="CJ47" s="81" t="s">
        <v>370</v>
      </c>
      <c r="CK47" s="257">
        <f t="shared" si="46"/>
        <v>369.7988165680473</v>
      </c>
      <c r="CL47" s="257">
        <f t="shared" si="47"/>
        <v>502</v>
      </c>
      <c r="CM47" s="257">
        <f t="shared" si="48"/>
        <v>198</v>
      </c>
      <c r="CP47" s="258" t="s">
        <v>442</v>
      </c>
      <c r="CQ47" s="258" t="s">
        <v>410</v>
      </c>
      <c r="CR47" s="259">
        <v>59.1</v>
      </c>
      <c r="CS47" s="259">
        <v>0.27800000000000002</v>
      </c>
      <c r="CT47" s="258">
        <v>212.7</v>
      </c>
      <c r="CU47" s="258" t="s">
        <v>422</v>
      </c>
      <c r="CV47" s="167">
        <v>2E-16</v>
      </c>
      <c r="CW47" s="81" t="s">
        <v>389</v>
      </c>
      <c r="CX47" s="260" t="s">
        <v>467</v>
      </c>
      <c r="CY47" s="266" t="s">
        <v>492</v>
      </c>
      <c r="CZ47" s="261" t="s">
        <v>323</v>
      </c>
      <c r="DA47" s="262">
        <f t="shared" si="50"/>
        <v>0.20499999999999999</v>
      </c>
      <c r="DB47" s="260" t="s">
        <v>322</v>
      </c>
      <c r="DD47" s="170" t="s">
        <v>467</v>
      </c>
      <c r="DE47" s="296" t="s">
        <v>492</v>
      </c>
      <c r="DF47" s="291" t="s">
        <v>323</v>
      </c>
      <c r="DG47" s="170">
        <f>O13*Z37*AP26</f>
        <v>0.30448848878734069</v>
      </c>
      <c r="DH47" s="170" t="s">
        <v>322</v>
      </c>
      <c r="DJ47" s="308" t="s">
        <v>442</v>
      </c>
      <c r="DK47" s="308" t="s">
        <v>410</v>
      </c>
      <c r="DL47" s="312">
        <v>52.8</v>
      </c>
      <c r="DM47" s="312">
        <v>0.51500000000000001</v>
      </c>
      <c r="DN47" s="308">
        <v>102.45</v>
      </c>
      <c r="DO47" s="308" t="s">
        <v>422</v>
      </c>
      <c r="DP47" s="312">
        <v>2E-16</v>
      </c>
      <c r="DQ47" s="308" t="s">
        <v>389</v>
      </c>
      <c r="DR47" s="309" t="s">
        <v>467</v>
      </c>
      <c r="DS47" s="316" t="s">
        <v>492</v>
      </c>
      <c r="DT47" s="310" t="s">
        <v>323</v>
      </c>
      <c r="DU47" s="311">
        <f t="shared" si="51"/>
        <v>0.23</v>
      </c>
      <c r="DV47" s="309" t="s">
        <v>322</v>
      </c>
      <c r="DX47" s="167">
        <f t="shared" si="9"/>
        <v>1.1219512195121952</v>
      </c>
      <c r="EH47" s="167">
        <f t="shared" si="10"/>
        <v>0.75536517296926597</v>
      </c>
    </row>
    <row r="48" spans="1:138" ht="15" customHeight="1" thickTop="1" thickBot="1" x14ac:dyDescent="0.3">
      <c r="B48" s="153"/>
      <c r="L48" s="81"/>
      <c r="M48" s="81"/>
      <c r="N48" s="81"/>
      <c r="Q48" s="81"/>
      <c r="R48" s="81"/>
      <c r="X48" s="226"/>
      <c r="Y48" s="226"/>
      <c r="Z48" s="245" t="s">
        <v>4</v>
      </c>
      <c r="AA48" s="245">
        <v>4</v>
      </c>
      <c r="AB48" s="245" t="s">
        <v>5</v>
      </c>
      <c r="AC48" s="226"/>
      <c r="AD48" s="226"/>
      <c r="AE48" s="226"/>
      <c r="AF48" s="14"/>
      <c r="AG48" s="14"/>
      <c r="AH48" s="14"/>
      <c r="AM48" s="159" t="s">
        <v>319</v>
      </c>
      <c r="AN48" s="81" t="s">
        <v>320</v>
      </c>
      <c r="AO48" s="81" t="s">
        <v>370</v>
      </c>
      <c r="AP48" s="81">
        <f>AA27*4*O26</f>
        <v>369.7988165680473</v>
      </c>
      <c r="AQ48" s="81" t="s">
        <v>322</v>
      </c>
      <c r="AR48" s="81" t="s">
        <v>371</v>
      </c>
      <c r="AV48" s="168" t="s">
        <v>319</v>
      </c>
      <c r="AW48" s="168" t="s">
        <v>320</v>
      </c>
      <c r="AX48" s="168" t="s">
        <v>370</v>
      </c>
      <c r="AY48" s="169" t="s">
        <v>323</v>
      </c>
      <c r="AZ48" s="162">
        <f t="shared" si="49"/>
        <v>369.7988165680473</v>
      </c>
      <c r="BA48" s="168" t="s">
        <v>322</v>
      </c>
      <c r="BC48" s="81" t="s">
        <v>380</v>
      </c>
      <c r="BJ48" s="175" t="s">
        <v>319</v>
      </c>
      <c r="BK48" s="175" t="s">
        <v>320</v>
      </c>
      <c r="BL48" s="175" t="s">
        <v>370</v>
      </c>
      <c r="BM48" s="175" t="s">
        <v>323</v>
      </c>
      <c r="BN48" s="174">
        <f>BD95</f>
        <v>502</v>
      </c>
      <c r="BO48" s="175" t="s">
        <v>322</v>
      </c>
      <c r="BQ48" s="81" t="s">
        <v>381</v>
      </c>
      <c r="BR48" s="81" t="s">
        <v>382</v>
      </c>
      <c r="BS48" s="81" t="s">
        <v>383</v>
      </c>
      <c r="BT48" s="81" t="s">
        <v>384</v>
      </c>
      <c r="BU48" s="81" t="s">
        <v>385</v>
      </c>
      <c r="BV48" s="81" t="s">
        <v>386</v>
      </c>
      <c r="BY48" s="178" t="s">
        <v>319</v>
      </c>
      <c r="BZ48" s="178" t="s">
        <v>320</v>
      </c>
      <c r="CA48" s="178" t="s">
        <v>366</v>
      </c>
      <c r="CB48" s="178" t="s">
        <v>323</v>
      </c>
      <c r="CC48" s="177">
        <f>BR31</f>
        <v>4.4299999999999999E-2</v>
      </c>
      <c r="CD48" s="178" t="s">
        <v>322</v>
      </c>
      <c r="CJ48" s="81" t="s">
        <v>372</v>
      </c>
      <c r="CK48" s="257">
        <f t="shared" si="46"/>
        <v>184.89940828402365</v>
      </c>
      <c r="CL48" s="257">
        <f t="shared" si="47"/>
        <v>393</v>
      </c>
      <c r="CM48" s="257">
        <f t="shared" si="48"/>
        <v>3.48E-4</v>
      </c>
      <c r="CP48" s="258" t="s">
        <v>442</v>
      </c>
      <c r="CQ48" s="258" t="s">
        <v>411</v>
      </c>
      <c r="CR48" s="259">
        <v>91.4</v>
      </c>
      <c r="CS48" s="259">
        <v>0.34799999999999998</v>
      </c>
      <c r="CT48" s="258">
        <v>262.89999999999998</v>
      </c>
      <c r="CU48" s="258" t="s">
        <v>422</v>
      </c>
      <c r="CV48" s="167">
        <v>2E-16</v>
      </c>
      <c r="CW48" s="81" t="s">
        <v>389</v>
      </c>
      <c r="CX48" s="260" t="s">
        <v>467</v>
      </c>
      <c r="CY48" s="266" t="s">
        <v>493</v>
      </c>
      <c r="CZ48" s="261" t="s">
        <v>323</v>
      </c>
      <c r="DA48" s="262">
        <f t="shared" si="50"/>
        <v>0.754</v>
      </c>
      <c r="DB48" s="260" t="s">
        <v>322</v>
      </c>
      <c r="DD48" s="170" t="s">
        <v>467</v>
      </c>
      <c r="DE48" s="296" t="s">
        <v>493</v>
      </c>
      <c r="DF48" s="291" t="s">
        <v>323</v>
      </c>
      <c r="DG48" s="170">
        <f>O11*Z37*AP27</f>
        <v>1.0179283186817203</v>
      </c>
      <c r="DH48" s="170" t="s">
        <v>322</v>
      </c>
      <c r="DJ48" s="308" t="s">
        <v>442</v>
      </c>
      <c r="DK48" s="308" t="s">
        <v>411</v>
      </c>
      <c r="DL48" s="312">
        <v>83.4</v>
      </c>
      <c r="DM48" s="312">
        <v>0.59699999999999998</v>
      </c>
      <c r="DN48" s="308">
        <v>139.76</v>
      </c>
      <c r="DO48" s="308" t="s">
        <v>422</v>
      </c>
      <c r="DP48" s="312">
        <v>2E-16</v>
      </c>
      <c r="DQ48" s="308" t="s">
        <v>389</v>
      </c>
      <c r="DR48" s="309" t="s">
        <v>467</v>
      </c>
      <c r="DS48" s="316" t="s">
        <v>493</v>
      </c>
      <c r="DT48" s="310" t="s">
        <v>323</v>
      </c>
      <c r="DU48" s="311">
        <f t="shared" si="51"/>
        <v>0.755</v>
      </c>
      <c r="DV48" s="309" t="s">
        <v>322</v>
      </c>
      <c r="DX48" s="167">
        <f t="shared" si="9"/>
        <v>1.0013262599469497</v>
      </c>
      <c r="EH48" s="167">
        <f t="shared" si="10"/>
        <v>0.74170252083935673</v>
      </c>
    </row>
    <row r="49" spans="2:138" ht="15" customHeight="1" thickTop="1" thickBot="1" x14ac:dyDescent="0.3">
      <c r="B49" s="153"/>
      <c r="L49" s="81"/>
      <c r="M49" s="81"/>
      <c r="N49" s="81"/>
      <c r="Q49" s="81"/>
      <c r="R49" s="81"/>
      <c r="X49" s="246" t="s">
        <v>68</v>
      </c>
      <c r="Y49" s="247"/>
      <c r="Z49" s="248" t="s">
        <v>21</v>
      </c>
      <c r="AA49" s="249">
        <v>4</v>
      </c>
      <c r="AB49" s="247" t="s">
        <v>5</v>
      </c>
      <c r="AC49" s="247"/>
      <c r="AD49" s="247" t="s">
        <v>22</v>
      </c>
      <c r="AE49" s="250">
        <f>0.04*550*1660</f>
        <v>36520</v>
      </c>
      <c r="AF49" s="14" t="s">
        <v>23</v>
      </c>
      <c r="AG49" s="14">
        <f>SUM(AE51:AE52)</f>
        <v>0</v>
      </c>
      <c r="AH49" s="14"/>
      <c r="AM49" s="159" t="s">
        <v>319</v>
      </c>
      <c r="AN49" s="81" t="s">
        <v>320</v>
      </c>
      <c r="AO49" s="81" t="s">
        <v>372</v>
      </c>
      <c r="AP49" s="81">
        <f>AP50/2</f>
        <v>184.89940828402365</v>
      </c>
      <c r="AQ49" s="81" t="s">
        <v>322</v>
      </c>
      <c r="AR49" s="81" t="s">
        <v>373</v>
      </c>
      <c r="AV49" s="168" t="s">
        <v>319</v>
      </c>
      <c r="AW49" s="168" t="s">
        <v>320</v>
      </c>
      <c r="AX49" s="168" t="s">
        <v>372</v>
      </c>
      <c r="AY49" s="169" t="s">
        <v>323</v>
      </c>
      <c r="AZ49" s="162">
        <f t="shared" si="49"/>
        <v>184.89940828402365</v>
      </c>
      <c r="BA49" s="168" t="s">
        <v>322</v>
      </c>
      <c r="BC49" s="81" t="s">
        <v>381</v>
      </c>
      <c r="BD49" s="81" t="s">
        <v>382</v>
      </c>
      <c r="BE49" s="81" t="s">
        <v>383</v>
      </c>
      <c r="BF49" s="81" t="s">
        <v>384</v>
      </c>
      <c r="BG49" s="81" t="s">
        <v>385</v>
      </c>
      <c r="BH49" s="81" t="s">
        <v>386</v>
      </c>
      <c r="BJ49" s="175" t="s">
        <v>319</v>
      </c>
      <c r="BK49" s="175" t="s">
        <v>320</v>
      </c>
      <c r="BL49" s="175" t="s">
        <v>372</v>
      </c>
      <c r="BM49" s="175" t="s">
        <v>323</v>
      </c>
      <c r="BN49" s="174">
        <f>BD96</f>
        <v>393</v>
      </c>
      <c r="BO49" s="175" t="s">
        <v>322</v>
      </c>
      <c r="BQ49" s="81" t="s">
        <v>387</v>
      </c>
      <c r="BR49" s="167">
        <v>289</v>
      </c>
      <c r="BS49" s="167">
        <v>0.27</v>
      </c>
      <c r="BT49" s="81">
        <v>1069.93</v>
      </c>
      <c r="BU49" s="81" t="s">
        <v>422</v>
      </c>
      <c r="BV49" s="167">
        <v>2E-16</v>
      </c>
      <c r="BW49" s="81" t="s">
        <v>389</v>
      </c>
      <c r="BY49" s="178" t="s">
        <v>319</v>
      </c>
      <c r="BZ49" s="178" t="s">
        <v>320</v>
      </c>
      <c r="CA49" s="178" t="s">
        <v>368</v>
      </c>
      <c r="CB49" s="178" t="s">
        <v>323</v>
      </c>
      <c r="CC49" s="177">
        <f>BR68</f>
        <v>7.3200000000000001E-2</v>
      </c>
      <c r="CD49" s="178" t="s">
        <v>322</v>
      </c>
      <c r="CJ49" s="81" t="s">
        <v>374</v>
      </c>
      <c r="CK49" s="257">
        <f t="shared" si="46"/>
        <v>369.7988165680473</v>
      </c>
      <c r="CL49" s="257">
        <f t="shared" si="47"/>
        <v>506</v>
      </c>
      <c r="CM49" s="257">
        <f t="shared" si="48"/>
        <v>221</v>
      </c>
      <c r="CP49" s="258" t="s">
        <v>442</v>
      </c>
      <c r="CQ49" s="258" t="s">
        <v>295</v>
      </c>
      <c r="CR49" s="259">
        <v>307</v>
      </c>
      <c r="CS49" s="259">
        <v>1.23</v>
      </c>
      <c r="CT49" s="258">
        <v>249.67</v>
      </c>
      <c r="CU49" s="258" t="s">
        <v>422</v>
      </c>
      <c r="CV49" s="167">
        <v>2E-16</v>
      </c>
      <c r="CW49" s="81" t="s">
        <v>389</v>
      </c>
      <c r="CX49" s="260" t="s">
        <v>467</v>
      </c>
      <c r="CY49" s="266" t="s">
        <v>494</v>
      </c>
      <c r="CZ49" s="261" t="s">
        <v>323</v>
      </c>
      <c r="DA49" s="262">
        <f t="shared" si="50"/>
        <v>0.33700000000000002</v>
      </c>
      <c r="DB49" s="260" t="s">
        <v>322</v>
      </c>
      <c r="DD49" s="170" t="s">
        <v>467</v>
      </c>
      <c r="DE49" s="296" t="s">
        <v>494</v>
      </c>
      <c r="DF49" s="291" t="s">
        <v>323</v>
      </c>
      <c r="DG49" s="170">
        <f>O10*Z37*AP27</f>
        <v>0.92098276452155636</v>
      </c>
      <c r="DH49" s="170" t="s">
        <v>322</v>
      </c>
      <c r="DJ49" s="308" t="s">
        <v>442</v>
      </c>
      <c r="DK49" s="308" t="s">
        <v>295</v>
      </c>
      <c r="DL49" s="312">
        <v>265</v>
      </c>
      <c r="DM49" s="312">
        <v>1.56</v>
      </c>
      <c r="DN49" s="308">
        <v>169.64</v>
      </c>
      <c r="DO49" s="308" t="s">
        <v>422</v>
      </c>
      <c r="DP49" s="312">
        <v>2E-16</v>
      </c>
      <c r="DQ49" s="308" t="s">
        <v>389</v>
      </c>
      <c r="DR49" s="309" t="s">
        <v>467</v>
      </c>
      <c r="DS49" s="316" t="s">
        <v>494</v>
      </c>
      <c r="DT49" s="310" t="s">
        <v>323</v>
      </c>
      <c r="DU49" s="311">
        <f t="shared" si="51"/>
        <v>0.31</v>
      </c>
      <c r="DV49" s="309" t="s">
        <v>322</v>
      </c>
      <c r="DX49" s="167">
        <f t="shared" si="9"/>
        <v>0.91988130563798209</v>
      </c>
      <c r="EH49" s="167">
        <f t="shared" si="10"/>
        <v>0.3365969613568639</v>
      </c>
    </row>
    <row r="50" spans="2:138" ht="15" customHeight="1" thickTop="1" thickBot="1" x14ac:dyDescent="0.3">
      <c r="L50" s="81"/>
      <c r="M50" s="81"/>
      <c r="N50" s="81"/>
      <c r="Q50" s="81"/>
      <c r="R50" s="81"/>
      <c r="X50" s="251"/>
      <c r="Y50" s="252" t="s">
        <v>16</v>
      </c>
      <c r="Z50" s="252">
        <v>4</v>
      </c>
      <c r="AA50" s="252" t="s">
        <v>5</v>
      </c>
      <c r="AB50" s="252"/>
      <c r="AC50" s="252" t="s">
        <v>313</v>
      </c>
      <c r="AD50" s="252">
        <f>0.11*(1/AA49-1/23-1/8)</f>
        <v>8.9673913043478264E-3</v>
      </c>
      <c r="AE50" s="253"/>
      <c r="AF50" s="14"/>
      <c r="AG50" s="14"/>
      <c r="AH50" s="14"/>
      <c r="AM50" s="159" t="s">
        <v>319</v>
      </c>
      <c r="AN50" s="81" t="s">
        <v>320</v>
      </c>
      <c r="AO50" s="81" t="s">
        <v>374</v>
      </c>
      <c r="AP50" s="81">
        <f>AP48</f>
        <v>369.7988165680473</v>
      </c>
      <c r="AQ50" s="81" t="s">
        <v>322</v>
      </c>
      <c r="AR50" s="81" t="s">
        <v>375</v>
      </c>
      <c r="AV50" s="168" t="s">
        <v>319</v>
      </c>
      <c r="AW50" s="168" t="s">
        <v>320</v>
      </c>
      <c r="AX50" s="168" t="s">
        <v>374</v>
      </c>
      <c r="AY50" s="169" t="s">
        <v>323</v>
      </c>
      <c r="AZ50" s="162">
        <f t="shared" si="49"/>
        <v>369.7988165680473</v>
      </c>
      <c r="BA50" s="168" t="s">
        <v>322</v>
      </c>
      <c r="BC50" s="81" t="s">
        <v>387</v>
      </c>
      <c r="BD50" s="167">
        <v>291</v>
      </c>
      <c r="BE50" s="167">
        <v>5.11E-2</v>
      </c>
      <c r="BF50" s="81">
        <v>5694.69</v>
      </c>
      <c r="BG50" s="81" t="s">
        <v>422</v>
      </c>
      <c r="BH50" s="167">
        <v>2E-16</v>
      </c>
      <c r="BI50" s="81" t="s">
        <v>389</v>
      </c>
      <c r="BJ50" s="175" t="s">
        <v>319</v>
      </c>
      <c r="BK50" s="175" t="s">
        <v>320</v>
      </c>
      <c r="BL50" s="175" t="s">
        <v>374</v>
      </c>
      <c r="BM50" s="175" t="s">
        <v>323</v>
      </c>
      <c r="BN50" s="174">
        <f>BD97</f>
        <v>506</v>
      </c>
      <c r="BO50" s="175" t="s">
        <v>322</v>
      </c>
      <c r="BQ50" s="81" t="s">
        <v>390</v>
      </c>
      <c r="BR50" s="167">
        <v>285</v>
      </c>
      <c r="BS50" s="167">
        <v>0.32700000000000001</v>
      </c>
      <c r="BT50" s="81">
        <v>872.45</v>
      </c>
      <c r="BU50" s="81" t="s">
        <v>422</v>
      </c>
      <c r="BV50" s="167">
        <v>2E-16</v>
      </c>
      <c r="BW50" s="81" t="s">
        <v>389</v>
      </c>
      <c r="BY50" s="178" t="s">
        <v>319</v>
      </c>
      <c r="BZ50" s="178" t="s">
        <v>320</v>
      </c>
      <c r="CA50" s="178" t="s">
        <v>370</v>
      </c>
      <c r="CB50" s="178" t="s">
        <v>323</v>
      </c>
      <c r="CC50" s="177">
        <f>BR94</f>
        <v>198</v>
      </c>
      <c r="CD50" s="178" t="s">
        <v>322</v>
      </c>
      <c r="CP50" s="258" t="s">
        <v>442</v>
      </c>
      <c r="CQ50" s="258" t="s">
        <v>120</v>
      </c>
      <c r="CR50" s="259">
        <v>66.8</v>
      </c>
      <c r="CS50" s="259">
        <v>0.14499999999999999</v>
      </c>
      <c r="CT50" s="258">
        <v>459.08</v>
      </c>
      <c r="CU50" s="258" t="s">
        <v>422</v>
      </c>
      <c r="CV50" s="167">
        <v>2E-16</v>
      </c>
      <c r="CW50" s="81" t="s">
        <v>389</v>
      </c>
      <c r="CX50" s="260" t="s">
        <v>467</v>
      </c>
      <c r="CY50" s="266" t="s">
        <v>495</v>
      </c>
      <c r="CZ50" s="261" t="s">
        <v>323</v>
      </c>
      <c r="DA50" s="262">
        <f t="shared" si="50"/>
        <v>0.621</v>
      </c>
      <c r="DB50" s="260" t="s">
        <v>322</v>
      </c>
      <c r="DD50" s="170" t="s">
        <v>467</v>
      </c>
      <c r="DE50" s="296" t="s">
        <v>495</v>
      </c>
      <c r="DF50" s="291" t="s">
        <v>323</v>
      </c>
      <c r="DG50" s="170">
        <f>O12*Z37*AP27</f>
        <v>0.95329794924161115</v>
      </c>
      <c r="DH50" s="170" t="s">
        <v>322</v>
      </c>
      <c r="DJ50" s="308" t="s">
        <v>442</v>
      </c>
      <c r="DK50" s="308" t="s">
        <v>120</v>
      </c>
      <c r="DL50" s="312">
        <v>64.5</v>
      </c>
      <c r="DM50" s="312">
        <v>0.32300000000000001</v>
      </c>
      <c r="DN50" s="308">
        <v>199.5</v>
      </c>
      <c r="DO50" s="308" t="s">
        <v>422</v>
      </c>
      <c r="DP50" s="312">
        <v>2E-16</v>
      </c>
      <c r="DQ50" s="308" t="s">
        <v>389</v>
      </c>
      <c r="DR50" s="309" t="s">
        <v>467</v>
      </c>
      <c r="DS50" s="316" t="s">
        <v>495</v>
      </c>
      <c r="DT50" s="310" t="s">
        <v>323</v>
      </c>
      <c r="DU50" s="311">
        <f t="shared" si="51"/>
        <v>0.63400000000000001</v>
      </c>
      <c r="DV50" s="309" t="s">
        <v>322</v>
      </c>
      <c r="DX50" s="167">
        <f t="shared" si="9"/>
        <v>1.0209339774557167</v>
      </c>
      <c r="EH50" s="167">
        <f t="shared" si="10"/>
        <v>0.66505964950871221</v>
      </c>
    </row>
    <row r="51" spans="2:138" ht="15" customHeight="1" thickTop="1" thickBot="1" x14ac:dyDescent="0.3">
      <c r="L51" s="81"/>
      <c r="M51" s="81"/>
      <c r="N51" s="81"/>
      <c r="Q51" s="81"/>
      <c r="R51" s="81"/>
      <c r="X51" s="226"/>
      <c r="Y51" s="226"/>
      <c r="Z51" s="227"/>
      <c r="AA51" s="227"/>
      <c r="AB51" s="227"/>
      <c r="AC51" s="226"/>
      <c r="AD51" s="226"/>
      <c r="AE51" s="226"/>
      <c r="AF51" s="14"/>
      <c r="AG51" s="14"/>
      <c r="AH51" s="14"/>
      <c r="BC51" s="81" t="s">
        <v>390</v>
      </c>
      <c r="BD51" s="167">
        <v>289</v>
      </c>
      <c r="BE51" s="167">
        <v>0.17199999999999999</v>
      </c>
      <c r="BF51" s="81">
        <v>1674.64</v>
      </c>
      <c r="BG51" s="81" t="s">
        <v>422</v>
      </c>
      <c r="BH51" s="167">
        <v>2E-16</v>
      </c>
      <c r="BI51" s="81" t="s">
        <v>389</v>
      </c>
      <c r="BQ51" s="81" t="s">
        <v>391</v>
      </c>
      <c r="BR51" s="167">
        <v>291</v>
      </c>
      <c r="BS51" s="167">
        <v>0.14000000000000001</v>
      </c>
      <c r="BT51" s="81">
        <v>2086.0700000000002</v>
      </c>
      <c r="BU51" s="81" t="s">
        <v>422</v>
      </c>
      <c r="BV51" s="167">
        <v>2E-16</v>
      </c>
      <c r="BW51" s="81" t="s">
        <v>389</v>
      </c>
      <c r="BY51" s="178" t="s">
        <v>319</v>
      </c>
      <c r="BZ51" s="178" t="s">
        <v>320</v>
      </c>
      <c r="CA51" s="178" t="s">
        <v>372</v>
      </c>
      <c r="CB51" s="178" t="s">
        <v>323</v>
      </c>
      <c r="CC51" s="177">
        <f>BR95</f>
        <v>3.48E-4</v>
      </c>
      <c r="CD51" s="178" t="s">
        <v>322</v>
      </c>
      <c r="CP51" s="258" t="s">
        <v>442</v>
      </c>
      <c r="CQ51" s="258" t="s">
        <v>412</v>
      </c>
      <c r="CR51" s="259">
        <v>-6.36</v>
      </c>
      <c r="CS51" s="259">
        <v>1.6799999999999999E-2</v>
      </c>
      <c r="CT51" s="258">
        <v>-379.17</v>
      </c>
      <c r="CU51" s="258" t="s">
        <v>422</v>
      </c>
      <c r="CV51" s="167">
        <v>2E-16</v>
      </c>
      <c r="CW51" s="81" t="s">
        <v>389</v>
      </c>
      <c r="CX51" s="260" t="s">
        <v>467</v>
      </c>
      <c r="CY51" s="266" t="s">
        <v>496</v>
      </c>
      <c r="CZ51" s="261" t="s">
        <v>323</v>
      </c>
      <c r="DA51" s="262">
        <f t="shared" si="50"/>
        <v>0.53100000000000003</v>
      </c>
      <c r="DB51" s="260" t="s">
        <v>322</v>
      </c>
      <c r="DD51" s="170" t="s">
        <v>467</v>
      </c>
      <c r="DE51" s="296" t="s">
        <v>496</v>
      </c>
      <c r="DF51" s="291" t="s">
        <v>323</v>
      </c>
      <c r="DG51" s="170">
        <f>O13*Z37*AP27</f>
        <v>1.0502435034017747</v>
      </c>
      <c r="DH51" s="170" t="s">
        <v>322</v>
      </c>
      <c r="DJ51" s="308" t="s">
        <v>442</v>
      </c>
      <c r="DK51" s="308" t="s">
        <v>412</v>
      </c>
      <c r="DL51" s="312">
        <v>-5.29</v>
      </c>
      <c r="DM51" s="312">
        <v>2.8199999999999999E-2</v>
      </c>
      <c r="DN51" s="308">
        <v>-187.54</v>
      </c>
      <c r="DO51" s="308" t="s">
        <v>422</v>
      </c>
      <c r="DP51" s="312">
        <v>2E-16</v>
      </c>
      <c r="DQ51" s="308" t="s">
        <v>389</v>
      </c>
      <c r="DR51" s="309" t="s">
        <v>467</v>
      </c>
      <c r="DS51" s="316" t="s">
        <v>496</v>
      </c>
      <c r="DT51" s="310" t="s">
        <v>323</v>
      </c>
      <c r="DU51" s="311">
        <f t="shared" si="51"/>
        <v>0.52400000000000002</v>
      </c>
      <c r="DV51" s="309" t="s">
        <v>322</v>
      </c>
      <c r="DX51" s="167">
        <f t="shared" si="9"/>
        <v>0.98681732580037662</v>
      </c>
      <c r="EH51" s="167">
        <f t="shared" si="10"/>
        <v>0.49893191274475496</v>
      </c>
    </row>
    <row r="52" spans="2:138" thickTop="1" thickBot="1" x14ac:dyDescent="0.3">
      <c r="L52" s="81"/>
      <c r="M52" s="81"/>
      <c r="N52" s="81"/>
      <c r="BC52" s="81" t="s">
        <v>391</v>
      </c>
      <c r="BD52" s="167">
        <v>293</v>
      </c>
      <c r="BE52" s="167">
        <v>2.9399999999999999E-2</v>
      </c>
      <c r="BF52" s="81">
        <v>9948.2000000000007</v>
      </c>
      <c r="BG52" s="81" t="s">
        <v>422</v>
      </c>
      <c r="BH52" s="167">
        <v>2E-16</v>
      </c>
      <c r="BI52" s="81" t="s">
        <v>389</v>
      </c>
      <c r="BQ52" s="81" t="s">
        <v>392</v>
      </c>
      <c r="BR52" s="167">
        <v>293</v>
      </c>
      <c r="BS52" s="167">
        <v>0.214</v>
      </c>
      <c r="BT52" s="81">
        <v>1373.31</v>
      </c>
      <c r="BU52" s="81" t="s">
        <v>422</v>
      </c>
      <c r="BV52" s="167">
        <v>2E-16</v>
      </c>
      <c r="BW52" s="81" t="s">
        <v>389</v>
      </c>
      <c r="BY52" s="178" t="s">
        <v>319</v>
      </c>
      <c r="BZ52" s="178" t="s">
        <v>320</v>
      </c>
      <c r="CA52" s="178" t="s">
        <v>374</v>
      </c>
      <c r="CB52" s="178" t="s">
        <v>323</v>
      </c>
      <c r="CC52" s="177">
        <f>BR96</f>
        <v>221</v>
      </c>
      <c r="CD52" s="178" t="s">
        <v>322</v>
      </c>
      <c r="CP52" s="258" t="s">
        <v>442</v>
      </c>
      <c r="CQ52" s="258" t="s">
        <v>413</v>
      </c>
      <c r="CR52" s="259">
        <v>-6.77</v>
      </c>
      <c r="CS52" s="259">
        <v>1.5900000000000001E-2</v>
      </c>
      <c r="CT52" s="258">
        <v>-425.62</v>
      </c>
      <c r="CU52" s="258" t="s">
        <v>422</v>
      </c>
      <c r="CV52" s="167">
        <v>2E-16</v>
      </c>
      <c r="CW52" s="81" t="s">
        <v>389</v>
      </c>
      <c r="CX52" s="260" t="s">
        <v>467</v>
      </c>
      <c r="CY52" s="266" t="s">
        <v>497</v>
      </c>
      <c r="CZ52" s="261" t="s">
        <v>323</v>
      </c>
      <c r="DA52" s="262">
        <f t="shared" si="50"/>
        <v>9.7100000000000006E-2</v>
      </c>
      <c r="DB52" s="260" t="s">
        <v>322</v>
      </c>
      <c r="DD52" s="170" t="s">
        <v>467</v>
      </c>
      <c r="DE52" s="296" t="s">
        <v>497</v>
      </c>
      <c r="DF52" s="291" t="s">
        <v>323</v>
      </c>
      <c r="DG52" s="170">
        <f>O11*Z37*AP28</f>
        <v>2.7532550446495073E-2</v>
      </c>
      <c r="DH52" s="170" t="s">
        <v>322</v>
      </c>
      <c r="DJ52" s="308" t="s">
        <v>442</v>
      </c>
      <c r="DK52" s="308" t="s">
        <v>413</v>
      </c>
      <c r="DL52" s="312">
        <v>-6.49</v>
      </c>
      <c r="DM52" s="312">
        <v>2.3800000000000002E-2</v>
      </c>
      <c r="DN52" s="308">
        <v>-272.08</v>
      </c>
      <c r="DO52" s="308" t="s">
        <v>422</v>
      </c>
      <c r="DP52" s="312">
        <v>2E-16</v>
      </c>
      <c r="DQ52" s="308" t="s">
        <v>389</v>
      </c>
      <c r="DR52" s="309" t="s">
        <v>467</v>
      </c>
      <c r="DS52" s="316" t="s">
        <v>497</v>
      </c>
      <c r="DT52" s="310" t="s">
        <v>323</v>
      </c>
      <c r="DU52" s="311">
        <f t="shared" si="51"/>
        <v>4.0599999999999999E-10</v>
      </c>
      <c r="DV52" s="309" t="s">
        <v>322</v>
      </c>
      <c r="DX52" s="167">
        <f t="shared" si="9"/>
        <v>4.1812564366632332E-9</v>
      </c>
      <c r="EH52" s="167">
        <f t="shared" si="10"/>
        <v>1.4746182006966386E-8</v>
      </c>
    </row>
    <row r="53" spans="2:138" thickTop="1" thickBot="1" x14ac:dyDescent="0.3">
      <c r="L53" s="81"/>
      <c r="M53" s="81"/>
      <c r="N53" s="81"/>
      <c r="X53" s="269" t="s">
        <v>512</v>
      </c>
      <c r="Y53" s="270"/>
      <c r="Z53" s="271" t="s">
        <v>21</v>
      </c>
      <c r="AA53" s="272">
        <f>(1/(1/8+SUM(AD55:AD57)+1/8))</f>
        <v>1.8430034129692836</v>
      </c>
      <c r="AB53" s="270" t="s">
        <v>5</v>
      </c>
      <c r="AC53" s="270"/>
      <c r="AD53" s="270" t="s">
        <v>22</v>
      </c>
      <c r="AE53" s="273">
        <f>SUM(AE55:AE59)</f>
        <v>181020.00000000003</v>
      </c>
      <c r="AF53" s="274" t="s">
        <v>23</v>
      </c>
      <c r="AG53" s="274">
        <f>SUM(AE55:AE57)</f>
        <v>181020.00000000003</v>
      </c>
      <c r="BC53" s="81" t="s">
        <v>392</v>
      </c>
      <c r="BD53" s="167">
        <v>294</v>
      </c>
      <c r="BE53" s="167">
        <v>4.8099999999999997E-2</v>
      </c>
      <c r="BF53" s="81">
        <v>6117.24</v>
      </c>
      <c r="BG53" s="81" t="s">
        <v>422</v>
      </c>
      <c r="BH53" s="167">
        <v>2E-16</v>
      </c>
      <c r="BI53" s="81" t="s">
        <v>389</v>
      </c>
      <c r="BQ53" s="81" t="s">
        <v>394</v>
      </c>
      <c r="BR53" s="167">
        <v>0.46800000000000003</v>
      </c>
      <c r="BS53" s="167">
        <v>1.24E-2</v>
      </c>
      <c r="BT53" s="81">
        <v>37.76</v>
      </c>
      <c r="BU53" s="81" t="s">
        <v>422</v>
      </c>
      <c r="BV53" s="167">
        <v>2E-16</v>
      </c>
      <c r="BW53" s="81" t="s">
        <v>389</v>
      </c>
      <c r="CP53" s="258" t="s">
        <v>442</v>
      </c>
      <c r="CQ53" s="258" t="s">
        <v>414</v>
      </c>
      <c r="CR53" s="259">
        <v>-7.15</v>
      </c>
      <c r="CS53" s="259">
        <v>2.4799999999999999E-2</v>
      </c>
      <c r="CT53" s="258">
        <v>-288.05</v>
      </c>
      <c r="CU53" s="258" t="s">
        <v>422</v>
      </c>
      <c r="CV53" s="167">
        <v>2E-16</v>
      </c>
      <c r="CW53" s="81" t="s">
        <v>389</v>
      </c>
      <c r="CX53" s="260" t="s">
        <v>467</v>
      </c>
      <c r="CY53" s="266" t="s">
        <v>498</v>
      </c>
      <c r="CZ53" s="261" t="s">
        <v>323</v>
      </c>
      <c r="DA53" s="262">
        <f t="shared" si="50"/>
        <v>3.2799999999999999E-11</v>
      </c>
      <c r="DB53" s="260" t="s">
        <v>322</v>
      </c>
      <c r="DD53" s="170" t="s">
        <v>467</v>
      </c>
      <c r="DE53" s="296" t="s">
        <v>498</v>
      </c>
      <c r="DF53" s="291" t="s">
        <v>323</v>
      </c>
      <c r="DG53" s="170">
        <f>O10*Z37*AP28</f>
        <v>2.4910402784924113E-2</v>
      </c>
      <c r="DH53" s="170" t="s">
        <v>322</v>
      </c>
      <c r="DJ53" s="308" t="s">
        <v>442</v>
      </c>
      <c r="DK53" s="308" t="s">
        <v>414</v>
      </c>
      <c r="DL53" s="312">
        <v>-7.34</v>
      </c>
      <c r="DM53" s="312">
        <v>3.3399999999999999E-2</v>
      </c>
      <c r="DN53" s="308">
        <v>-219.68</v>
      </c>
      <c r="DO53" s="308" t="s">
        <v>422</v>
      </c>
      <c r="DP53" s="312">
        <v>2E-16</v>
      </c>
      <c r="DQ53" s="308" t="s">
        <v>389</v>
      </c>
      <c r="DR53" s="309" t="s">
        <v>467</v>
      </c>
      <c r="DS53" s="316" t="s">
        <v>498</v>
      </c>
      <c r="DT53" s="310" t="s">
        <v>323</v>
      </c>
      <c r="DU53" s="311">
        <f t="shared" si="51"/>
        <v>1.23E-7</v>
      </c>
      <c r="DV53" s="309" t="s">
        <v>322</v>
      </c>
      <c r="DX53" s="167">
        <f t="shared" si="9"/>
        <v>3750</v>
      </c>
      <c r="EH53" s="167">
        <f t="shared" si="10"/>
        <v>4.9376961529678738E-6</v>
      </c>
    </row>
    <row r="54" spans="2:138" thickTop="1" thickBot="1" x14ac:dyDescent="0.3">
      <c r="L54" s="81"/>
      <c r="M54" s="81"/>
      <c r="N54" s="81"/>
      <c r="X54" s="275"/>
      <c r="Y54" s="234" t="s">
        <v>27</v>
      </c>
      <c r="Z54" s="234" t="s">
        <v>28</v>
      </c>
      <c r="AA54" s="234" t="s">
        <v>29</v>
      </c>
      <c r="AB54" s="234" t="s">
        <v>30</v>
      </c>
      <c r="AC54" s="234" t="s">
        <v>31</v>
      </c>
      <c r="AD54" s="234" t="s">
        <v>32</v>
      </c>
      <c r="AE54" s="276" t="s">
        <v>33</v>
      </c>
      <c r="AF54" s="274"/>
      <c r="AG54" s="274"/>
      <c r="AO54" s="170" t="s">
        <v>376</v>
      </c>
      <c r="AP54" s="170">
        <f>SUM(AP42,AP4:AP7)</f>
        <v>1</v>
      </c>
      <c r="AQ54" s="170"/>
      <c r="BC54" s="81" t="s">
        <v>394</v>
      </c>
      <c r="BD54" s="167">
        <v>0.44900000000000001</v>
      </c>
      <c r="BE54" s="167">
        <v>1.77E-2</v>
      </c>
      <c r="BF54" s="81">
        <v>25.4</v>
      </c>
      <c r="BG54" s="81" t="s">
        <v>422</v>
      </c>
      <c r="BH54" s="167">
        <v>2E-16</v>
      </c>
      <c r="BI54" s="81" t="s">
        <v>389</v>
      </c>
      <c r="BQ54" s="81" t="s">
        <v>395</v>
      </c>
      <c r="BR54" s="167">
        <v>0.14099999999999999</v>
      </c>
      <c r="BS54" s="167">
        <v>2.1800000000000001E-3</v>
      </c>
      <c r="BT54" s="81">
        <v>64.91</v>
      </c>
      <c r="BU54" s="81" t="s">
        <v>422</v>
      </c>
      <c r="BV54" s="167">
        <v>2E-16</v>
      </c>
      <c r="BW54" s="81" t="s">
        <v>389</v>
      </c>
      <c r="CP54" s="258" t="s">
        <v>442</v>
      </c>
      <c r="CQ54" s="258" t="s">
        <v>415</v>
      </c>
      <c r="CR54" s="259">
        <v>-6.59</v>
      </c>
      <c r="CS54" s="259">
        <v>1.5299999999999999E-2</v>
      </c>
      <c r="CT54" s="258">
        <v>-431.8</v>
      </c>
      <c r="CU54" s="258" t="s">
        <v>422</v>
      </c>
      <c r="CV54" s="167">
        <v>2E-16</v>
      </c>
      <c r="CW54" s="81" t="s">
        <v>389</v>
      </c>
      <c r="CX54" s="260" t="s">
        <v>467</v>
      </c>
      <c r="CY54" s="266" t="s">
        <v>499</v>
      </c>
      <c r="CZ54" s="261" t="s">
        <v>323</v>
      </c>
      <c r="DA54" s="262">
        <f t="shared" si="50"/>
        <v>5.5E-2</v>
      </c>
      <c r="DB54" s="260" t="s">
        <v>322</v>
      </c>
      <c r="DD54" s="170" t="s">
        <v>467</v>
      </c>
      <c r="DE54" s="296" t="s">
        <v>499</v>
      </c>
      <c r="DF54" s="291" t="s">
        <v>323</v>
      </c>
      <c r="DG54" s="170">
        <f>O12*Z37*AP28</f>
        <v>2.578445200544777E-2</v>
      </c>
      <c r="DH54" s="170" t="s">
        <v>322</v>
      </c>
      <c r="DJ54" s="308" t="s">
        <v>442</v>
      </c>
      <c r="DK54" s="308" t="s">
        <v>415</v>
      </c>
      <c r="DL54" s="312">
        <v>-6.46</v>
      </c>
      <c r="DM54" s="312">
        <v>2.4299999999999999E-2</v>
      </c>
      <c r="DN54" s="308">
        <v>-266.02999999999997</v>
      </c>
      <c r="DO54" s="308" t="s">
        <v>422</v>
      </c>
      <c r="DP54" s="312">
        <v>2E-16</v>
      </c>
      <c r="DQ54" s="308" t="s">
        <v>389</v>
      </c>
      <c r="DR54" s="309" t="s">
        <v>467</v>
      </c>
      <c r="DS54" s="316" t="s">
        <v>499</v>
      </c>
      <c r="DT54" s="310" t="s">
        <v>323</v>
      </c>
      <c r="DU54" s="311">
        <f t="shared" si="51"/>
        <v>6.4899999999999999E-2</v>
      </c>
      <c r="DV54" s="309" t="s">
        <v>322</v>
      </c>
      <c r="DX54" s="167">
        <f t="shared" si="9"/>
        <v>1.18</v>
      </c>
      <c r="EH54" s="167">
        <f t="shared" si="10"/>
        <v>2.5170207218787448</v>
      </c>
    </row>
    <row r="55" spans="2:138" thickTop="1" thickBot="1" x14ac:dyDescent="0.3">
      <c r="L55" s="81"/>
      <c r="M55" s="81"/>
      <c r="N55" s="81"/>
      <c r="X55" s="277"/>
      <c r="Y55" s="189" t="s">
        <v>90</v>
      </c>
      <c r="Z55" s="189">
        <v>0.02</v>
      </c>
      <c r="AA55" s="189">
        <v>0.6</v>
      </c>
      <c r="AB55" s="189">
        <v>975</v>
      </c>
      <c r="AC55" s="189">
        <v>840</v>
      </c>
      <c r="AD55" s="236">
        <f>Z55/AA55</f>
        <v>3.3333333333333333E-2</v>
      </c>
      <c r="AE55" s="278">
        <f>Z55*AB55*AC55</f>
        <v>16380</v>
      </c>
      <c r="AF55" s="274"/>
      <c r="AG55" s="274"/>
      <c r="AO55" s="170" t="s">
        <v>376</v>
      </c>
      <c r="AP55" s="170">
        <f>SUM(AP43,AP26:AP28)</f>
        <v>1</v>
      </c>
      <c r="AQ55" s="170"/>
      <c r="BC55" s="81" t="s">
        <v>395</v>
      </c>
      <c r="BD55" s="167">
        <v>0.111</v>
      </c>
      <c r="BE55" s="167">
        <v>1.1199999999999999E-3</v>
      </c>
      <c r="BF55" s="81">
        <v>99.15</v>
      </c>
      <c r="BG55" s="81" t="s">
        <v>422</v>
      </c>
      <c r="BH55" s="167">
        <v>2E-16</v>
      </c>
      <c r="BI55" s="81" t="s">
        <v>389</v>
      </c>
      <c r="BQ55" s="81" t="s">
        <v>396</v>
      </c>
      <c r="BR55" s="167">
        <v>0.108</v>
      </c>
      <c r="BS55" s="167">
        <v>2.07E-2</v>
      </c>
      <c r="BT55" s="81">
        <v>5.23</v>
      </c>
      <c r="BU55" s="167">
        <v>1.8E-7</v>
      </c>
      <c r="BV55" s="81" t="s">
        <v>389</v>
      </c>
      <c r="CP55" s="258" t="s">
        <v>442</v>
      </c>
      <c r="CQ55" s="258" t="s">
        <v>416</v>
      </c>
      <c r="CR55" s="259">
        <v>-7.16</v>
      </c>
      <c r="CS55" s="259">
        <v>2.1299999999999999E-2</v>
      </c>
      <c r="CT55" s="258">
        <v>-336.27</v>
      </c>
      <c r="CU55" s="258" t="s">
        <v>422</v>
      </c>
      <c r="CV55" s="167">
        <v>2E-16</v>
      </c>
      <c r="CW55" s="81" t="s">
        <v>389</v>
      </c>
      <c r="CX55" s="260" t="s">
        <v>467</v>
      </c>
      <c r="CY55" s="266" t="s">
        <v>500</v>
      </c>
      <c r="CZ55" s="261" t="s">
        <v>323</v>
      </c>
      <c r="DA55" s="262">
        <f t="shared" si="50"/>
        <v>0.16200000000000001</v>
      </c>
      <c r="DB55" s="260" t="s">
        <v>322</v>
      </c>
      <c r="DD55" s="170" t="s">
        <v>467</v>
      </c>
      <c r="DE55" s="296" t="s">
        <v>500</v>
      </c>
      <c r="DF55" s="291" t="s">
        <v>323</v>
      </c>
      <c r="DG55" s="170">
        <f>O13*Z37*AP28</f>
        <v>2.8406599667018726E-2</v>
      </c>
      <c r="DH55" s="170" t="s">
        <v>322</v>
      </c>
      <c r="DJ55" s="308" t="s">
        <v>442</v>
      </c>
      <c r="DK55" s="308" t="s">
        <v>416</v>
      </c>
      <c r="DL55" s="312">
        <v>-7.04</v>
      </c>
      <c r="DM55" s="312">
        <v>2.29E-2</v>
      </c>
      <c r="DN55" s="308">
        <v>-307.33999999999997</v>
      </c>
      <c r="DO55" s="308" t="s">
        <v>422</v>
      </c>
      <c r="DP55" s="312">
        <v>2E-16</v>
      </c>
      <c r="DQ55" s="308" t="s">
        <v>389</v>
      </c>
      <c r="DR55" s="309" t="s">
        <v>467</v>
      </c>
      <c r="DS55" s="316" t="s">
        <v>500</v>
      </c>
      <c r="DT55" s="310" t="s">
        <v>323</v>
      </c>
      <c r="DU55" s="311">
        <f t="shared" si="51"/>
        <v>1.2800000000000001E-2</v>
      </c>
      <c r="DV55" s="309" t="s">
        <v>322</v>
      </c>
      <c r="DX55" s="167">
        <f t="shared" si="9"/>
        <v>7.9012345679012344E-2</v>
      </c>
      <c r="EH55" s="167">
        <f t="shared" si="10"/>
        <v>0.45059951384682434</v>
      </c>
    </row>
    <row r="56" spans="2:138" thickTop="1" thickBot="1" x14ac:dyDescent="0.3">
      <c r="X56" s="277"/>
      <c r="Y56" s="189" t="s">
        <v>93</v>
      </c>
      <c r="Z56" s="189">
        <v>0.14000000000000001</v>
      </c>
      <c r="AA56" s="189">
        <v>0.54</v>
      </c>
      <c r="AB56" s="189">
        <v>1400</v>
      </c>
      <c r="AC56" s="189">
        <v>840</v>
      </c>
      <c r="AD56" s="236">
        <f>Z56/AA56</f>
        <v>0.25925925925925924</v>
      </c>
      <c r="AE56" s="278">
        <f>Z56*AB56*AC56</f>
        <v>164640.00000000003</v>
      </c>
      <c r="AF56" s="274"/>
      <c r="AG56" s="274"/>
      <c r="AO56" s="170" t="s">
        <v>377</v>
      </c>
      <c r="AP56" s="170">
        <f>SUM(AP46,AP14:AP17)</f>
        <v>1.0164006707014608</v>
      </c>
      <c r="AQ56" s="170"/>
      <c r="BC56" s="81" t="s">
        <v>396</v>
      </c>
      <c r="BD56" s="167">
        <v>0.255</v>
      </c>
      <c r="BE56" s="167">
        <v>1.8100000000000002E-2</v>
      </c>
      <c r="BF56" s="81">
        <v>14.05</v>
      </c>
      <c r="BG56" s="81" t="s">
        <v>422</v>
      </c>
      <c r="BH56" s="167">
        <v>2E-16</v>
      </c>
      <c r="BI56" s="81" t="s">
        <v>389</v>
      </c>
      <c r="BQ56" s="81" t="s">
        <v>397</v>
      </c>
      <c r="BR56" s="167">
        <v>0.28299999999999997</v>
      </c>
      <c r="BS56" s="167">
        <v>6.1999999999999998E-3</v>
      </c>
      <c r="BT56" s="81">
        <v>45.61</v>
      </c>
      <c r="BU56" s="81" t="s">
        <v>422</v>
      </c>
      <c r="BV56" s="167">
        <v>2E-16</v>
      </c>
      <c r="BW56" s="81" t="s">
        <v>389</v>
      </c>
      <c r="CP56" s="258" t="s">
        <v>442</v>
      </c>
      <c r="CQ56" s="258" t="s">
        <v>417</v>
      </c>
      <c r="CR56" s="259">
        <v>1.8700000000000001E-2</v>
      </c>
      <c r="CS56" s="259">
        <v>1.4300000000000001E-4</v>
      </c>
      <c r="CT56" s="258">
        <v>130.72</v>
      </c>
      <c r="CU56" s="258" t="s">
        <v>422</v>
      </c>
      <c r="CV56" s="167">
        <v>2E-16</v>
      </c>
      <c r="CW56" s="81" t="s">
        <v>389</v>
      </c>
      <c r="CX56" s="260" t="s">
        <v>467</v>
      </c>
      <c r="CY56" s="266" t="s">
        <v>501</v>
      </c>
      <c r="CZ56" s="261" t="s">
        <v>323</v>
      </c>
      <c r="DA56" s="262">
        <f t="shared" si="50"/>
        <v>7.2900000000000006E-2</v>
      </c>
      <c r="DB56" s="260" t="s">
        <v>322</v>
      </c>
      <c r="DD56" s="170" t="s">
        <v>467</v>
      </c>
      <c r="DE56" s="296" t="s">
        <v>501</v>
      </c>
      <c r="DF56" s="291" t="s">
        <v>323</v>
      </c>
      <c r="DG56" s="170">
        <f>O11*Z37*AP43</f>
        <v>0.13991951866251595</v>
      </c>
      <c r="DH56" s="170" t="s">
        <v>322</v>
      </c>
      <c r="DJ56" s="308" t="s">
        <v>442</v>
      </c>
      <c r="DK56" s="308" t="s">
        <v>417</v>
      </c>
      <c r="DL56" s="312">
        <v>1.7100000000000001E-2</v>
      </c>
      <c r="DM56" s="312">
        <v>2.0100000000000001E-4</v>
      </c>
      <c r="DN56" s="308">
        <v>85.2</v>
      </c>
      <c r="DO56" s="308" t="s">
        <v>422</v>
      </c>
      <c r="DP56" s="312">
        <v>2E-16</v>
      </c>
      <c r="DQ56" s="308" t="s">
        <v>389</v>
      </c>
      <c r="DR56" s="309" t="s">
        <v>467</v>
      </c>
      <c r="DS56" s="316" t="s">
        <v>501</v>
      </c>
      <c r="DT56" s="310" t="s">
        <v>323</v>
      </c>
      <c r="DU56" s="311">
        <f t="shared" si="51"/>
        <v>7.8399999999999997E-2</v>
      </c>
      <c r="DV56" s="309" t="s">
        <v>322</v>
      </c>
      <c r="DX56" s="167">
        <f t="shared" si="9"/>
        <v>1.0754458161865568</v>
      </c>
      <c r="EH56" s="167">
        <f t="shared" si="10"/>
        <v>0.56032211052054692</v>
      </c>
    </row>
    <row r="57" spans="2:138" thickTop="1" thickBot="1" x14ac:dyDescent="0.3">
      <c r="X57" s="279"/>
      <c r="Y57" s="280" t="s">
        <v>273</v>
      </c>
      <c r="Z57" s="281">
        <v>0</v>
      </c>
      <c r="AA57" s="281">
        <v>3.5999999999999997E-2</v>
      </c>
      <c r="AB57" s="281">
        <v>26</v>
      </c>
      <c r="AC57" s="281">
        <v>1470</v>
      </c>
      <c r="AD57" s="282">
        <f>Z57/AA57</f>
        <v>0</v>
      </c>
      <c r="AE57" s="283">
        <f>Z57*AB57*AC57</f>
        <v>0</v>
      </c>
      <c r="AF57" s="274"/>
      <c r="AG57" s="274"/>
      <c r="AO57" s="170" t="s">
        <v>377</v>
      </c>
      <c r="AP57" s="170">
        <f>SUM(AP47,AP33:AP35)</f>
        <v>1</v>
      </c>
      <c r="AQ57" s="170"/>
      <c r="BC57" s="81" t="s">
        <v>397</v>
      </c>
      <c r="BD57" s="167">
        <v>0.19800000000000001</v>
      </c>
      <c r="BE57" s="167">
        <v>3.8500000000000001E-3</v>
      </c>
      <c r="BF57" s="81">
        <v>51.44</v>
      </c>
      <c r="BG57" s="81" t="s">
        <v>422</v>
      </c>
      <c r="BH57" s="167">
        <v>2E-16</v>
      </c>
      <c r="BI57" s="81" t="s">
        <v>389</v>
      </c>
      <c r="BQ57" s="81" t="s">
        <v>308</v>
      </c>
      <c r="BR57" s="167">
        <v>990000000</v>
      </c>
      <c r="BS57" s="167">
        <v>65000000</v>
      </c>
      <c r="BT57" s="81">
        <v>15.24</v>
      </c>
      <c r="BU57" s="81" t="s">
        <v>422</v>
      </c>
      <c r="BV57" s="167">
        <v>2E-16</v>
      </c>
      <c r="BW57" s="81" t="s">
        <v>389</v>
      </c>
      <c r="CP57" s="258" t="s">
        <v>442</v>
      </c>
      <c r="CQ57" s="258" t="s">
        <v>418</v>
      </c>
      <c r="CR57" s="259">
        <v>76.599999999999994</v>
      </c>
      <c r="CS57" s="259">
        <v>0.39600000000000002</v>
      </c>
      <c r="CT57" s="258">
        <v>193.41</v>
      </c>
      <c r="CU57" s="258" t="s">
        <v>422</v>
      </c>
      <c r="CV57" s="167">
        <v>2E-16</v>
      </c>
      <c r="CW57" s="81" t="s">
        <v>389</v>
      </c>
      <c r="CX57" s="260" t="s">
        <v>467</v>
      </c>
      <c r="CY57" s="266" t="s">
        <v>502</v>
      </c>
      <c r="CZ57" s="261" t="s">
        <v>323</v>
      </c>
      <c r="DA57" s="262">
        <f t="shared" si="50"/>
        <v>0.125</v>
      </c>
      <c r="DB57" s="260" t="s">
        <v>322</v>
      </c>
      <c r="DD57" s="170" t="s">
        <v>467</v>
      </c>
      <c r="DE57" s="296" t="s">
        <v>502</v>
      </c>
      <c r="DF57" s="291" t="s">
        <v>323</v>
      </c>
      <c r="DG57" s="170">
        <f>O10*Z37*AP43</f>
        <v>0.12659385021846681</v>
      </c>
      <c r="DH57" s="170" t="s">
        <v>322</v>
      </c>
      <c r="DJ57" s="308" t="s">
        <v>442</v>
      </c>
      <c r="DK57" s="308" t="s">
        <v>418</v>
      </c>
      <c r="DL57" s="312">
        <v>77.900000000000006</v>
      </c>
      <c r="DM57" s="312">
        <v>0.67800000000000005</v>
      </c>
      <c r="DN57" s="308">
        <v>114.88</v>
      </c>
      <c r="DO57" s="308" t="s">
        <v>422</v>
      </c>
      <c r="DP57" s="312">
        <v>2E-16</v>
      </c>
      <c r="DQ57" s="308" t="s">
        <v>389</v>
      </c>
      <c r="DR57" s="309" t="s">
        <v>467</v>
      </c>
      <c r="DS57" s="316" t="s">
        <v>502</v>
      </c>
      <c r="DT57" s="310" t="s">
        <v>323</v>
      </c>
      <c r="DU57" s="311">
        <f t="shared" si="51"/>
        <v>0.104</v>
      </c>
      <c r="DV57" s="309" t="s">
        <v>322</v>
      </c>
      <c r="DX57" s="167">
        <f t="shared" si="9"/>
        <v>0.83199999999999996</v>
      </c>
      <c r="EH57" s="167">
        <f t="shared" si="10"/>
        <v>0.82152489888350877</v>
      </c>
    </row>
    <row r="58" spans="2:138" thickTop="1" thickBot="1" x14ac:dyDescent="0.3">
      <c r="BC58" s="81" t="s">
        <v>308</v>
      </c>
      <c r="BD58" s="167">
        <v>29000000</v>
      </c>
      <c r="BE58" s="167">
        <v>522000</v>
      </c>
      <c r="BF58" s="81">
        <v>55.58</v>
      </c>
      <c r="BG58" s="81" t="s">
        <v>422</v>
      </c>
      <c r="BH58" s="167">
        <v>2E-16</v>
      </c>
      <c r="BI58" s="81" t="s">
        <v>389</v>
      </c>
      <c r="BQ58" s="81" t="s">
        <v>399</v>
      </c>
      <c r="BR58" s="167">
        <v>752000</v>
      </c>
      <c r="BS58" s="167">
        <v>20000</v>
      </c>
      <c r="BT58" s="81">
        <v>37.6</v>
      </c>
      <c r="BU58" s="81" t="s">
        <v>422</v>
      </c>
      <c r="BV58" s="167">
        <v>2E-16</v>
      </c>
      <c r="BW58" s="81" t="s">
        <v>389</v>
      </c>
      <c r="CP58" s="258" t="s">
        <v>442</v>
      </c>
      <c r="CQ58" s="258" t="s">
        <v>419</v>
      </c>
      <c r="CR58" s="259">
        <v>9940</v>
      </c>
      <c r="CS58" s="259">
        <v>216</v>
      </c>
      <c r="CT58" s="258">
        <v>45.98</v>
      </c>
      <c r="CU58" s="259" t="s">
        <v>422</v>
      </c>
      <c r="CV58" s="167">
        <v>2E-16</v>
      </c>
      <c r="CW58" s="81" t="s">
        <v>389</v>
      </c>
      <c r="CX58" s="260" t="s">
        <v>467</v>
      </c>
      <c r="CY58" s="266" t="s">
        <v>503</v>
      </c>
      <c r="CZ58" s="261" t="s">
        <v>323</v>
      </c>
      <c r="DA58" s="262">
        <f t="shared" si="50"/>
        <v>6.4699999999999994E-2</v>
      </c>
      <c r="DB58" s="260" t="s">
        <v>322</v>
      </c>
      <c r="DD58" s="170" t="s">
        <v>467</v>
      </c>
      <c r="DE58" s="296" t="s">
        <v>503</v>
      </c>
      <c r="DF58" s="291" t="s">
        <v>323</v>
      </c>
      <c r="DG58" s="170">
        <f>O12*Z37*AP43</f>
        <v>0.13103573969981655</v>
      </c>
      <c r="DH58" s="170" t="s">
        <v>322</v>
      </c>
      <c r="DJ58" s="308" t="s">
        <v>442</v>
      </c>
      <c r="DK58" s="308" t="s">
        <v>419</v>
      </c>
      <c r="DL58" s="312">
        <v>9920</v>
      </c>
      <c r="DM58" s="312">
        <v>528</v>
      </c>
      <c r="DN58" s="308">
        <v>18.77</v>
      </c>
      <c r="DO58" s="312" t="s">
        <v>422</v>
      </c>
      <c r="DP58" s="312">
        <v>2E-16</v>
      </c>
      <c r="DQ58" s="308" t="s">
        <v>389</v>
      </c>
      <c r="DR58" s="309" t="s">
        <v>467</v>
      </c>
      <c r="DS58" s="316" t="s">
        <v>503</v>
      </c>
      <c r="DT58" s="310" t="s">
        <v>323</v>
      </c>
      <c r="DU58" s="311">
        <f t="shared" si="51"/>
        <v>6.6900000000000001E-2</v>
      </c>
      <c r="DV58" s="309" t="s">
        <v>322</v>
      </c>
      <c r="DX58" s="167">
        <f t="shared" si="9"/>
        <v>1.0340030911901084</v>
      </c>
      <c r="EH58" s="167">
        <f t="shared" si="10"/>
        <v>0.51054773417739296</v>
      </c>
    </row>
    <row r="59" spans="2:138" thickTop="1" thickBot="1" x14ac:dyDescent="0.3">
      <c r="BC59" s="81" t="s">
        <v>399</v>
      </c>
      <c r="BD59" s="167">
        <v>858000</v>
      </c>
      <c r="BE59" s="167">
        <v>4620</v>
      </c>
      <c r="BF59" s="81">
        <v>185.74</v>
      </c>
      <c r="BG59" s="81" t="s">
        <v>422</v>
      </c>
      <c r="BH59" s="167">
        <v>2E-16</v>
      </c>
      <c r="BI59" s="81" t="s">
        <v>389</v>
      </c>
      <c r="BQ59" s="81" t="s">
        <v>301</v>
      </c>
      <c r="BR59" s="167">
        <v>8650000</v>
      </c>
      <c r="BS59" s="167">
        <v>780000</v>
      </c>
      <c r="BT59" s="81">
        <v>11.09</v>
      </c>
      <c r="BU59" s="81" t="s">
        <v>422</v>
      </c>
      <c r="BV59" s="167">
        <v>2E-16</v>
      </c>
      <c r="BW59" s="81" t="s">
        <v>389</v>
      </c>
      <c r="CP59" s="258" t="s">
        <v>442</v>
      </c>
      <c r="CQ59" s="258" t="s">
        <v>420</v>
      </c>
      <c r="CR59" s="259">
        <v>68</v>
      </c>
      <c r="CS59" s="259">
        <v>0.46300000000000002</v>
      </c>
      <c r="CT59" s="258">
        <v>146.71</v>
      </c>
      <c r="CU59" s="258" t="s">
        <v>422</v>
      </c>
      <c r="CV59" s="167">
        <v>2E-16</v>
      </c>
      <c r="CW59" s="81" t="s">
        <v>389</v>
      </c>
      <c r="CX59" s="260" t="s">
        <v>467</v>
      </c>
      <c r="CY59" s="266" t="s">
        <v>504</v>
      </c>
      <c r="CZ59" s="261" t="s">
        <v>323</v>
      </c>
      <c r="DA59" s="262">
        <f t="shared" si="50"/>
        <v>5.1999999999999998E-2</v>
      </c>
      <c r="DB59" s="260" t="s">
        <v>322</v>
      </c>
      <c r="DD59" s="170" t="s">
        <v>467</v>
      </c>
      <c r="DE59" s="296" t="s">
        <v>504</v>
      </c>
      <c r="DF59" s="291" t="s">
        <v>323</v>
      </c>
      <c r="DG59" s="170">
        <f>O13*Z37*AP43</f>
        <v>0.14436140814386567</v>
      </c>
      <c r="DH59" s="170" t="s">
        <v>322</v>
      </c>
      <c r="DJ59" s="308" t="s">
        <v>442</v>
      </c>
      <c r="DK59" s="308" t="s">
        <v>420</v>
      </c>
      <c r="DL59" s="312">
        <v>67.900000000000006</v>
      </c>
      <c r="DM59" s="312">
        <v>0.59099999999999997</v>
      </c>
      <c r="DN59" s="308">
        <v>114.85</v>
      </c>
      <c r="DO59" s="308" t="s">
        <v>422</v>
      </c>
      <c r="DP59" s="312">
        <v>2E-16</v>
      </c>
      <c r="DQ59" s="308" t="s">
        <v>389</v>
      </c>
      <c r="DR59" s="309" t="s">
        <v>467</v>
      </c>
      <c r="DS59" s="316" t="s">
        <v>504</v>
      </c>
      <c r="DT59" s="310" t="s">
        <v>323</v>
      </c>
      <c r="DU59" s="311">
        <f t="shared" si="51"/>
        <v>5.1900000000000002E-2</v>
      </c>
      <c r="DV59" s="309" t="s">
        <v>322</v>
      </c>
      <c r="DX59" s="167">
        <f t="shared" si="9"/>
        <v>0.99807692307692319</v>
      </c>
      <c r="EH59" s="167">
        <f t="shared" si="10"/>
        <v>0.35951436514305973</v>
      </c>
    </row>
    <row r="60" spans="2:138" thickTop="1" thickBot="1" x14ac:dyDescent="0.3">
      <c r="BC60" s="81" t="s">
        <v>301</v>
      </c>
      <c r="BD60" s="167">
        <v>2990000</v>
      </c>
      <c r="BE60" s="167">
        <v>49000</v>
      </c>
      <c r="BF60" s="81">
        <v>61.12</v>
      </c>
      <c r="BG60" s="81" t="s">
        <v>422</v>
      </c>
      <c r="BH60" s="167">
        <v>2E-16</v>
      </c>
      <c r="BI60" s="81" t="s">
        <v>389</v>
      </c>
      <c r="BQ60" s="81" t="s">
        <v>303</v>
      </c>
      <c r="BR60" s="167">
        <v>17100000</v>
      </c>
      <c r="BS60" s="167">
        <v>4790000</v>
      </c>
      <c r="BT60" s="81">
        <v>3.56</v>
      </c>
      <c r="BU60" s="81">
        <v>3.6999999999999999E-4</v>
      </c>
      <c r="BV60" s="81" t="s">
        <v>389</v>
      </c>
      <c r="CY60" s="266"/>
      <c r="CZ60" s="261"/>
      <c r="DA60" s="262"/>
      <c r="DE60" s="296"/>
      <c r="DF60" s="291"/>
      <c r="DS60" s="316"/>
      <c r="DT60" s="310"/>
      <c r="DU60" s="311"/>
      <c r="DX60" s="167"/>
      <c r="EH60" s="167"/>
    </row>
    <row r="61" spans="2:138" thickTop="1" thickBot="1" x14ac:dyDescent="0.3">
      <c r="BC61" s="81" t="s">
        <v>303</v>
      </c>
      <c r="BD61" s="167">
        <v>5280000</v>
      </c>
      <c r="BE61" s="167">
        <v>21200</v>
      </c>
      <c r="BF61" s="81">
        <v>249</v>
      </c>
      <c r="BG61" s="81" t="s">
        <v>422</v>
      </c>
      <c r="BH61" s="167">
        <v>2E-16</v>
      </c>
      <c r="BI61" s="81" t="s">
        <v>389</v>
      </c>
      <c r="BQ61" s="81" t="s">
        <v>400</v>
      </c>
      <c r="BR61" s="167">
        <v>-20.100000000000001</v>
      </c>
      <c r="BS61" s="167">
        <v>467</v>
      </c>
      <c r="BT61" s="81">
        <v>-0.04</v>
      </c>
      <c r="BU61" s="81">
        <v>0.96562999999999999</v>
      </c>
      <c r="CP61" s="258" t="s">
        <v>442</v>
      </c>
      <c r="CQ61" s="258" t="s">
        <v>433</v>
      </c>
      <c r="CR61" s="258" t="s">
        <v>460</v>
      </c>
      <c r="CX61" s="260" t="s">
        <v>467</v>
      </c>
      <c r="CY61" s="266" t="s">
        <v>344</v>
      </c>
      <c r="CZ61" s="261" t="s">
        <v>323</v>
      </c>
      <c r="DA61" s="262">
        <f>CR85</f>
        <v>1810000</v>
      </c>
      <c r="DB61" s="260" t="s">
        <v>322</v>
      </c>
      <c r="DD61" s="170" t="s">
        <v>467</v>
      </c>
      <c r="DE61" s="296" t="s">
        <v>344</v>
      </c>
      <c r="DF61" s="291" t="s">
        <v>323</v>
      </c>
      <c r="DG61" s="295">
        <f>AP30</f>
        <v>1538247.9853594769</v>
      </c>
      <c r="DH61" s="170" t="s">
        <v>322</v>
      </c>
      <c r="DJ61" s="308" t="s">
        <v>442</v>
      </c>
      <c r="DK61" s="308" t="s">
        <v>433</v>
      </c>
      <c r="DL61" s="308" t="s">
        <v>460</v>
      </c>
      <c r="DR61" s="309" t="s">
        <v>467</v>
      </c>
      <c r="DS61" s="316" t="s">
        <v>344</v>
      </c>
      <c r="DT61" s="310" t="s">
        <v>323</v>
      </c>
      <c r="DU61" s="311">
        <f>DL85</f>
        <v>1440000</v>
      </c>
      <c r="DV61" s="309" t="s">
        <v>322</v>
      </c>
      <c r="DX61" s="167">
        <f t="shared" si="9"/>
        <v>0.79558011049723754</v>
      </c>
      <c r="EH61" s="167">
        <f t="shared" si="10"/>
        <v>0.93612994374472258</v>
      </c>
    </row>
    <row r="62" spans="2:138" thickTop="1" thickBot="1" x14ac:dyDescent="0.3">
      <c r="BC62" s="81" t="s">
        <v>400</v>
      </c>
      <c r="BD62" s="167">
        <v>-24.7</v>
      </c>
      <c r="BE62" s="167">
        <v>0.50900000000000001</v>
      </c>
      <c r="BF62" s="81">
        <v>-48.59</v>
      </c>
      <c r="BG62" s="81" t="s">
        <v>422</v>
      </c>
      <c r="BH62" s="167">
        <v>2E-16</v>
      </c>
      <c r="BI62" s="81" t="s">
        <v>389</v>
      </c>
      <c r="BQ62" s="81" t="s">
        <v>401</v>
      </c>
      <c r="BR62" s="167">
        <v>-13.2</v>
      </c>
      <c r="BS62" s="167">
        <v>543</v>
      </c>
      <c r="BT62" s="81">
        <v>-0.02</v>
      </c>
      <c r="BU62" s="81">
        <v>0.98057000000000005</v>
      </c>
      <c r="CP62" s="258" t="s">
        <v>442</v>
      </c>
      <c r="CQ62" s="258" t="s">
        <v>380</v>
      </c>
      <c r="CX62" s="260" t="s">
        <v>467</v>
      </c>
      <c r="CY62" s="266" t="s">
        <v>345</v>
      </c>
      <c r="CZ62" s="261" t="s">
        <v>323</v>
      </c>
      <c r="DA62" s="262">
        <f t="shared" ref="DA62:DA63" si="52">CR86</f>
        <v>6480000</v>
      </c>
      <c r="DB62" s="260" t="s">
        <v>322</v>
      </c>
      <c r="DD62" s="170" t="s">
        <v>467</v>
      </c>
      <c r="DE62" s="296" t="s">
        <v>345</v>
      </c>
      <c r="DF62" s="291" t="s">
        <v>323</v>
      </c>
      <c r="DG62" s="295">
        <f>AP31</f>
        <v>10731463.172905527</v>
      </c>
      <c r="DH62" s="170" t="s">
        <v>322</v>
      </c>
      <c r="DJ62" s="308" t="s">
        <v>442</v>
      </c>
      <c r="DK62" s="308" t="s">
        <v>380</v>
      </c>
      <c r="DR62" s="309" t="s">
        <v>467</v>
      </c>
      <c r="DS62" s="316" t="s">
        <v>345</v>
      </c>
      <c r="DT62" s="310" t="s">
        <v>323</v>
      </c>
      <c r="DU62" s="311">
        <f t="shared" ref="DU62:DU63" si="53">DL86</f>
        <v>6420000</v>
      </c>
      <c r="DV62" s="309" t="s">
        <v>322</v>
      </c>
      <c r="DX62" s="167">
        <f t="shared" si="9"/>
        <v>0.9907407407407407</v>
      </c>
      <c r="EH62" s="167">
        <f t="shared" si="10"/>
        <v>0.59824088258617159</v>
      </c>
    </row>
    <row r="63" spans="2:138" thickTop="1" thickBot="1" x14ac:dyDescent="0.3">
      <c r="BC63" s="81" t="s">
        <v>401</v>
      </c>
      <c r="BD63" s="167">
        <v>-11.8</v>
      </c>
      <c r="BE63" s="167">
        <v>10.6</v>
      </c>
      <c r="BF63" s="81">
        <v>-1.1200000000000001</v>
      </c>
      <c r="BG63" s="81">
        <v>0.26</v>
      </c>
      <c r="BQ63" s="81" t="s">
        <v>402</v>
      </c>
      <c r="BR63" s="167">
        <v>-13.4</v>
      </c>
      <c r="BS63" s="167">
        <v>316</v>
      </c>
      <c r="BT63" s="81">
        <v>-0.04</v>
      </c>
      <c r="BU63" s="81">
        <v>0.96606999999999998</v>
      </c>
      <c r="CP63" s="258" t="s">
        <v>442</v>
      </c>
      <c r="CQ63" s="258" t="s">
        <v>381</v>
      </c>
      <c r="CR63" s="258" t="s">
        <v>382</v>
      </c>
      <c r="CS63" s="258" t="s">
        <v>383</v>
      </c>
      <c r="CT63" s="258" t="s">
        <v>384</v>
      </c>
      <c r="CU63" s="258" t="s">
        <v>385</v>
      </c>
      <c r="CV63" s="81" t="s">
        <v>386</v>
      </c>
      <c r="CX63" s="260" t="s">
        <v>467</v>
      </c>
      <c r="CY63" s="266" t="s">
        <v>346</v>
      </c>
      <c r="CZ63" s="261" t="s">
        <v>323</v>
      </c>
      <c r="DA63" s="262">
        <f t="shared" si="52"/>
        <v>38700000</v>
      </c>
      <c r="DB63" s="260" t="s">
        <v>322</v>
      </c>
      <c r="DD63" s="170" t="s">
        <v>467</v>
      </c>
      <c r="DE63" s="296" t="s">
        <v>346</v>
      </c>
      <c r="DF63" s="291" t="s">
        <v>323</v>
      </c>
      <c r="DG63" s="295">
        <f>AP32</f>
        <v>46855746.438658625</v>
      </c>
      <c r="DH63" s="170" t="s">
        <v>322</v>
      </c>
      <c r="DJ63" s="308" t="s">
        <v>442</v>
      </c>
      <c r="DK63" s="308" t="s">
        <v>381</v>
      </c>
      <c r="DL63" s="308" t="s">
        <v>382</v>
      </c>
      <c r="DM63" s="308" t="s">
        <v>383</v>
      </c>
      <c r="DN63" s="308" t="s">
        <v>384</v>
      </c>
      <c r="DO63" s="308" t="s">
        <v>385</v>
      </c>
      <c r="DP63" s="308" t="s">
        <v>386</v>
      </c>
      <c r="DR63" s="309" t="s">
        <v>467</v>
      </c>
      <c r="DS63" s="316" t="s">
        <v>346</v>
      </c>
      <c r="DT63" s="310" t="s">
        <v>323</v>
      </c>
      <c r="DU63" s="311">
        <f t="shared" si="53"/>
        <v>48800000</v>
      </c>
      <c r="DV63" s="309" t="s">
        <v>322</v>
      </c>
      <c r="DX63" s="167">
        <f t="shared" si="9"/>
        <v>1.2609819121447028</v>
      </c>
      <c r="EH63" s="167">
        <f t="shared" si="10"/>
        <v>1.0414944528498058</v>
      </c>
    </row>
    <row r="64" spans="2:138" thickTop="1" thickBot="1" x14ac:dyDescent="0.3">
      <c r="BC64" s="81" t="s">
        <v>402</v>
      </c>
      <c r="BD64" s="167">
        <v>-18.3</v>
      </c>
      <c r="BE64" s="167">
        <v>2.2400000000000002</v>
      </c>
      <c r="BF64" s="81">
        <v>-8.19</v>
      </c>
      <c r="BG64" s="167">
        <v>4.4E-16</v>
      </c>
      <c r="BH64" s="81" t="s">
        <v>389</v>
      </c>
      <c r="BQ64" s="81" t="s">
        <v>403</v>
      </c>
      <c r="BR64" s="167">
        <v>-14.3</v>
      </c>
      <c r="BS64" s="167">
        <v>664</v>
      </c>
      <c r="BT64" s="81">
        <v>-0.02</v>
      </c>
      <c r="BU64" s="81">
        <v>0.98280999999999996</v>
      </c>
      <c r="CP64" s="258" t="s">
        <v>442</v>
      </c>
      <c r="CQ64" s="258" t="s">
        <v>387</v>
      </c>
      <c r="CR64" s="259">
        <v>291</v>
      </c>
      <c r="CS64" s="259">
        <v>2.1299999999999999E-2</v>
      </c>
      <c r="CT64" s="258">
        <v>13713.96</v>
      </c>
      <c r="CU64" s="258" t="s">
        <v>422</v>
      </c>
      <c r="CV64" s="167">
        <v>2E-16</v>
      </c>
      <c r="CW64" s="81" t="s">
        <v>389</v>
      </c>
      <c r="CZ64" s="261"/>
      <c r="DF64" s="291"/>
      <c r="DJ64" s="308" t="s">
        <v>442</v>
      </c>
      <c r="DK64" s="308" t="s">
        <v>387</v>
      </c>
      <c r="DL64" s="312">
        <v>291</v>
      </c>
      <c r="DM64" s="312">
        <v>0.14699999999999999</v>
      </c>
      <c r="DN64" s="308">
        <v>1983.05</v>
      </c>
      <c r="DO64" s="308" t="s">
        <v>422</v>
      </c>
      <c r="DP64" s="312">
        <v>2E-16</v>
      </c>
      <c r="DQ64" s="308" t="s">
        <v>389</v>
      </c>
      <c r="DT64" s="310"/>
      <c r="DX64" s="167"/>
      <c r="EH64" s="167"/>
    </row>
    <row r="65" spans="55:138" thickTop="1" thickBot="1" x14ac:dyDescent="0.3">
      <c r="BC65" s="81" t="s">
        <v>403</v>
      </c>
      <c r="BD65" s="167">
        <v>-16.100000000000001</v>
      </c>
      <c r="BE65" s="167">
        <v>1.95</v>
      </c>
      <c r="BF65" s="81">
        <v>-8.25</v>
      </c>
      <c r="BG65" s="167">
        <v>2.2E-16</v>
      </c>
      <c r="BH65" s="81" t="s">
        <v>389</v>
      </c>
      <c r="BQ65" s="81" t="s">
        <v>405</v>
      </c>
      <c r="BR65" s="167">
        <v>0.23</v>
      </c>
      <c r="BS65" s="167">
        <v>2.3800000000000002E-3</v>
      </c>
      <c r="BT65" s="81">
        <v>96.68</v>
      </c>
      <c r="BU65" s="81" t="s">
        <v>422</v>
      </c>
      <c r="BV65" s="167">
        <v>2E-16</v>
      </c>
      <c r="BW65" s="81" t="s">
        <v>389</v>
      </c>
      <c r="CP65" s="258" t="s">
        <v>442</v>
      </c>
      <c r="CQ65" s="258" t="s">
        <v>390</v>
      </c>
      <c r="CR65" s="259">
        <v>288</v>
      </c>
      <c r="CS65" s="259">
        <v>4.7399999999999998E-2</v>
      </c>
      <c r="CT65" s="258">
        <v>6080.81</v>
      </c>
      <c r="CU65" s="258" t="s">
        <v>422</v>
      </c>
      <c r="CV65" s="167">
        <v>2E-16</v>
      </c>
      <c r="CW65" s="81" t="s">
        <v>389</v>
      </c>
      <c r="CX65" s="260" t="s">
        <v>467</v>
      </c>
      <c r="CY65" s="266" t="s">
        <v>347</v>
      </c>
      <c r="CZ65" s="261" t="s">
        <v>323</v>
      </c>
      <c r="DA65" s="262">
        <f>CR92</f>
        <v>6.5299999999999997E-2</v>
      </c>
      <c r="DB65" s="260" t="s">
        <v>322</v>
      </c>
      <c r="DD65" s="170" t="s">
        <v>467</v>
      </c>
      <c r="DE65" s="296" t="s">
        <v>347</v>
      </c>
      <c r="DF65" s="291" t="s">
        <v>323</v>
      </c>
      <c r="DG65" s="170">
        <f>AP33</f>
        <v>3.9867559906689456E-2</v>
      </c>
      <c r="DH65" s="170" t="s">
        <v>322</v>
      </c>
      <c r="DJ65" s="308" t="s">
        <v>442</v>
      </c>
      <c r="DK65" s="308" t="s">
        <v>390</v>
      </c>
      <c r="DL65" s="312">
        <v>287</v>
      </c>
      <c r="DM65" s="312">
        <v>9.8900000000000002E-2</v>
      </c>
      <c r="DN65" s="308">
        <v>2905.97</v>
      </c>
      <c r="DO65" s="308" t="s">
        <v>422</v>
      </c>
      <c r="DP65" s="312">
        <v>2E-16</v>
      </c>
      <c r="DQ65" s="308" t="s">
        <v>389</v>
      </c>
      <c r="DR65" s="309" t="s">
        <v>467</v>
      </c>
      <c r="DS65" s="316" t="s">
        <v>347</v>
      </c>
      <c r="DT65" s="310" t="s">
        <v>323</v>
      </c>
      <c r="DU65" s="311">
        <f>DL92</f>
        <v>8.5099999999999995E-2</v>
      </c>
      <c r="DV65" s="309" t="s">
        <v>322</v>
      </c>
      <c r="DX65" s="167">
        <f t="shared" si="9"/>
        <v>1.3032159264931087</v>
      </c>
      <c r="EH65" s="167">
        <f t="shared" si="10"/>
        <v>2.134567558164524</v>
      </c>
    </row>
    <row r="66" spans="55:138" thickTop="1" thickBot="1" x14ac:dyDescent="0.3">
      <c r="BC66" s="81" t="s">
        <v>405</v>
      </c>
      <c r="BD66" s="167">
        <v>0.38</v>
      </c>
      <c r="BE66" s="167">
        <v>5.0499999999999998E-3</v>
      </c>
      <c r="BF66" s="81">
        <v>75.36</v>
      </c>
      <c r="BG66" s="81" t="s">
        <v>422</v>
      </c>
      <c r="BH66" s="167">
        <v>2E-16</v>
      </c>
      <c r="BI66" s="81" t="s">
        <v>389</v>
      </c>
      <c r="BQ66" s="81" t="s">
        <v>406</v>
      </c>
      <c r="BR66" s="167">
        <v>4.8599999999999997E-2</v>
      </c>
      <c r="BS66" s="167">
        <v>4.2499999999999998E-4</v>
      </c>
      <c r="BT66" s="81">
        <v>114.51</v>
      </c>
      <c r="BU66" s="81" t="s">
        <v>422</v>
      </c>
      <c r="BV66" s="167">
        <v>2E-16</v>
      </c>
      <c r="BW66" s="81" t="s">
        <v>389</v>
      </c>
      <c r="CP66" s="258" t="s">
        <v>442</v>
      </c>
      <c r="CQ66" s="258" t="s">
        <v>391</v>
      </c>
      <c r="CR66" s="259">
        <v>292</v>
      </c>
      <c r="CS66" s="259">
        <v>2.9499999999999998E-2</v>
      </c>
      <c r="CT66" s="258">
        <v>9892.15</v>
      </c>
      <c r="CU66" s="258" t="s">
        <v>422</v>
      </c>
      <c r="CV66" s="167">
        <v>2E-16</v>
      </c>
      <c r="CW66" s="81" t="s">
        <v>389</v>
      </c>
      <c r="CX66" s="260" t="s">
        <v>467</v>
      </c>
      <c r="CY66" s="266" t="s">
        <v>348</v>
      </c>
      <c r="CZ66" s="261" t="s">
        <v>323</v>
      </c>
      <c r="DA66" s="262">
        <f t="shared" ref="DA66:DA68" si="54">CR93</f>
        <v>0.215</v>
      </c>
      <c r="DB66" s="260" t="s">
        <v>322</v>
      </c>
      <c r="DD66" s="170" t="s">
        <v>467</v>
      </c>
      <c r="DE66" s="296" t="s">
        <v>348</v>
      </c>
      <c r="DF66" s="291" t="s">
        <v>323</v>
      </c>
      <c r="DG66" s="170">
        <f>AP34</f>
        <v>0.13751142434065794</v>
      </c>
      <c r="DH66" s="170" t="s">
        <v>322</v>
      </c>
      <c r="DJ66" s="308" t="s">
        <v>442</v>
      </c>
      <c r="DK66" s="308" t="s">
        <v>391</v>
      </c>
      <c r="DL66" s="312">
        <v>292</v>
      </c>
      <c r="DM66" s="312">
        <v>4.8000000000000001E-2</v>
      </c>
      <c r="DN66" s="308">
        <v>6079.89</v>
      </c>
      <c r="DO66" s="308" t="s">
        <v>422</v>
      </c>
      <c r="DP66" s="312">
        <v>2E-16</v>
      </c>
      <c r="DQ66" s="308" t="s">
        <v>389</v>
      </c>
      <c r="DR66" s="309" t="s">
        <v>467</v>
      </c>
      <c r="DS66" s="316" t="s">
        <v>348</v>
      </c>
      <c r="DT66" s="310" t="s">
        <v>323</v>
      </c>
      <c r="DU66" s="311">
        <f t="shared" ref="DU66:DU68" si="55">DL93</f>
        <v>0.24099999999999999</v>
      </c>
      <c r="DV66" s="309" t="s">
        <v>322</v>
      </c>
      <c r="DX66" s="167">
        <f t="shared" si="9"/>
        <v>1.1209302325581396</v>
      </c>
      <c r="EH66" s="167">
        <f t="shared" si="10"/>
        <v>1.7525816575280984</v>
      </c>
    </row>
    <row r="67" spans="55:138" thickTop="1" thickBot="1" x14ac:dyDescent="0.3">
      <c r="BC67" s="81" t="s">
        <v>406</v>
      </c>
      <c r="BD67" s="167">
        <v>7.2800000000000004E-2</v>
      </c>
      <c r="BE67" s="167">
        <v>4.1599999999999997E-4</v>
      </c>
      <c r="BF67" s="81">
        <v>175.16</v>
      </c>
      <c r="BG67" s="81" t="s">
        <v>422</v>
      </c>
      <c r="BH67" s="167">
        <v>2E-16</v>
      </c>
      <c r="BI67" s="81" t="s">
        <v>389</v>
      </c>
      <c r="BQ67" s="81" t="s">
        <v>407</v>
      </c>
      <c r="BR67" s="167">
        <v>0.63200000000000001</v>
      </c>
      <c r="BS67" s="167">
        <v>1.03E-2</v>
      </c>
      <c r="BT67" s="81">
        <v>61.45</v>
      </c>
      <c r="BU67" s="81" t="s">
        <v>422</v>
      </c>
      <c r="BV67" s="167">
        <v>2E-16</v>
      </c>
      <c r="BW67" s="81" t="s">
        <v>389</v>
      </c>
      <c r="CP67" s="258" t="s">
        <v>442</v>
      </c>
      <c r="CQ67" s="258" t="s">
        <v>392</v>
      </c>
      <c r="CR67" s="259">
        <v>297</v>
      </c>
      <c r="CS67" s="259">
        <v>8.9300000000000004E-2</v>
      </c>
      <c r="CT67" s="258">
        <v>3331.08</v>
      </c>
      <c r="CU67" s="258" t="s">
        <v>422</v>
      </c>
      <c r="CV67" s="167">
        <v>2E-16</v>
      </c>
      <c r="CW67" s="81" t="s">
        <v>389</v>
      </c>
      <c r="CX67" s="260" t="s">
        <v>467</v>
      </c>
      <c r="CY67" s="266" t="s">
        <v>350</v>
      </c>
      <c r="CZ67" s="261" t="s">
        <v>323</v>
      </c>
      <c r="DA67" s="262">
        <f t="shared" si="54"/>
        <v>0.68300000000000005</v>
      </c>
      <c r="DB67" s="260" t="s">
        <v>322</v>
      </c>
      <c r="DD67" s="170" t="s">
        <v>467</v>
      </c>
      <c r="DE67" s="296" t="s">
        <v>350</v>
      </c>
      <c r="DF67" s="291" t="s">
        <v>323</v>
      </c>
      <c r="DG67" s="170">
        <f>AP35</f>
        <v>0.80371935838520703</v>
      </c>
      <c r="DH67" s="170" t="s">
        <v>322</v>
      </c>
      <c r="DJ67" s="308" t="s">
        <v>442</v>
      </c>
      <c r="DK67" s="308" t="s">
        <v>392</v>
      </c>
      <c r="DL67" s="312">
        <v>297</v>
      </c>
      <c r="DM67" s="312">
        <v>0.13</v>
      </c>
      <c r="DN67" s="308">
        <v>2291.17</v>
      </c>
      <c r="DO67" s="308" t="s">
        <v>422</v>
      </c>
      <c r="DP67" s="312">
        <v>2E-16</v>
      </c>
      <c r="DQ67" s="308" t="s">
        <v>389</v>
      </c>
      <c r="DR67" s="309" t="s">
        <v>467</v>
      </c>
      <c r="DS67" s="316" t="s">
        <v>350</v>
      </c>
      <c r="DT67" s="310" t="s">
        <v>323</v>
      </c>
      <c r="DU67" s="311">
        <f t="shared" si="55"/>
        <v>0.58299999999999996</v>
      </c>
      <c r="DV67" s="309" t="s">
        <v>322</v>
      </c>
      <c r="DX67" s="167">
        <f t="shared" si="9"/>
        <v>0.85358711566617851</v>
      </c>
      <c r="EH67" s="167">
        <f t="shared" si="10"/>
        <v>0.72537757603765396</v>
      </c>
    </row>
    <row r="68" spans="55:138" thickTop="1" thickBot="1" x14ac:dyDescent="0.3">
      <c r="BC68" s="81" t="s">
        <v>407</v>
      </c>
      <c r="BD68" s="167">
        <v>0.41799999999999998</v>
      </c>
      <c r="BE68" s="167">
        <v>5.2300000000000003E-3</v>
      </c>
      <c r="BF68" s="81">
        <v>79.87</v>
      </c>
      <c r="BG68" s="81" t="s">
        <v>422</v>
      </c>
      <c r="BH68" s="167">
        <v>2E-16</v>
      </c>
      <c r="BI68" s="81" t="s">
        <v>389</v>
      </c>
      <c r="BQ68" s="81" t="s">
        <v>408</v>
      </c>
      <c r="BR68" s="167">
        <v>7.3200000000000001E-2</v>
      </c>
      <c r="BS68" s="167">
        <v>1.1100000000000001E-3</v>
      </c>
      <c r="BT68" s="81">
        <v>65.86</v>
      </c>
      <c r="BU68" s="81" t="s">
        <v>422</v>
      </c>
      <c r="BV68" s="167">
        <v>2E-16</v>
      </c>
      <c r="BW68" s="81" t="s">
        <v>389</v>
      </c>
      <c r="CP68" s="258" t="s">
        <v>442</v>
      </c>
      <c r="CQ68" s="258" t="s">
        <v>444</v>
      </c>
      <c r="CR68" s="259">
        <v>1.39E-9</v>
      </c>
      <c r="CS68" s="259">
        <v>3.55E-8</v>
      </c>
      <c r="CT68" s="258">
        <v>0.04</v>
      </c>
      <c r="CU68" s="258">
        <v>0.96870000000000001</v>
      </c>
      <c r="CV68" s="167"/>
      <c r="CX68" s="260" t="s">
        <v>467</v>
      </c>
      <c r="CY68" s="266" t="s">
        <v>429</v>
      </c>
      <c r="CZ68" s="261" t="s">
        <v>323</v>
      </c>
      <c r="DA68" s="262">
        <f t="shared" si="54"/>
        <v>2.6800000000000001E-2</v>
      </c>
      <c r="DB68" s="260" t="s">
        <v>322</v>
      </c>
      <c r="DD68" s="170" t="s">
        <v>467</v>
      </c>
      <c r="DE68" s="296" t="s">
        <v>429</v>
      </c>
      <c r="DF68" s="291" t="s">
        <v>323</v>
      </c>
      <c r="DG68" s="170">
        <f>AP47</f>
        <v>1.890165736744559E-2</v>
      </c>
      <c r="DH68" s="170" t="s">
        <v>322</v>
      </c>
      <c r="DJ68" s="308" t="s">
        <v>442</v>
      </c>
      <c r="DK68" s="308" t="s">
        <v>444</v>
      </c>
      <c r="DL68" s="312">
        <v>3.5699999999999998E-7</v>
      </c>
      <c r="DM68" s="312">
        <v>5.3399999999999997E-6</v>
      </c>
      <c r="DN68" s="308">
        <v>7.0000000000000007E-2</v>
      </c>
      <c r="DO68" s="308">
        <v>0.94669999999999999</v>
      </c>
      <c r="DP68" s="312"/>
      <c r="DR68" s="309" t="s">
        <v>467</v>
      </c>
      <c r="DS68" s="316" t="s">
        <v>429</v>
      </c>
      <c r="DT68" s="310" t="s">
        <v>323</v>
      </c>
      <c r="DU68" s="311">
        <f t="shared" si="55"/>
        <v>3.0300000000000001E-2</v>
      </c>
      <c r="DV68" s="309" t="s">
        <v>322</v>
      </c>
      <c r="DX68" s="167">
        <f t="shared" si="9"/>
        <v>1.130597014925373</v>
      </c>
      <c r="EH68" s="167">
        <f t="shared" si="10"/>
        <v>1.60303403087741</v>
      </c>
    </row>
    <row r="69" spans="55:138" thickTop="1" thickBot="1" x14ac:dyDescent="0.3">
      <c r="BC69" s="81" t="s">
        <v>408</v>
      </c>
      <c r="BD69" s="167">
        <v>0.126</v>
      </c>
      <c r="BE69" s="167">
        <v>1.1999999999999999E-3</v>
      </c>
      <c r="BF69" s="81">
        <v>104.99</v>
      </c>
      <c r="BG69" s="81" t="s">
        <v>422</v>
      </c>
      <c r="BH69" s="167">
        <v>2E-16</v>
      </c>
      <c r="BI69" s="81" t="s">
        <v>389</v>
      </c>
      <c r="BQ69" s="81" t="s">
        <v>410</v>
      </c>
      <c r="BR69" s="167">
        <v>219</v>
      </c>
      <c r="BS69" s="167">
        <v>4.1900000000000004</v>
      </c>
      <c r="BT69" s="81">
        <v>52.26</v>
      </c>
      <c r="BU69" s="81" t="s">
        <v>422</v>
      </c>
      <c r="BV69" s="167">
        <v>2E-16</v>
      </c>
      <c r="BW69" s="81" t="s">
        <v>389</v>
      </c>
      <c r="CP69" s="258" t="s">
        <v>442</v>
      </c>
      <c r="CQ69" s="258" t="s">
        <v>341</v>
      </c>
      <c r="CR69" s="259">
        <v>0.113</v>
      </c>
      <c r="CS69" s="259">
        <v>3.61E-2</v>
      </c>
      <c r="CT69" s="258">
        <v>3.14</v>
      </c>
      <c r="CU69" s="258">
        <v>1.6999999999999999E-3</v>
      </c>
      <c r="CV69" s="81" t="s">
        <v>425</v>
      </c>
      <c r="CZ69" s="261"/>
      <c r="DF69" s="291"/>
      <c r="DJ69" s="308" t="s">
        <v>442</v>
      </c>
      <c r="DK69" s="308" t="s">
        <v>341</v>
      </c>
      <c r="DL69" s="312">
        <v>9.540000000000001E-7</v>
      </c>
      <c r="DM69" s="312">
        <v>1.4600000000000001E-5</v>
      </c>
      <c r="DN69" s="308">
        <v>7.0000000000000007E-2</v>
      </c>
      <c r="DO69" s="308">
        <v>0.94799999999999995</v>
      </c>
      <c r="DT69" s="310"/>
      <c r="DX69" s="167"/>
      <c r="EH69" s="167"/>
    </row>
    <row r="70" spans="55:138" thickTop="1" thickBot="1" x14ac:dyDescent="0.3">
      <c r="BC70" s="81" t="s">
        <v>410</v>
      </c>
      <c r="BD70" s="167">
        <v>568</v>
      </c>
      <c r="BE70" s="167">
        <v>16.100000000000001</v>
      </c>
      <c r="BF70" s="81">
        <v>35.270000000000003</v>
      </c>
      <c r="BG70" s="81" t="s">
        <v>422</v>
      </c>
      <c r="BH70" s="167">
        <v>2E-16</v>
      </c>
      <c r="BI70" s="81" t="s">
        <v>389</v>
      </c>
      <c r="BQ70" s="81" t="s">
        <v>295</v>
      </c>
      <c r="BR70" s="167">
        <v>85.9</v>
      </c>
      <c r="BS70" s="167">
        <v>0.65300000000000002</v>
      </c>
      <c r="BT70" s="81">
        <v>131.52000000000001</v>
      </c>
      <c r="BU70" s="81" t="s">
        <v>422</v>
      </c>
      <c r="BV70" s="167">
        <v>2E-16</v>
      </c>
      <c r="BW70" s="81" t="s">
        <v>389</v>
      </c>
      <c r="CP70" s="258" t="s">
        <v>442</v>
      </c>
      <c r="CQ70" s="258" t="s">
        <v>445</v>
      </c>
      <c r="CR70" s="259">
        <v>0.14799999999999999</v>
      </c>
      <c r="CS70" s="259">
        <v>9.9799999999999993E-3</v>
      </c>
      <c r="CT70" s="258">
        <v>14.79</v>
      </c>
      <c r="CU70" s="258" t="s">
        <v>422</v>
      </c>
      <c r="CV70" s="167">
        <v>2E-16</v>
      </c>
      <c r="CW70" s="81" t="s">
        <v>389</v>
      </c>
      <c r="CX70" s="260" t="s">
        <v>467</v>
      </c>
      <c r="CY70" s="266" t="s">
        <v>352</v>
      </c>
      <c r="CZ70" s="261" t="s">
        <v>323</v>
      </c>
      <c r="DA70" s="262">
        <f>CR96</f>
        <v>180</v>
      </c>
      <c r="DB70" s="260" t="s">
        <v>322</v>
      </c>
      <c r="DD70" s="170" t="s">
        <v>467</v>
      </c>
      <c r="DE70" s="296" t="s">
        <v>352</v>
      </c>
      <c r="DF70" s="291" t="s">
        <v>323</v>
      </c>
      <c r="DG70" s="170">
        <f>AP37</f>
        <v>172.50907413856567</v>
      </c>
      <c r="DH70" s="170" t="s">
        <v>322</v>
      </c>
      <c r="DJ70" s="308" t="s">
        <v>442</v>
      </c>
      <c r="DK70" s="308" t="s">
        <v>445</v>
      </c>
      <c r="DL70" s="312">
        <v>0.125</v>
      </c>
      <c r="DM70" s="312">
        <v>1.2200000000000001E-2</v>
      </c>
      <c r="DN70" s="308">
        <v>10.210000000000001</v>
      </c>
      <c r="DO70" s="308" t="s">
        <v>422</v>
      </c>
      <c r="DP70" s="312">
        <v>2E-16</v>
      </c>
      <c r="DQ70" s="308" t="s">
        <v>389</v>
      </c>
      <c r="DR70" s="309" t="s">
        <v>467</v>
      </c>
      <c r="DS70" s="316" t="s">
        <v>352</v>
      </c>
      <c r="DT70" s="310" t="s">
        <v>323</v>
      </c>
      <c r="DU70" s="311">
        <f>DL96</f>
        <v>147</v>
      </c>
      <c r="DV70" s="309" t="s">
        <v>322</v>
      </c>
      <c r="DX70" s="167">
        <f t="shared" ref="DX70:DX79" si="56">DU70/DA70</f>
        <v>0.81666666666666665</v>
      </c>
      <c r="EH70" s="167">
        <f t="shared" ref="EH70:EH79" si="57">DU70/DG70</f>
        <v>0.85212908789901776</v>
      </c>
    </row>
    <row r="71" spans="55:138" thickTop="1" thickBot="1" x14ac:dyDescent="0.3">
      <c r="BC71" s="81" t="s">
        <v>295</v>
      </c>
      <c r="BD71" s="167">
        <v>238</v>
      </c>
      <c r="BE71" s="167">
        <v>1.01</v>
      </c>
      <c r="BF71" s="81">
        <v>236.64</v>
      </c>
      <c r="BG71" s="81" t="s">
        <v>422</v>
      </c>
      <c r="BH71" s="167">
        <v>2E-16</v>
      </c>
      <c r="BI71" s="81" t="s">
        <v>389</v>
      </c>
      <c r="BQ71" s="81" t="s">
        <v>120</v>
      </c>
      <c r="BR71" s="167">
        <v>49.4</v>
      </c>
      <c r="BS71" s="167">
        <v>1.8</v>
      </c>
      <c r="BT71" s="81">
        <v>27.51</v>
      </c>
      <c r="BU71" s="81" t="s">
        <v>422</v>
      </c>
      <c r="BV71" s="167">
        <v>2E-16</v>
      </c>
      <c r="BW71" s="81" t="s">
        <v>389</v>
      </c>
      <c r="CP71" s="258" t="s">
        <v>442</v>
      </c>
      <c r="CQ71" s="258" t="s">
        <v>446</v>
      </c>
      <c r="CR71" s="259">
        <v>0.20499999999999999</v>
      </c>
      <c r="CS71" s="259">
        <v>7.6E-3</v>
      </c>
      <c r="CT71" s="258">
        <v>27.01</v>
      </c>
      <c r="CU71" s="258" t="s">
        <v>422</v>
      </c>
      <c r="CV71" s="167">
        <v>2E-16</v>
      </c>
      <c r="CW71" s="81" t="s">
        <v>389</v>
      </c>
      <c r="CX71" s="260" t="s">
        <v>467</v>
      </c>
      <c r="CY71" s="266" t="s">
        <v>354</v>
      </c>
      <c r="CZ71" s="261" t="s">
        <v>323</v>
      </c>
      <c r="DA71" s="262">
        <f t="shared" ref="DA71:DA72" si="58">CR97</f>
        <v>521</v>
      </c>
      <c r="DB71" s="260" t="s">
        <v>322</v>
      </c>
      <c r="DD71" s="170" t="s">
        <v>467</v>
      </c>
      <c r="DE71" s="296" t="s">
        <v>354</v>
      </c>
      <c r="DF71" s="291" t="s">
        <v>323</v>
      </c>
      <c r="DG71" s="170">
        <f>AP38</f>
        <v>775.22503621630028</v>
      </c>
      <c r="DH71" s="170" t="s">
        <v>322</v>
      </c>
      <c r="DJ71" s="308" t="s">
        <v>442</v>
      </c>
      <c r="DK71" s="308" t="s">
        <v>446</v>
      </c>
      <c r="DL71" s="312">
        <v>0.23</v>
      </c>
      <c r="DM71" s="312">
        <v>1.0800000000000001E-2</v>
      </c>
      <c r="DN71" s="308">
        <v>21.35</v>
      </c>
      <c r="DO71" s="308" t="s">
        <v>422</v>
      </c>
      <c r="DP71" s="312">
        <v>2E-16</v>
      </c>
      <c r="DQ71" s="308" t="s">
        <v>389</v>
      </c>
      <c r="DR71" s="309" t="s">
        <v>467</v>
      </c>
      <c r="DS71" s="316" t="s">
        <v>354</v>
      </c>
      <c r="DT71" s="310" t="s">
        <v>323</v>
      </c>
      <c r="DU71" s="311">
        <f t="shared" ref="DU71:DU72" si="59">DL97</f>
        <v>542</v>
      </c>
      <c r="DV71" s="309" t="s">
        <v>322</v>
      </c>
      <c r="DX71" s="167">
        <f t="shared" si="56"/>
        <v>1.0403071017274472</v>
      </c>
      <c r="EH71" s="167">
        <f t="shared" si="57"/>
        <v>0.69915182647529106</v>
      </c>
    </row>
    <row r="72" spans="55:138" thickTop="1" thickBot="1" x14ac:dyDescent="0.3">
      <c r="BC72" s="81" t="s">
        <v>120</v>
      </c>
      <c r="BD72" s="167">
        <v>58</v>
      </c>
      <c r="BE72" s="167">
        <v>0.107</v>
      </c>
      <c r="BF72" s="81">
        <v>543.78</v>
      </c>
      <c r="BG72" s="81" t="s">
        <v>422</v>
      </c>
      <c r="BH72" s="167">
        <v>2E-16</v>
      </c>
      <c r="BI72" s="81" t="s">
        <v>389</v>
      </c>
      <c r="BQ72" s="81" t="s">
        <v>412</v>
      </c>
      <c r="BR72" s="167">
        <v>-4.6100000000000003</v>
      </c>
      <c r="BS72" s="167">
        <v>2.1399999999999999E-2</v>
      </c>
      <c r="BT72" s="81">
        <v>-215.25</v>
      </c>
      <c r="BU72" s="81" t="s">
        <v>422</v>
      </c>
      <c r="BV72" s="167">
        <v>2E-16</v>
      </c>
      <c r="BW72" s="81" t="s">
        <v>389</v>
      </c>
      <c r="CP72" s="258" t="s">
        <v>442</v>
      </c>
      <c r="CQ72" s="258" t="s">
        <v>447</v>
      </c>
      <c r="CR72" s="259">
        <v>0.754</v>
      </c>
      <c r="CS72" s="259">
        <v>3.8100000000000002E-2</v>
      </c>
      <c r="CT72" s="258">
        <v>19.760000000000002</v>
      </c>
      <c r="CU72" s="258" t="s">
        <v>422</v>
      </c>
      <c r="CV72" s="167">
        <v>2E-16</v>
      </c>
      <c r="CW72" s="81" t="s">
        <v>389</v>
      </c>
      <c r="CX72" s="260" t="s">
        <v>467</v>
      </c>
      <c r="CY72" s="266" t="s">
        <v>355</v>
      </c>
      <c r="CZ72" s="261" t="s">
        <v>323</v>
      </c>
      <c r="DA72" s="262">
        <f t="shared" si="58"/>
        <v>36.1</v>
      </c>
      <c r="DB72" s="260" t="s">
        <v>322</v>
      </c>
      <c r="DD72" s="170" t="s">
        <v>467</v>
      </c>
      <c r="DE72" s="296" t="s">
        <v>355</v>
      </c>
      <c r="DF72" s="291" t="s">
        <v>323</v>
      </c>
      <c r="DG72" s="170">
        <f>AP39</f>
        <v>50.307964117309652</v>
      </c>
      <c r="DH72" s="170" t="s">
        <v>322</v>
      </c>
      <c r="DJ72" s="308" t="s">
        <v>442</v>
      </c>
      <c r="DK72" s="308" t="s">
        <v>447</v>
      </c>
      <c r="DL72" s="312">
        <v>0.755</v>
      </c>
      <c r="DM72" s="312">
        <v>4.82E-2</v>
      </c>
      <c r="DN72" s="308">
        <v>15.64</v>
      </c>
      <c r="DO72" s="308" t="s">
        <v>422</v>
      </c>
      <c r="DP72" s="312">
        <v>2E-16</v>
      </c>
      <c r="DQ72" s="308" t="s">
        <v>389</v>
      </c>
      <c r="DR72" s="309" t="s">
        <v>467</v>
      </c>
      <c r="DS72" s="316" t="s">
        <v>355</v>
      </c>
      <c r="DT72" s="310" t="s">
        <v>323</v>
      </c>
      <c r="DU72" s="311">
        <f t="shared" si="59"/>
        <v>30.3</v>
      </c>
      <c r="DV72" s="309" t="s">
        <v>322</v>
      </c>
      <c r="DX72" s="167">
        <f t="shared" si="56"/>
        <v>0.83933518005540164</v>
      </c>
      <c r="EH72" s="167">
        <f t="shared" si="57"/>
        <v>0.60229032384108272</v>
      </c>
    </row>
    <row r="73" spans="55:138" thickTop="1" thickBot="1" x14ac:dyDescent="0.3">
      <c r="BC73" s="81" t="s">
        <v>412</v>
      </c>
      <c r="BD73" s="167">
        <v>-15.3</v>
      </c>
      <c r="BE73" s="167">
        <v>0.30099999999999999</v>
      </c>
      <c r="BF73" s="81">
        <v>-50.74</v>
      </c>
      <c r="BG73" s="81" t="s">
        <v>422</v>
      </c>
      <c r="BH73" s="167">
        <v>2E-16</v>
      </c>
      <c r="BI73" s="81" t="s">
        <v>389</v>
      </c>
      <c r="BQ73" s="81" t="s">
        <v>413</v>
      </c>
      <c r="BR73" s="167">
        <v>-4.8499999999999996</v>
      </c>
      <c r="BS73" s="167">
        <v>2.2599999999999999E-2</v>
      </c>
      <c r="BT73" s="81">
        <v>-214.32</v>
      </c>
      <c r="BU73" s="81" t="s">
        <v>422</v>
      </c>
      <c r="BV73" s="167">
        <v>2E-16</v>
      </c>
      <c r="BW73" s="81" t="s">
        <v>389</v>
      </c>
      <c r="CP73" s="258" t="s">
        <v>442</v>
      </c>
      <c r="CQ73" s="258" t="s">
        <v>342</v>
      </c>
      <c r="CR73" s="259">
        <v>0.33700000000000002</v>
      </c>
      <c r="CS73" s="259">
        <v>5.2699999999999997E-2</v>
      </c>
      <c r="CT73" s="258">
        <v>6.4</v>
      </c>
      <c r="CU73" s="259">
        <v>1.7000000000000001E-10</v>
      </c>
      <c r="CV73" s="81" t="s">
        <v>389</v>
      </c>
      <c r="CX73" s="260" t="s">
        <v>467</v>
      </c>
      <c r="CY73" s="266" t="s">
        <v>357</v>
      </c>
      <c r="CZ73" s="261" t="s">
        <v>323</v>
      </c>
      <c r="DA73" s="262">
        <f>1/CR103</f>
        <v>150.15015015015015</v>
      </c>
      <c r="DB73" s="260" t="s">
        <v>322</v>
      </c>
      <c r="DD73" s="170" t="s">
        <v>467</v>
      </c>
      <c r="DE73" s="296" t="s">
        <v>357</v>
      </c>
      <c r="DF73" s="291" t="s">
        <v>323</v>
      </c>
      <c r="DG73" s="170">
        <f>AP40</f>
        <v>132.51411102224171</v>
      </c>
      <c r="DH73" s="170" t="s">
        <v>322</v>
      </c>
      <c r="DJ73" s="308" t="s">
        <v>442</v>
      </c>
      <c r="DK73" s="308" t="s">
        <v>342</v>
      </c>
      <c r="DL73" s="312">
        <v>0.31</v>
      </c>
      <c r="DM73" s="312">
        <v>0.105</v>
      </c>
      <c r="DN73" s="308">
        <v>2.95</v>
      </c>
      <c r="DO73" s="312">
        <v>3.0999999999999999E-3</v>
      </c>
      <c r="DP73" s="308" t="s">
        <v>425</v>
      </c>
      <c r="DR73" s="309" t="s">
        <v>467</v>
      </c>
      <c r="DS73" s="316" t="s">
        <v>357</v>
      </c>
      <c r="DT73" s="310" t="s">
        <v>323</v>
      </c>
      <c r="DU73" s="311">
        <f>1/DL103</f>
        <v>173.61111111111111</v>
      </c>
      <c r="DV73" s="309" t="s">
        <v>322</v>
      </c>
      <c r="DX73" s="167">
        <f t="shared" si="56"/>
        <v>1.15625</v>
      </c>
      <c r="EH73" s="167">
        <f t="shared" si="57"/>
        <v>1.3101330097741177</v>
      </c>
    </row>
    <row r="74" spans="55:138" thickTop="1" thickBot="1" x14ac:dyDescent="0.3">
      <c r="BC74" s="81" t="s">
        <v>413</v>
      </c>
      <c r="BD74" s="167">
        <v>-5.4</v>
      </c>
      <c r="BE74" s="167">
        <v>2.6700000000000002E-2</v>
      </c>
      <c r="BF74" s="81">
        <v>-202.07</v>
      </c>
      <c r="BG74" s="81" t="s">
        <v>422</v>
      </c>
      <c r="BH74" s="167">
        <v>2E-16</v>
      </c>
      <c r="BI74" s="81" t="s">
        <v>389</v>
      </c>
      <c r="BQ74" s="81" t="s">
        <v>414</v>
      </c>
      <c r="BR74" s="167">
        <v>-5.68</v>
      </c>
      <c r="BS74" s="167">
        <v>2.2200000000000001E-2</v>
      </c>
      <c r="BT74" s="81">
        <v>-255.8</v>
      </c>
      <c r="BU74" s="81" t="s">
        <v>422</v>
      </c>
      <c r="BV74" s="167">
        <v>2E-16</v>
      </c>
      <c r="BW74" s="81" t="s">
        <v>389</v>
      </c>
      <c r="CP74" s="258" t="s">
        <v>442</v>
      </c>
      <c r="CQ74" s="258" t="s">
        <v>448</v>
      </c>
      <c r="CR74" s="259">
        <v>0.621</v>
      </c>
      <c r="CS74" s="259">
        <v>2.1000000000000001E-2</v>
      </c>
      <c r="CT74" s="258">
        <v>29.58</v>
      </c>
      <c r="CU74" s="258" t="s">
        <v>422</v>
      </c>
      <c r="CV74" s="167">
        <v>2E-16</v>
      </c>
      <c r="CW74" s="81" t="s">
        <v>389</v>
      </c>
      <c r="CZ74" s="261"/>
      <c r="DF74" s="291"/>
      <c r="DJ74" s="308" t="s">
        <v>442</v>
      </c>
      <c r="DK74" s="308" t="s">
        <v>448</v>
      </c>
      <c r="DL74" s="312">
        <v>0.63400000000000001</v>
      </c>
      <c r="DM74" s="312">
        <v>2.63E-2</v>
      </c>
      <c r="DN74" s="308">
        <v>24.1</v>
      </c>
      <c r="DO74" s="308" t="s">
        <v>422</v>
      </c>
      <c r="DP74" s="312">
        <v>2E-16</v>
      </c>
      <c r="DQ74" s="308" t="s">
        <v>389</v>
      </c>
      <c r="DT74" s="310"/>
      <c r="DX74" s="167"/>
      <c r="EH74" s="167"/>
    </row>
    <row r="75" spans="55:138" thickTop="1" thickBot="1" x14ac:dyDescent="0.3">
      <c r="BC75" s="81" t="s">
        <v>414</v>
      </c>
      <c r="BD75" s="167">
        <v>-7.38</v>
      </c>
      <c r="BE75" s="167">
        <v>2.1499999999999998E-2</v>
      </c>
      <c r="BF75" s="81">
        <v>-343.38</v>
      </c>
      <c r="BG75" s="81" t="s">
        <v>422</v>
      </c>
      <c r="BH75" s="167">
        <v>2E-16</v>
      </c>
      <c r="BI75" s="81" t="s">
        <v>389</v>
      </c>
      <c r="BQ75" s="81" t="s">
        <v>415</v>
      </c>
      <c r="BR75" s="167">
        <v>-5.31</v>
      </c>
      <c r="BS75" s="167">
        <v>2.2599999999999999E-2</v>
      </c>
      <c r="BT75" s="81">
        <v>-234.52</v>
      </c>
      <c r="BU75" s="81" t="s">
        <v>422</v>
      </c>
      <c r="BV75" s="167">
        <v>2E-16</v>
      </c>
      <c r="BW75" s="81" t="s">
        <v>389</v>
      </c>
      <c r="CP75" s="258" t="s">
        <v>442</v>
      </c>
      <c r="CQ75" s="258" t="s">
        <v>449</v>
      </c>
      <c r="CR75" s="259">
        <v>0.53100000000000003</v>
      </c>
      <c r="CS75" s="259">
        <v>1.6299999999999999E-2</v>
      </c>
      <c r="CT75" s="258">
        <v>32.619999999999997</v>
      </c>
      <c r="CU75" s="258" t="s">
        <v>422</v>
      </c>
      <c r="CV75" s="167">
        <v>2E-16</v>
      </c>
      <c r="CW75" s="81" t="s">
        <v>389</v>
      </c>
      <c r="CX75" s="260" t="s">
        <v>467</v>
      </c>
      <c r="CY75" s="266" t="s">
        <v>424</v>
      </c>
      <c r="CZ75" s="261" t="s">
        <v>323</v>
      </c>
      <c r="DA75" s="262">
        <f>CR116</f>
        <v>996000000</v>
      </c>
      <c r="DB75" s="260" t="s">
        <v>322</v>
      </c>
      <c r="DD75" s="170" t="s">
        <v>467</v>
      </c>
      <c r="DE75" s="296" t="s">
        <v>424</v>
      </c>
      <c r="DF75" s="291" t="s">
        <v>323</v>
      </c>
      <c r="DG75" s="170">
        <f>AP44</f>
        <v>14177850</v>
      </c>
      <c r="DH75" s="170" t="s">
        <v>322</v>
      </c>
      <c r="DJ75" s="308" t="s">
        <v>442</v>
      </c>
      <c r="DK75" s="308" t="s">
        <v>449</v>
      </c>
      <c r="DL75" s="312">
        <v>0.52400000000000002</v>
      </c>
      <c r="DM75" s="312">
        <v>2.2800000000000001E-2</v>
      </c>
      <c r="DN75" s="308">
        <v>22.99</v>
      </c>
      <c r="DO75" s="308" t="s">
        <v>422</v>
      </c>
      <c r="DP75" s="312">
        <v>2E-16</v>
      </c>
      <c r="DQ75" s="308" t="s">
        <v>389</v>
      </c>
      <c r="DR75" s="309" t="s">
        <v>467</v>
      </c>
      <c r="DS75" s="316" t="s">
        <v>424</v>
      </c>
      <c r="DT75" s="310" t="s">
        <v>323</v>
      </c>
      <c r="DU75" s="311">
        <f>DL114</f>
        <v>11200000</v>
      </c>
      <c r="DV75" s="309" t="s">
        <v>322</v>
      </c>
      <c r="DX75" s="167">
        <f t="shared" si="56"/>
        <v>1.1244979919678716E-2</v>
      </c>
      <c r="EH75" s="167">
        <f t="shared" si="57"/>
        <v>0.7899646279231336</v>
      </c>
    </row>
    <row r="76" spans="55:138" thickTop="1" thickBot="1" x14ac:dyDescent="0.3">
      <c r="BC76" s="81" t="s">
        <v>415</v>
      </c>
      <c r="BD76" s="167">
        <v>-6.87</v>
      </c>
      <c r="BE76" s="167">
        <v>1.9699999999999999E-2</v>
      </c>
      <c r="BF76" s="81">
        <v>-347.91</v>
      </c>
      <c r="BG76" s="81" t="s">
        <v>422</v>
      </c>
      <c r="BH76" s="167">
        <v>2E-16</v>
      </c>
      <c r="BI76" s="81" t="s">
        <v>389</v>
      </c>
      <c r="BQ76" s="81" t="s">
        <v>417</v>
      </c>
      <c r="BR76" s="167">
        <v>2.8500000000000001E-3</v>
      </c>
      <c r="BS76" s="167">
        <v>7.6799999999999997E-5</v>
      </c>
      <c r="BT76" s="81">
        <v>37.07</v>
      </c>
      <c r="BU76" s="81" t="s">
        <v>422</v>
      </c>
      <c r="BV76" s="167">
        <v>2E-16</v>
      </c>
      <c r="BW76" s="81" t="s">
        <v>389</v>
      </c>
      <c r="CP76" s="258" t="s">
        <v>442</v>
      </c>
      <c r="CQ76" s="258" t="s">
        <v>450</v>
      </c>
      <c r="CR76" s="259">
        <v>9.7100000000000006E-2</v>
      </c>
      <c r="CS76" s="259">
        <v>4.7600000000000003E-2</v>
      </c>
      <c r="CT76" s="258">
        <v>2.04</v>
      </c>
      <c r="CU76" s="259">
        <v>4.1500000000000002E-2</v>
      </c>
      <c r="CV76" s="81" t="s">
        <v>434</v>
      </c>
      <c r="CX76" s="260" t="s">
        <v>467</v>
      </c>
      <c r="CY76" s="266" t="s">
        <v>364</v>
      </c>
      <c r="CZ76" s="261" t="s">
        <v>323</v>
      </c>
      <c r="DA76" s="262">
        <f>CR117</f>
        <v>989000000</v>
      </c>
      <c r="DB76" s="260" t="s">
        <v>322</v>
      </c>
      <c r="DD76" s="170" t="s">
        <v>467</v>
      </c>
      <c r="DE76" s="296" t="s">
        <v>364</v>
      </c>
      <c r="DF76" s="291" t="s">
        <v>323</v>
      </c>
      <c r="DG76" s="170">
        <f>AP45</f>
        <v>14177850</v>
      </c>
      <c r="DH76" s="170" t="s">
        <v>322</v>
      </c>
      <c r="DJ76" s="308" t="s">
        <v>442</v>
      </c>
      <c r="DK76" s="308" t="s">
        <v>450</v>
      </c>
      <c r="DL76" s="312">
        <v>4.0599999999999999E-10</v>
      </c>
      <c r="DM76" s="312">
        <v>1.16E-8</v>
      </c>
      <c r="DN76" s="308">
        <v>0.04</v>
      </c>
      <c r="DO76" s="312">
        <v>0.97209999999999996</v>
      </c>
      <c r="DR76" s="309" t="s">
        <v>467</v>
      </c>
      <c r="DS76" s="316" t="s">
        <v>364</v>
      </c>
      <c r="DT76" s="310" t="s">
        <v>323</v>
      </c>
      <c r="DU76" s="311">
        <f>DL115</f>
        <v>2620000</v>
      </c>
      <c r="DV76" s="309" t="s">
        <v>322</v>
      </c>
      <c r="DX76" s="167">
        <f t="shared" si="56"/>
        <v>2.6491405460060667E-3</v>
      </c>
      <c r="EH76" s="167">
        <f t="shared" si="57"/>
        <v>0.1847952968891616</v>
      </c>
    </row>
    <row r="77" spans="55:138" thickTop="1" thickBot="1" x14ac:dyDescent="0.3">
      <c r="BC77" s="81" t="s">
        <v>417</v>
      </c>
      <c r="BD77" s="167">
        <v>4.64E-3</v>
      </c>
      <c r="BE77" s="167">
        <v>2.4600000000000002E-5</v>
      </c>
      <c r="BF77" s="81">
        <v>188.79</v>
      </c>
      <c r="BG77" s="81" t="s">
        <v>422</v>
      </c>
      <c r="BH77" s="167">
        <v>2E-16</v>
      </c>
      <c r="BI77" s="81" t="s">
        <v>389</v>
      </c>
      <c r="BQ77" s="81" t="s">
        <v>418</v>
      </c>
      <c r="BR77" s="167">
        <v>170</v>
      </c>
      <c r="BS77" s="167">
        <v>1.77</v>
      </c>
      <c r="BT77" s="81">
        <v>96.07</v>
      </c>
      <c r="BU77" s="81" t="s">
        <v>422</v>
      </c>
      <c r="BV77" s="167">
        <v>2E-16</v>
      </c>
      <c r="BW77" s="81" t="s">
        <v>389</v>
      </c>
      <c r="CP77" s="258" t="s">
        <v>442</v>
      </c>
      <c r="CQ77" s="258" t="s">
        <v>343</v>
      </c>
      <c r="CR77" s="259">
        <v>3.2799999999999999E-11</v>
      </c>
      <c r="CS77" s="259">
        <v>1.14E-9</v>
      </c>
      <c r="CT77" s="258">
        <v>0.03</v>
      </c>
      <c r="CU77" s="258">
        <v>0.97699999999999998</v>
      </c>
      <c r="CX77" s="260" t="s">
        <v>467</v>
      </c>
      <c r="CY77" s="266" t="s">
        <v>370</v>
      </c>
      <c r="CZ77" s="261" t="s">
        <v>323</v>
      </c>
      <c r="DA77" s="262">
        <f>CR124</f>
        <v>76.7</v>
      </c>
      <c r="DB77" s="260" t="s">
        <v>322</v>
      </c>
      <c r="DD77" s="170" t="s">
        <v>467</v>
      </c>
      <c r="DE77" s="296" t="s">
        <v>370</v>
      </c>
      <c r="DF77" s="291" t="s">
        <v>323</v>
      </c>
      <c r="DG77" s="170">
        <f>AP48</f>
        <v>369.7988165680473</v>
      </c>
      <c r="DH77" s="170" t="s">
        <v>322</v>
      </c>
      <c r="DJ77" s="308" t="s">
        <v>442</v>
      </c>
      <c r="DK77" s="308" t="s">
        <v>343</v>
      </c>
      <c r="DL77" s="312">
        <v>1.23E-7</v>
      </c>
      <c r="DM77" s="312">
        <v>2.4499999999999998E-6</v>
      </c>
      <c r="DN77" s="308">
        <v>0.05</v>
      </c>
      <c r="DO77" s="308">
        <v>0.96009999999999995</v>
      </c>
      <c r="DR77" s="309" t="s">
        <v>467</v>
      </c>
      <c r="DS77" s="316" t="s">
        <v>370</v>
      </c>
      <c r="DT77" s="310" t="s">
        <v>323</v>
      </c>
      <c r="DU77" s="311">
        <f>1/(1/(O26*6)+1/(DL120))</f>
        <v>270.4710198092443</v>
      </c>
      <c r="DV77" s="309" t="s">
        <v>322</v>
      </c>
      <c r="DX77" s="167">
        <f t="shared" si="56"/>
        <v>3.5263496715677221</v>
      </c>
      <c r="EH77" s="167">
        <f t="shared" si="57"/>
        <v>0.73140044719281694</v>
      </c>
    </row>
    <row r="78" spans="55:138" thickTop="1" thickBot="1" x14ac:dyDescent="0.3">
      <c r="BC78" s="81" t="s">
        <v>418</v>
      </c>
      <c r="BD78" s="167">
        <v>492</v>
      </c>
      <c r="BE78" s="167">
        <v>2.67</v>
      </c>
      <c r="BF78" s="81">
        <v>184.53</v>
      </c>
      <c r="BG78" s="81" t="s">
        <v>422</v>
      </c>
      <c r="BH78" s="167">
        <v>2E-16</v>
      </c>
      <c r="BI78" s="81" t="s">
        <v>389</v>
      </c>
      <c r="BQ78" s="81" t="s">
        <v>419</v>
      </c>
      <c r="BR78" s="167">
        <v>1380</v>
      </c>
      <c r="BS78" s="167">
        <v>946</v>
      </c>
      <c r="BT78" s="81">
        <v>1.46</v>
      </c>
      <c r="BU78" s="81">
        <v>0.14507999999999999</v>
      </c>
      <c r="CP78" s="258" t="s">
        <v>442</v>
      </c>
      <c r="CQ78" s="258" t="s">
        <v>451</v>
      </c>
      <c r="CR78" s="259">
        <v>5.5E-2</v>
      </c>
      <c r="CS78" s="259">
        <v>2.58E-2</v>
      </c>
      <c r="CT78" s="258">
        <v>2.13</v>
      </c>
      <c r="CU78" s="258">
        <v>3.3099999999999997E-2</v>
      </c>
      <c r="CV78" s="81" t="s">
        <v>434</v>
      </c>
      <c r="CX78" s="260" t="s">
        <v>467</v>
      </c>
      <c r="CY78" s="266" t="s">
        <v>372</v>
      </c>
      <c r="CZ78" s="261" t="s">
        <v>323</v>
      </c>
      <c r="DA78" s="262">
        <f t="shared" ref="DA78:DA79" si="60">CR125</f>
        <v>1.24E-3</v>
      </c>
      <c r="DB78" s="260" t="s">
        <v>322</v>
      </c>
      <c r="DD78" s="170" t="s">
        <v>467</v>
      </c>
      <c r="DE78" s="296" t="s">
        <v>372</v>
      </c>
      <c r="DF78" s="291" t="s">
        <v>323</v>
      </c>
      <c r="DG78" s="170">
        <f>AP49</f>
        <v>184.89940828402365</v>
      </c>
      <c r="DH78" s="170" t="s">
        <v>322</v>
      </c>
      <c r="DJ78" s="308" t="s">
        <v>442</v>
      </c>
      <c r="DK78" s="308" t="s">
        <v>451</v>
      </c>
      <c r="DL78" s="312">
        <v>6.4899999999999999E-2</v>
      </c>
      <c r="DM78" s="312">
        <v>4.8300000000000003E-2</v>
      </c>
      <c r="DN78" s="308">
        <v>1.34</v>
      </c>
      <c r="DO78" s="308">
        <v>0.17960000000000001</v>
      </c>
      <c r="DR78" s="309" t="s">
        <v>467</v>
      </c>
      <c r="DS78" s="316" t="s">
        <v>372</v>
      </c>
      <c r="DT78" s="310" t="s">
        <v>323</v>
      </c>
      <c r="DU78" s="311">
        <f>DL121</f>
        <v>209</v>
      </c>
      <c r="DV78" s="309" t="s">
        <v>322</v>
      </c>
      <c r="DX78" s="167">
        <f t="shared" si="56"/>
        <v>168548.38709677418</v>
      </c>
      <c r="EH78" s="167">
        <f t="shared" si="57"/>
        <v>1.1303443420378905</v>
      </c>
    </row>
    <row r="79" spans="55:138" thickTop="1" thickBot="1" x14ac:dyDescent="0.3">
      <c r="BC79" s="81" t="s">
        <v>419</v>
      </c>
      <c r="BD79" s="167">
        <v>210</v>
      </c>
      <c r="BE79" s="167">
        <v>7.91</v>
      </c>
      <c r="BF79" s="81">
        <v>26.58</v>
      </c>
      <c r="BG79" s="81" t="s">
        <v>422</v>
      </c>
      <c r="BH79" s="167">
        <v>2E-16</v>
      </c>
      <c r="BI79" s="81" t="s">
        <v>389</v>
      </c>
      <c r="CP79" s="258" t="s">
        <v>442</v>
      </c>
      <c r="CQ79" s="258" t="s">
        <v>452</v>
      </c>
      <c r="CR79" s="259">
        <v>0.16200000000000001</v>
      </c>
      <c r="CS79" s="259">
        <v>2.1899999999999999E-2</v>
      </c>
      <c r="CT79" s="258">
        <v>7.37</v>
      </c>
      <c r="CU79" s="259">
        <v>1.7999999999999999E-13</v>
      </c>
      <c r="CV79" s="81" t="s">
        <v>389</v>
      </c>
      <c r="CX79" s="260" t="s">
        <v>467</v>
      </c>
      <c r="CY79" s="266" t="s">
        <v>374</v>
      </c>
      <c r="CZ79" s="261" t="s">
        <v>323</v>
      </c>
      <c r="DA79" s="262">
        <f t="shared" si="60"/>
        <v>32.6</v>
      </c>
      <c r="DB79" s="260" t="s">
        <v>322</v>
      </c>
      <c r="DD79" s="170" t="s">
        <v>467</v>
      </c>
      <c r="DE79" s="296" t="s">
        <v>374</v>
      </c>
      <c r="DF79" s="291" t="s">
        <v>323</v>
      </c>
      <c r="DG79" s="170">
        <f>AP50</f>
        <v>369.7988165680473</v>
      </c>
      <c r="DH79" s="170" t="s">
        <v>322</v>
      </c>
      <c r="DJ79" s="308" t="s">
        <v>442</v>
      </c>
      <c r="DK79" s="308" t="s">
        <v>452</v>
      </c>
      <c r="DL79" s="312">
        <v>1.2800000000000001E-2</v>
      </c>
      <c r="DM79" s="312">
        <v>6.7799999999999999E-2</v>
      </c>
      <c r="DN79" s="308">
        <v>0.19</v>
      </c>
      <c r="DO79" s="312">
        <v>0.8498</v>
      </c>
      <c r="DR79" s="309" t="s">
        <v>467</v>
      </c>
      <c r="DS79" s="316" t="s">
        <v>374</v>
      </c>
      <c r="DT79" s="310" t="s">
        <v>323</v>
      </c>
      <c r="DU79" s="311">
        <f>1/(1/(O26*6)+1/(DL122))</f>
        <v>201.36621454993832</v>
      </c>
      <c r="DV79" s="309" t="s">
        <v>322</v>
      </c>
      <c r="DX79" s="167">
        <f t="shared" si="56"/>
        <v>6.1768777469306233</v>
      </c>
      <c r="EH79" s="167">
        <f t="shared" si="57"/>
        <v>0.54452909400504956</v>
      </c>
    </row>
    <row r="80" spans="55:138" thickTop="1" thickBot="1" x14ac:dyDescent="0.3">
      <c r="BQ80" s="81" t="s">
        <v>433</v>
      </c>
      <c r="BR80" s="81" t="s">
        <v>435</v>
      </c>
      <c r="CP80" s="258" t="s">
        <v>442</v>
      </c>
      <c r="CQ80" s="258" t="s">
        <v>453</v>
      </c>
      <c r="CR80" s="259">
        <v>7.2900000000000006E-2</v>
      </c>
      <c r="CS80" s="259">
        <v>4.4999999999999997E-3</v>
      </c>
      <c r="CT80" s="258">
        <v>16.21</v>
      </c>
      <c r="CU80" s="258" t="s">
        <v>422</v>
      </c>
      <c r="CV80" s="167">
        <v>2E-16</v>
      </c>
      <c r="CW80" s="81" t="s">
        <v>389</v>
      </c>
      <c r="DJ80" s="308" t="s">
        <v>442</v>
      </c>
      <c r="DK80" s="308" t="s">
        <v>453</v>
      </c>
      <c r="DL80" s="312">
        <v>7.8399999999999997E-2</v>
      </c>
      <c r="DM80" s="312">
        <v>6.43E-3</v>
      </c>
      <c r="DN80" s="308">
        <v>12.2</v>
      </c>
      <c r="DO80" s="308" t="s">
        <v>422</v>
      </c>
      <c r="DP80" s="312">
        <v>2E-16</v>
      </c>
      <c r="DQ80" s="308" t="s">
        <v>389</v>
      </c>
      <c r="EH80" s="167"/>
    </row>
    <row r="81" spans="55:121" thickTop="1" thickBot="1" x14ac:dyDescent="0.3">
      <c r="BQ81" s="81" t="s">
        <v>380</v>
      </c>
      <c r="CP81" s="258" t="s">
        <v>442</v>
      </c>
      <c r="CQ81" s="258" t="s">
        <v>454</v>
      </c>
      <c r="CR81" s="259">
        <v>0.125</v>
      </c>
      <c r="CS81" s="259">
        <v>1.09E-2</v>
      </c>
      <c r="CT81" s="258">
        <v>11.39</v>
      </c>
      <c r="CU81" s="258" t="s">
        <v>422</v>
      </c>
      <c r="CV81" s="167">
        <v>2E-16</v>
      </c>
      <c r="CW81" s="81" t="s">
        <v>389</v>
      </c>
      <c r="DJ81" s="308" t="s">
        <v>442</v>
      </c>
      <c r="DK81" s="308" t="s">
        <v>454</v>
      </c>
      <c r="DL81" s="312">
        <v>0.104</v>
      </c>
      <c r="DM81" s="312">
        <v>1.5599999999999999E-2</v>
      </c>
      <c r="DN81" s="308">
        <v>6.69</v>
      </c>
      <c r="DO81" s="312">
        <v>2.4000000000000001E-11</v>
      </c>
      <c r="DP81" s="312" t="s">
        <v>389</v>
      </c>
    </row>
    <row r="82" spans="55:121" thickTop="1" thickBot="1" x14ac:dyDescent="0.3">
      <c r="BD82" s="81" t="s">
        <v>431</v>
      </c>
      <c r="BQ82" s="81" t="s">
        <v>381</v>
      </c>
      <c r="BR82" s="81" t="s">
        <v>382</v>
      </c>
      <c r="BS82" s="81" t="s">
        <v>383</v>
      </c>
      <c r="BT82" s="81" t="s">
        <v>384</v>
      </c>
      <c r="BU82" s="81" t="s">
        <v>385</v>
      </c>
      <c r="BV82" s="81" t="s">
        <v>386</v>
      </c>
      <c r="CP82" s="258" t="s">
        <v>442</v>
      </c>
      <c r="CQ82" s="258" t="s">
        <v>455</v>
      </c>
      <c r="CR82" s="259">
        <v>6.4699999999999994E-2</v>
      </c>
      <c r="CS82" s="259">
        <v>2.6900000000000001E-3</v>
      </c>
      <c r="CT82" s="258">
        <v>24.07</v>
      </c>
      <c r="CU82" s="258" t="s">
        <v>422</v>
      </c>
      <c r="CV82" s="167">
        <v>2E-16</v>
      </c>
      <c r="CW82" s="81" t="s">
        <v>389</v>
      </c>
      <c r="DJ82" s="308" t="s">
        <v>442</v>
      </c>
      <c r="DK82" s="308" t="s">
        <v>455</v>
      </c>
      <c r="DL82" s="312">
        <v>6.6900000000000001E-2</v>
      </c>
      <c r="DM82" s="312">
        <v>3.5899999999999999E-3</v>
      </c>
      <c r="DN82" s="308">
        <v>18.649999999999999</v>
      </c>
      <c r="DO82" s="308" t="s">
        <v>422</v>
      </c>
      <c r="DP82" s="312">
        <v>2E-16</v>
      </c>
      <c r="DQ82" s="308" t="s">
        <v>389</v>
      </c>
    </row>
    <row r="83" spans="55:121" thickTop="1" thickBot="1" x14ac:dyDescent="0.3">
      <c r="BD83" s="167">
        <v>297</v>
      </c>
      <c r="BE83" s="167">
        <v>8.0100000000000005E-2</v>
      </c>
      <c r="BF83" s="81">
        <v>3708.09</v>
      </c>
      <c r="BG83" s="81" t="s">
        <v>388</v>
      </c>
      <c r="BH83" s="81" t="s">
        <v>389</v>
      </c>
      <c r="BQ83" s="81" t="s">
        <v>436</v>
      </c>
      <c r="BR83" s="167">
        <v>290</v>
      </c>
      <c r="BS83" s="167">
        <v>0.36799999999999999</v>
      </c>
      <c r="BT83" s="81">
        <v>790.07</v>
      </c>
      <c r="BU83" s="81" t="s">
        <v>422</v>
      </c>
      <c r="BV83" s="167">
        <v>2E-16</v>
      </c>
      <c r="BW83" s="81" t="s">
        <v>389</v>
      </c>
      <c r="CP83" s="258" t="s">
        <v>442</v>
      </c>
      <c r="CQ83" s="258" t="s">
        <v>456</v>
      </c>
      <c r="CR83" s="259">
        <v>5.1999999999999998E-2</v>
      </c>
      <c r="CS83" s="259">
        <v>2.0699999999999998E-3</v>
      </c>
      <c r="CT83" s="258">
        <v>25.17</v>
      </c>
      <c r="CU83" s="259" t="s">
        <v>422</v>
      </c>
      <c r="CV83" s="167">
        <v>2E-16</v>
      </c>
      <c r="CW83" s="81" t="s">
        <v>389</v>
      </c>
      <c r="DJ83" s="308" t="s">
        <v>442</v>
      </c>
      <c r="DK83" s="308" t="s">
        <v>456</v>
      </c>
      <c r="DL83" s="312">
        <v>5.1900000000000002E-2</v>
      </c>
      <c r="DM83" s="312">
        <v>2.8400000000000001E-3</v>
      </c>
      <c r="DN83" s="308">
        <v>18.3</v>
      </c>
      <c r="DO83" s="312" t="s">
        <v>422</v>
      </c>
      <c r="DP83" s="312">
        <v>2E-16</v>
      </c>
      <c r="DQ83" s="308" t="s">
        <v>389</v>
      </c>
    </row>
    <row r="84" spans="55:121" thickTop="1" thickBot="1" x14ac:dyDescent="0.3">
      <c r="BC84" s="81" t="s">
        <v>423</v>
      </c>
      <c r="BD84" s="167">
        <v>294</v>
      </c>
      <c r="BE84" s="167">
        <v>4.2999999999999997E-2</v>
      </c>
      <c r="BF84" s="81">
        <v>6835.63</v>
      </c>
      <c r="BG84" s="81" t="s">
        <v>388</v>
      </c>
      <c r="BH84" s="81" t="s">
        <v>389</v>
      </c>
      <c r="BQ84" s="81" t="s">
        <v>423</v>
      </c>
      <c r="BR84" s="167">
        <v>292</v>
      </c>
      <c r="BS84" s="167">
        <v>0.36699999999999999</v>
      </c>
      <c r="BT84" s="81">
        <v>796.23</v>
      </c>
      <c r="BU84" s="81" t="s">
        <v>422</v>
      </c>
      <c r="BV84" s="167">
        <v>2E-16</v>
      </c>
      <c r="BW84" s="81" t="s">
        <v>389</v>
      </c>
      <c r="CP84" s="258" t="s">
        <v>442</v>
      </c>
      <c r="CQ84" s="258" t="s">
        <v>308</v>
      </c>
      <c r="CR84" s="259">
        <v>990000000</v>
      </c>
      <c r="CS84" s="259">
        <v>67400000</v>
      </c>
      <c r="CT84" s="258">
        <v>14.7</v>
      </c>
      <c r="CU84" s="259" t="s">
        <v>422</v>
      </c>
      <c r="CV84" s="167">
        <v>2E-16</v>
      </c>
      <c r="CW84" s="81" t="s">
        <v>389</v>
      </c>
      <c r="DJ84" s="308" t="s">
        <v>442</v>
      </c>
      <c r="DK84" s="308" t="s">
        <v>308</v>
      </c>
      <c r="DL84" s="312">
        <v>989000000</v>
      </c>
      <c r="DM84" s="312">
        <v>74300000</v>
      </c>
      <c r="DN84" s="308">
        <v>13.3</v>
      </c>
      <c r="DO84" s="312" t="s">
        <v>422</v>
      </c>
      <c r="DP84" s="312">
        <v>2E-16</v>
      </c>
      <c r="DQ84" s="308" t="s">
        <v>389</v>
      </c>
    </row>
    <row r="85" spans="55:121" thickTop="1" thickBot="1" x14ac:dyDescent="0.3">
      <c r="BC85" s="81" t="s">
        <v>358</v>
      </c>
      <c r="BD85" s="167">
        <v>0.09</v>
      </c>
      <c r="BE85" s="167">
        <v>1.75E-3</v>
      </c>
      <c r="BF85" s="81">
        <v>51.34</v>
      </c>
      <c r="BG85" s="81" t="s">
        <v>388</v>
      </c>
      <c r="BH85" s="81" t="s">
        <v>389</v>
      </c>
      <c r="BQ85" s="81" t="s">
        <v>358</v>
      </c>
      <c r="BR85" s="167">
        <v>1.24E-7</v>
      </c>
      <c r="BS85" s="167">
        <v>2.21E-6</v>
      </c>
      <c r="BT85" s="81">
        <v>0.06</v>
      </c>
      <c r="BU85" s="81">
        <v>0.96</v>
      </c>
      <c r="CP85" s="258" t="s">
        <v>442</v>
      </c>
      <c r="CQ85" s="258" t="s">
        <v>399</v>
      </c>
      <c r="CR85" s="259">
        <v>1810000</v>
      </c>
      <c r="CS85" s="259">
        <v>10000</v>
      </c>
      <c r="CT85" s="258">
        <v>180.04</v>
      </c>
      <c r="CU85" s="258" t="s">
        <v>422</v>
      </c>
      <c r="CV85" s="167">
        <v>2E-16</v>
      </c>
      <c r="CW85" s="81" t="s">
        <v>389</v>
      </c>
      <c r="DJ85" s="308" t="s">
        <v>442</v>
      </c>
      <c r="DK85" s="308" t="s">
        <v>399</v>
      </c>
      <c r="DL85" s="312">
        <v>1440000</v>
      </c>
      <c r="DM85" s="312">
        <v>53700</v>
      </c>
      <c r="DN85" s="308">
        <v>26.76</v>
      </c>
      <c r="DO85" s="308" t="s">
        <v>422</v>
      </c>
      <c r="DP85" s="312">
        <v>2E-16</v>
      </c>
      <c r="DQ85" s="308" t="s">
        <v>389</v>
      </c>
    </row>
    <row r="86" spans="55:121" thickTop="1" thickBot="1" x14ac:dyDescent="0.3">
      <c r="BC86" s="81" t="s">
        <v>360</v>
      </c>
      <c r="BD86" s="167">
        <v>0.192</v>
      </c>
      <c r="BE86" s="167">
        <v>3.5400000000000002E-3</v>
      </c>
      <c r="BF86" s="81">
        <v>54.37</v>
      </c>
      <c r="BG86" s="81" t="s">
        <v>388</v>
      </c>
      <c r="BH86" s="81" t="s">
        <v>389</v>
      </c>
      <c r="BQ86" s="81" t="s">
        <v>360</v>
      </c>
      <c r="BR86" s="167">
        <v>4.1799999999999997E-8</v>
      </c>
      <c r="BS86" s="167">
        <v>8.2999999999999999E-7</v>
      </c>
      <c r="BT86" s="81">
        <v>0.05</v>
      </c>
      <c r="BU86" s="81">
        <v>0.96</v>
      </c>
      <c r="CP86" s="258" t="s">
        <v>442</v>
      </c>
      <c r="CQ86" s="258" t="s">
        <v>301</v>
      </c>
      <c r="CR86" s="259">
        <v>6480000</v>
      </c>
      <c r="CS86" s="259">
        <v>152000</v>
      </c>
      <c r="CT86" s="258">
        <v>42.79</v>
      </c>
      <c r="CU86" s="258" t="s">
        <v>422</v>
      </c>
      <c r="CV86" s="167">
        <v>2E-16</v>
      </c>
      <c r="CW86" s="81" t="s">
        <v>389</v>
      </c>
      <c r="DJ86" s="308" t="s">
        <v>442</v>
      </c>
      <c r="DK86" s="308" t="s">
        <v>301</v>
      </c>
      <c r="DL86" s="312">
        <v>6420000</v>
      </c>
      <c r="DM86" s="312">
        <v>201000</v>
      </c>
      <c r="DN86" s="308">
        <v>31.99</v>
      </c>
      <c r="DO86" s="308" t="s">
        <v>422</v>
      </c>
      <c r="DP86" s="312">
        <v>2E-16</v>
      </c>
      <c r="DQ86" s="308" t="s">
        <v>389</v>
      </c>
    </row>
    <row r="87" spans="55:121" thickTop="1" thickBot="1" x14ac:dyDescent="0.3">
      <c r="BC87" s="81" t="s">
        <v>424</v>
      </c>
      <c r="BD87" s="167">
        <v>8270000</v>
      </c>
      <c r="BE87" s="167">
        <v>124000</v>
      </c>
      <c r="BF87" s="81">
        <v>66.77</v>
      </c>
      <c r="BG87" s="81" t="s">
        <v>388</v>
      </c>
      <c r="BH87" s="81" t="s">
        <v>389</v>
      </c>
      <c r="BQ87" s="81" t="s">
        <v>424</v>
      </c>
      <c r="BR87" s="167">
        <v>19200000</v>
      </c>
      <c r="BS87" s="167">
        <v>2600000</v>
      </c>
      <c r="BT87" s="81">
        <v>7.38</v>
      </c>
      <c r="BU87" s="167">
        <v>2.0999999999999999E-13</v>
      </c>
      <c r="BV87" s="81" t="s">
        <v>389</v>
      </c>
      <c r="CP87" s="258" t="s">
        <v>442</v>
      </c>
      <c r="CQ87" s="258" t="s">
        <v>303</v>
      </c>
      <c r="CR87" s="259">
        <v>38700000</v>
      </c>
      <c r="CS87" s="259">
        <v>1600000</v>
      </c>
      <c r="CT87" s="258">
        <v>24.22</v>
      </c>
      <c r="CU87" s="258" t="s">
        <v>422</v>
      </c>
      <c r="CV87" s="167">
        <v>2E-16</v>
      </c>
      <c r="CW87" s="81" t="s">
        <v>389</v>
      </c>
      <c r="DJ87" s="308" t="s">
        <v>442</v>
      </c>
      <c r="DK87" s="308" t="s">
        <v>303</v>
      </c>
      <c r="DL87" s="312">
        <v>48800000</v>
      </c>
      <c r="DM87" s="312">
        <v>2770000</v>
      </c>
      <c r="DN87" s="308">
        <v>17.62</v>
      </c>
      <c r="DO87" s="308" t="s">
        <v>422</v>
      </c>
      <c r="DP87" s="312">
        <v>2E-16</v>
      </c>
      <c r="DQ87" s="308" t="s">
        <v>389</v>
      </c>
    </row>
    <row r="88" spans="55:121" thickTop="1" thickBot="1" x14ac:dyDescent="0.3">
      <c r="BC88" s="81" t="s">
        <v>364</v>
      </c>
      <c r="BD88" s="167">
        <v>25000000</v>
      </c>
      <c r="BE88" s="167">
        <v>376000</v>
      </c>
      <c r="BF88" s="81">
        <v>66.52</v>
      </c>
      <c r="BG88" s="81" t="s">
        <v>388</v>
      </c>
      <c r="BH88" s="81" t="s">
        <v>389</v>
      </c>
      <c r="CP88" s="258" t="s">
        <v>442</v>
      </c>
      <c r="CQ88" s="258" t="s">
        <v>400</v>
      </c>
      <c r="CR88" s="259">
        <v>-11.9</v>
      </c>
      <c r="CS88" s="259">
        <v>0.60199999999999998</v>
      </c>
      <c r="CT88" s="258">
        <v>-19.75</v>
      </c>
      <c r="CU88" s="258" t="s">
        <v>422</v>
      </c>
      <c r="CV88" s="167">
        <v>2E-16</v>
      </c>
      <c r="CW88" s="81" t="s">
        <v>389</v>
      </c>
      <c r="DJ88" s="308" t="s">
        <v>442</v>
      </c>
      <c r="DK88" s="308" t="s">
        <v>400</v>
      </c>
      <c r="DL88" s="312">
        <v>-8.16</v>
      </c>
      <c r="DM88" s="312">
        <v>0.22</v>
      </c>
      <c r="DN88" s="308">
        <v>-37</v>
      </c>
      <c r="DO88" s="308" t="s">
        <v>422</v>
      </c>
      <c r="DP88" s="312">
        <v>2E-16</v>
      </c>
      <c r="DQ88" s="308" t="s">
        <v>389</v>
      </c>
    </row>
    <row r="89" spans="55:121" thickTop="1" thickBot="1" x14ac:dyDescent="0.3">
      <c r="BC89" s="81" t="s">
        <v>404</v>
      </c>
      <c r="BD89" s="167">
        <v>3.73</v>
      </c>
      <c r="BE89" s="167">
        <v>1.42</v>
      </c>
      <c r="BF89" s="81">
        <v>2.62</v>
      </c>
      <c r="BG89" s="81">
        <v>8.6999999999999994E-3</v>
      </c>
      <c r="BH89" s="81" t="s">
        <v>425</v>
      </c>
      <c r="BQ89" s="81" t="s">
        <v>364</v>
      </c>
      <c r="BR89" s="167">
        <v>65100000</v>
      </c>
      <c r="BS89" s="167">
        <v>33200000</v>
      </c>
      <c r="BT89" s="81">
        <v>1.96</v>
      </c>
      <c r="BU89" s="81">
        <v>0.05</v>
      </c>
      <c r="BV89" s="81" t="s">
        <v>434</v>
      </c>
      <c r="CP89" s="258" t="s">
        <v>442</v>
      </c>
      <c r="CQ89" s="258" t="s">
        <v>401</v>
      </c>
      <c r="CR89" s="259">
        <v>-16</v>
      </c>
      <c r="CS89" s="259">
        <v>715</v>
      </c>
      <c r="CT89" s="258">
        <v>-0.02</v>
      </c>
      <c r="CU89" s="258">
        <v>0.98209999999999997</v>
      </c>
      <c r="DJ89" s="308" t="s">
        <v>442</v>
      </c>
      <c r="DK89" s="308" t="s">
        <v>401</v>
      </c>
      <c r="DL89" s="312">
        <v>-14.3</v>
      </c>
      <c r="DM89" s="312">
        <v>14.2</v>
      </c>
      <c r="DN89" s="308">
        <v>-1.01</v>
      </c>
      <c r="DO89" s="308">
        <v>0.31459999999999999</v>
      </c>
    </row>
    <row r="90" spans="55:121" thickTop="1" thickBot="1" x14ac:dyDescent="0.3">
      <c r="BC90" s="81" t="s">
        <v>426</v>
      </c>
      <c r="BD90" s="167">
        <v>-13.1</v>
      </c>
      <c r="BE90" s="167">
        <v>7.16</v>
      </c>
      <c r="BF90" s="81">
        <v>-1.83</v>
      </c>
      <c r="BG90" s="81">
        <v>6.7599999999999993E-2</v>
      </c>
      <c r="BH90" s="81" t="s">
        <v>427</v>
      </c>
      <c r="BQ90" s="81" t="s">
        <v>404</v>
      </c>
      <c r="BR90" s="167">
        <v>8.17</v>
      </c>
      <c r="BS90" s="167">
        <v>7.2700000000000001E-2</v>
      </c>
      <c r="BT90" s="81">
        <v>112.45</v>
      </c>
      <c r="BU90" s="81" t="s">
        <v>422</v>
      </c>
      <c r="BV90" s="167">
        <v>2E-16</v>
      </c>
      <c r="BW90" s="81" t="s">
        <v>389</v>
      </c>
      <c r="CP90" s="258" t="s">
        <v>442</v>
      </c>
      <c r="CQ90" s="258" t="s">
        <v>402</v>
      </c>
      <c r="CR90" s="259">
        <v>-13.6</v>
      </c>
      <c r="CS90" s="259">
        <v>89</v>
      </c>
      <c r="CT90" s="258">
        <v>-0.15</v>
      </c>
      <c r="CU90" s="258">
        <v>0.87849999999999995</v>
      </c>
      <c r="DJ90" s="308" t="s">
        <v>442</v>
      </c>
      <c r="DK90" s="308" t="s">
        <v>402</v>
      </c>
      <c r="DL90" s="312">
        <v>-13.1</v>
      </c>
      <c r="DM90" s="312">
        <v>22.7</v>
      </c>
      <c r="DN90" s="308">
        <v>-0.57999999999999996</v>
      </c>
      <c r="DO90" s="308">
        <v>0.5635</v>
      </c>
    </row>
    <row r="91" spans="55:121" thickTop="1" thickBot="1" x14ac:dyDescent="0.3">
      <c r="BC91" s="81" t="s">
        <v>428</v>
      </c>
      <c r="BD91" s="167">
        <v>6.5799999999999997E-2</v>
      </c>
      <c r="BE91" s="167">
        <v>7.0699999999999995E-4</v>
      </c>
      <c r="BF91" s="81">
        <v>93.12</v>
      </c>
      <c r="BG91" s="81" t="s">
        <v>388</v>
      </c>
      <c r="BH91" s="81" t="s">
        <v>389</v>
      </c>
      <c r="BQ91" s="81" t="s">
        <v>426</v>
      </c>
      <c r="BR91" s="167">
        <v>7.12</v>
      </c>
      <c r="BS91" s="167">
        <v>0.13500000000000001</v>
      </c>
      <c r="BT91" s="81">
        <v>52.65</v>
      </c>
      <c r="BU91" s="81" t="s">
        <v>422</v>
      </c>
      <c r="BV91" s="167">
        <v>2E-16</v>
      </c>
      <c r="BW91" s="81" t="s">
        <v>389</v>
      </c>
      <c r="CP91" s="258" t="s">
        <v>442</v>
      </c>
      <c r="CQ91" s="258" t="s">
        <v>403</v>
      </c>
      <c r="CR91" s="259">
        <v>-24.1</v>
      </c>
      <c r="CS91" s="259">
        <v>228</v>
      </c>
      <c r="CT91" s="258">
        <v>-0.11</v>
      </c>
      <c r="CU91" s="259">
        <v>0.91569999999999996</v>
      </c>
      <c r="DJ91" s="308" t="s">
        <v>442</v>
      </c>
      <c r="DK91" s="308" t="s">
        <v>403</v>
      </c>
      <c r="DL91" s="312">
        <v>-16.100000000000001</v>
      </c>
      <c r="DM91" s="312">
        <v>37.299999999999997</v>
      </c>
      <c r="DN91" s="308">
        <v>-0.43</v>
      </c>
      <c r="DO91" s="312">
        <v>0.66600000000000004</v>
      </c>
    </row>
    <row r="92" spans="55:121" thickTop="1" thickBot="1" x14ac:dyDescent="0.3">
      <c r="BC92" s="81" t="s">
        <v>429</v>
      </c>
      <c r="BD92" s="167">
        <v>0.11799999999999999</v>
      </c>
      <c r="BE92" s="167">
        <v>1.1299999999999999E-3</v>
      </c>
      <c r="BF92" s="81">
        <v>104.59</v>
      </c>
      <c r="BG92" s="81" t="s">
        <v>388</v>
      </c>
      <c r="BH92" s="81" t="s">
        <v>389</v>
      </c>
      <c r="BQ92" s="81" t="s">
        <v>416</v>
      </c>
      <c r="BR92" s="167">
        <v>-5.0599999999999996</v>
      </c>
      <c r="BS92" s="167">
        <v>5.1200000000000002E-2</v>
      </c>
      <c r="BT92" s="81">
        <v>-98.95</v>
      </c>
      <c r="BU92" s="81" t="s">
        <v>422</v>
      </c>
      <c r="BV92" s="167">
        <v>2E-16</v>
      </c>
      <c r="BW92" s="81" t="s">
        <v>389</v>
      </c>
      <c r="CP92" s="258" t="s">
        <v>442</v>
      </c>
      <c r="CQ92" s="258" t="s">
        <v>405</v>
      </c>
      <c r="CR92" s="259">
        <v>6.5299999999999997E-2</v>
      </c>
      <c r="CS92" s="259">
        <v>5.62E-4</v>
      </c>
      <c r="CT92" s="258">
        <v>116.17</v>
      </c>
      <c r="CU92" s="258" t="s">
        <v>422</v>
      </c>
      <c r="CV92" s="167">
        <v>2E-16</v>
      </c>
      <c r="CW92" s="81" t="s">
        <v>389</v>
      </c>
      <c r="DJ92" s="308" t="s">
        <v>442</v>
      </c>
      <c r="DK92" s="308" t="s">
        <v>405</v>
      </c>
      <c r="DL92" s="312">
        <v>8.5099999999999995E-2</v>
      </c>
      <c r="DM92" s="312">
        <v>8.43E-4</v>
      </c>
      <c r="DN92" s="308">
        <v>100.85</v>
      </c>
      <c r="DO92" s="308" t="s">
        <v>422</v>
      </c>
      <c r="DP92" s="312">
        <v>2E-16</v>
      </c>
      <c r="DQ92" s="308" t="s">
        <v>389</v>
      </c>
    </row>
    <row r="93" spans="55:121" thickTop="1" thickBot="1" x14ac:dyDescent="0.3">
      <c r="BC93" s="81" t="s">
        <v>416</v>
      </c>
      <c r="BD93" s="167">
        <v>-6.92</v>
      </c>
      <c r="BE93" s="167">
        <v>2.1600000000000001E-2</v>
      </c>
      <c r="BF93" s="81">
        <v>-319.69</v>
      </c>
      <c r="BG93" s="81" t="s">
        <v>388</v>
      </c>
      <c r="BH93" s="81" t="s">
        <v>389</v>
      </c>
      <c r="BQ93" s="81" t="s">
        <v>430</v>
      </c>
      <c r="BR93" s="167">
        <v>-4.8899999999999997</v>
      </c>
      <c r="BS93" s="167">
        <v>3.73E-2</v>
      </c>
      <c r="BT93" s="81">
        <v>-131.12</v>
      </c>
      <c r="BU93" s="81" t="s">
        <v>422</v>
      </c>
      <c r="BV93" s="167">
        <v>2E-16</v>
      </c>
      <c r="BW93" s="81" t="s">
        <v>389</v>
      </c>
      <c r="CP93" s="258" t="s">
        <v>442</v>
      </c>
      <c r="CQ93" s="258" t="s">
        <v>406</v>
      </c>
      <c r="CR93" s="259">
        <v>0.215</v>
      </c>
      <c r="CS93" s="259">
        <v>1.2700000000000001E-3</v>
      </c>
      <c r="CT93" s="258">
        <v>169.98</v>
      </c>
      <c r="CU93" s="258" t="s">
        <v>422</v>
      </c>
      <c r="CV93" s="167">
        <v>2E-16</v>
      </c>
      <c r="CW93" s="81" t="s">
        <v>389</v>
      </c>
      <c r="DJ93" s="308" t="s">
        <v>442</v>
      </c>
      <c r="DK93" s="308" t="s">
        <v>406</v>
      </c>
      <c r="DL93" s="312">
        <v>0.24099999999999999</v>
      </c>
      <c r="DM93" s="312">
        <v>1.9E-3</v>
      </c>
      <c r="DN93" s="308">
        <v>126.81</v>
      </c>
      <c r="DO93" s="308" t="s">
        <v>422</v>
      </c>
      <c r="DP93" s="312">
        <v>2E-16</v>
      </c>
      <c r="DQ93" s="308" t="s">
        <v>389</v>
      </c>
    </row>
    <row r="94" spans="55:121" thickTop="1" thickBot="1" x14ac:dyDescent="0.3">
      <c r="BC94" s="81" t="s">
        <v>430</v>
      </c>
      <c r="BD94" s="167">
        <v>-6.23</v>
      </c>
      <c r="BE94" s="167">
        <v>3.3000000000000002E-2</v>
      </c>
      <c r="BF94" s="81">
        <v>-188.82</v>
      </c>
      <c r="BG94" s="81" t="s">
        <v>388</v>
      </c>
      <c r="BH94" s="81" t="s">
        <v>389</v>
      </c>
      <c r="BQ94" s="81" t="s">
        <v>370</v>
      </c>
      <c r="BR94" s="167">
        <v>198</v>
      </c>
      <c r="BS94" s="167">
        <v>4.01</v>
      </c>
      <c r="BT94" s="81">
        <v>49.45</v>
      </c>
      <c r="BU94" s="81" t="s">
        <v>422</v>
      </c>
      <c r="BV94" s="167">
        <v>2E-16</v>
      </c>
      <c r="BW94" s="81" t="s">
        <v>389</v>
      </c>
      <c r="CP94" s="258" t="s">
        <v>442</v>
      </c>
      <c r="CQ94" s="258" t="s">
        <v>407</v>
      </c>
      <c r="CR94" s="259">
        <v>0.68300000000000005</v>
      </c>
      <c r="CS94" s="259">
        <v>1.97E-3</v>
      </c>
      <c r="CT94" s="258">
        <v>347.47</v>
      </c>
      <c r="CU94" s="258" t="s">
        <v>422</v>
      </c>
      <c r="CV94" s="167">
        <v>2E-16</v>
      </c>
      <c r="CW94" s="81" t="s">
        <v>389</v>
      </c>
      <c r="DJ94" s="308" t="s">
        <v>442</v>
      </c>
      <c r="DK94" s="308" t="s">
        <v>407</v>
      </c>
      <c r="DL94" s="312">
        <v>0.58299999999999996</v>
      </c>
      <c r="DM94" s="312">
        <v>6.2399999999999999E-3</v>
      </c>
      <c r="DN94" s="308">
        <v>93.49</v>
      </c>
      <c r="DO94" s="308" t="s">
        <v>422</v>
      </c>
      <c r="DP94" s="312">
        <v>2E-16</v>
      </c>
      <c r="DQ94" s="308" t="s">
        <v>389</v>
      </c>
    </row>
    <row r="95" spans="55:121" thickTop="1" thickBot="1" x14ac:dyDescent="0.3">
      <c r="BC95" s="81" t="s">
        <v>370</v>
      </c>
      <c r="BD95" s="167">
        <v>502</v>
      </c>
      <c r="BE95" s="167">
        <v>7.41</v>
      </c>
      <c r="BF95" s="81">
        <v>67.760000000000005</v>
      </c>
      <c r="BG95" s="81" t="s">
        <v>388</v>
      </c>
      <c r="BH95" s="81" t="s">
        <v>389</v>
      </c>
      <c r="BQ95" s="81" t="s">
        <v>372</v>
      </c>
      <c r="BR95" s="167">
        <v>3.48E-4</v>
      </c>
      <c r="BS95" s="167">
        <v>3.0400000000000002E-3</v>
      </c>
      <c r="BT95" s="81">
        <v>0.11</v>
      </c>
      <c r="BU95" s="81">
        <v>0.91</v>
      </c>
      <c r="CP95" s="258" t="s">
        <v>442</v>
      </c>
      <c r="CQ95" s="258" t="s">
        <v>408</v>
      </c>
      <c r="CR95" s="259">
        <v>2.6800000000000001E-2</v>
      </c>
      <c r="CS95" s="259">
        <v>1.4300000000000001E-4</v>
      </c>
      <c r="CT95" s="258">
        <v>186.8</v>
      </c>
      <c r="CU95" s="258" t="s">
        <v>422</v>
      </c>
      <c r="CV95" s="167">
        <v>2E-16</v>
      </c>
      <c r="CW95" s="81" t="s">
        <v>389</v>
      </c>
      <c r="DJ95" s="308" t="s">
        <v>442</v>
      </c>
      <c r="DK95" s="308" t="s">
        <v>408</v>
      </c>
      <c r="DL95" s="312">
        <v>3.0300000000000001E-2</v>
      </c>
      <c r="DM95" s="312">
        <v>1.9900000000000001E-4</v>
      </c>
      <c r="DN95" s="308">
        <v>152.72999999999999</v>
      </c>
      <c r="DO95" s="308" t="s">
        <v>422</v>
      </c>
      <c r="DP95" s="312">
        <v>2E-16</v>
      </c>
      <c r="DQ95" s="308" t="s">
        <v>389</v>
      </c>
    </row>
    <row r="96" spans="55:121" thickTop="1" thickBot="1" x14ac:dyDescent="0.3">
      <c r="BC96" s="81" t="s">
        <v>372</v>
      </c>
      <c r="BD96" s="167">
        <v>393</v>
      </c>
      <c r="BE96" s="167">
        <v>5.6</v>
      </c>
      <c r="BF96" s="81">
        <v>70.16</v>
      </c>
      <c r="BG96" s="81" t="s">
        <v>388</v>
      </c>
      <c r="BH96" s="81" t="s">
        <v>389</v>
      </c>
      <c r="BQ96" s="81" t="s">
        <v>374</v>
      </c>
      <c r="BR96" s="167">
        <v>221</v>
      </c>
      <c r="BS96" s="167">
        <v>3.53</v>
      </c>
      <c r="BT96" s="81">
        <v>62.76</v>
      </c>
      <c r="BU96" s="81" t="s">
        <v>422</v>
      </c>
      <c r="BV96" s="167">
        <v>2E-16</v>
      </c>
      <c r="BW96" s="81" t="s">
        <v>389</v>
      </c>
      <c r="CP96" s="258" t="s">
        <v>442</v>
      </c>
      <c r="CQ96" s="258" t="s">
        <v>410</v>
      </c>
      <c r="CR96" s="259">
        <v>180</v>
      </c>
      <c r="CS96" s="259">
        <v>1.25</v>
      </c>
      <c r="CT96" s="258">
        <v>143.84</v>
      </c>
      <c r="CU96" s="258" t="s">
        <v>422</v>
      </c>
      <c r="CV96" s="167">
        <v>2E-16</v>
      </c>
      <c r="CW96" s="81" t="s">
        <v>389</v>
      </c>
      <c r="DJ96" s="308" t="s">
        <v>442</v>
      </c>
      <c r="DK96" s="308" t="s">
        <v>410</v>
      </c>
      <c r="DL96" s="312">
        <v>147</v>
      </c>
      <c r="DM96" s="312">
        <v>1.85</v>
      </c>
      <c r="DN96" s="308">
        <v>79.63</v>
      </c>
      <c r="DO96" s="308" t="s">
        <v>422</v>
      </c>
      <c r="DP96" s="312">
        <v>2E-16</v>
      </c>
      <c r="DQ96" s="308" t="s">
        <v>389</v>
      </c>
    </row>
    <row r="97" spans="55:121" thickTop="1" thickBot="1" x14ac:dyDescent="0.3">
      <c r="BC97" s="81" t="s">
        <v>374</v>
      </c>
      <c r="BD97" s="167">
        <v>506</v>
      </c>
      <c r="BE97" s="167">
        <v>2.4900000000000002</v>
      </c>
      <c r="BF97" s="81">
        <v>203.18</v>
      </c>
      <c r="BG97" s="81" t="s">
        <v>388</v>
      </c>
      <c r="BH97" s="81" t="s">
        <v>389</v>
      </c>
      <c r="CP97" s="258" t="s">
        <v>442</v>
      </c>
      <c r="CQ97" s="258" t="s">
        <v>295</v>
      </c>
      <c r="CR97" s="259">
        <v>521</v>
      </c>
      <c r="CS97" s="259">
        <v>3.19</v>
      </c>
      <c r="CT97" s="258">
        <v>163.22999999999999</v>
      </c>
      <c r="CU97" s="258" t="s">
        <v>422</v>
      </c>
      <c r="CV97" s="167">
        <v>2E-16</v>
      </c>
      <c r="CW97" s="81" t="s">
        <v>389</v>
      </c>
      <c r="DJ97" s="308" t="s">
        <v>442</v>
      </c>
      <c r="DK97" s="308" t="s">
        <v>295</v>
      </c>
      <c r="DL97" s="312">
        <v>542</v>
      </c>
      <c r="DM97" s="312">
        <v>3.97</v>
      </c>
      <c r="DN97" s="308">
        <v>136.30000000000001</v>
      </c>
      <c r="DO97" s="308" t="s">
        <v>422</v>
      </c>
      <c r="DP97" s="312">
        <v>2E-16</v>
      </c>
      <c r="DQ97" s="308" t="s">
        <v>389</v>
      </c>
    </row>
    <row r="98" spans="55:121" thickTop="1" thickBot="1" x14ac:dyDescent="0.3">
      <c r="CP98" s="258" t="s">
        <v>442</v>
      </c>
      <c r="CQ98" s="258" t="s">
        <v>120</v>
      </c>
      <c r="CR98" s="259">
        <v>36.1</v>
      </c>
      <c r="CS98" s="259">
        <v>0.17699999999999999</v>
      </c>
      <c r="CT98" s="258">
        <v>203.65</v>
      </c>
      <c r="CU98" s="258" t="s">
        <v>422</v>
      </c>
      <c r="CV98" s="167">
        <v>2E-16</v>
      </c>
      <c r="CW98" s="81" t="s">
        <v>389</v>
      </c>
      <c r="DJ98" s="308" t="s">
        <v>442</v>
      </c>
      <c r="DK98" s="308" t="s">
        <v>120</v>
      </c>
      <c r="DL98" s="312">
        <v>30.3</v>
      </c>
      <c r="DM98" s="312">
        <v>0.76700000000000002</v>
      </c>
      <c r="DN98" s="308">
        <v>39.46</v>
      </c>
      <c r="DO98" s="308" t="s">
        <v>422</v>
      </c>
      <c r="DP98" s="312">
        <v>2E-16</v>
      </c>
      <c r="DQ98" s="308" t="s">
        <v>389</v>
      </c>
    </row>
    <row r="99" spans="55:121" thickTop="1" thickBot="1" x14ac:dyDescent="0.3">
      <c r="CP99" s="258" t="s">
        <v>442</v>
      </c>
      <c r="CQ99" s="258" t="s">
        <v>412</v>
      </c>
      <c r="CR99" s="259">
        <v>-7.11</v>
      </c>
      <c r="CS99" s="259">
        <v>1.8499999999999999E-2</v>
      </c>
      <c r="CT99" s="258">
        <v>-383.23</v>
      </c>
      <c r="CU99" s="258" t="s">
        <v>422</v>
      </c>
      <c r="CV99" s="167">
        <v>2E-16</v>
      </c>
      <c r="CW99" s="81" t="s">
        <v>389</v>
      </c>
      <c r="DJ99" s="308" t="s">
        <v>442</v>
      </c>
      <c r="DK99" s="308" t="s">
        <v>412</v>
      </c>
      <c r="DL99" s="312">
        <v>-5.33</v>
      </c>
      <c r="DM99" s="312">
        <v>2.52E-2</v>
      </c>
      <c r="DN99" s="308">
        <v>-211.1</v>
      </c>
      <c r="DO99" s="308" t="s">
        <v>422</v>
      </c>
      <c r="DP99" s="312">
        <v>2E-16</v>
      </c>
      <c r="DQ99" s="308" t="s">
        <v>389</v>
      </c>
    </row>
    <row r="100" spans="55:121" thickTop="1" thickBot="1" x14ac:dyDescent="0.3">
      <c r="CP100" s="258" t="s">
        <v>442</v>
      </c>
      <c r="CQ100" s="258" t="s">
        <v>413</v>
      </c>
      <c r="CR100" s="259">
        <v>-6.61</v>
      </c>
      <c r="CS100" s="259">
        <v>1.54E-2</v>
      </c>
      <c r="CT100" s="258">
        <v>-427.83</v>
      </c>
      <c r="CU100" s="258" t="s">
        <v>422</v>
      </c>
      <c r="CV100" s="167">
        <v>2E-16</v>
      </c>
      <c r="CW100" s="81" t="s">
        <v>389</v>
      </c>
      <c r="DJ100" s="308" t="s">
        <v>442</v>
      </c>
      <c r="DK100" s="308" t="s">
        <v>413</v>
      </c>
      <c r="DL100" s="312">
        <v>-6.19</v>
      </c>
      <c r="DM100" s="312">
        <v>2.4E-2</v>
      </c>
      <c r="DN100" s="308">
        <v>-258.36</v>
      </c>
      <c r="DO100" s="308" t="s">
        <v>422</v>
      </c>
      <c r="DP100" s="312">
        <v>2E-16</v>
      </c>
      <c r="DQ100" s="308" t="s">
        <v>389</v>
      </c>
    </row>
    <row r="101" spans="55:121" thickTop="1" thickBot="1" x14ac:dyDescent="0.3">
      <c r="CP101" s="258" t="s">
        <v>442</v>
      </c>
      <c r="CQ101" s="258" t="s">
        <v>414</v>
      </c>
      <c r="CR101" s="259">
        <v>-6.92</v>
      </c>
      <c r="CS101" s="259">
        <v>1.67E-2</v>
      </c>
      <c r="CT101" s="258">
        <v>-413.42</v>
      </c>
      <c r="CU101" s="258" t="s">
        <v>422</v>
      </c>
      <c r="CV101" s="167">
        <v>2E-16</v>
      </c>
      <c r="CW101" s="81" t="s">
        <v>389</v>
      </c>
      <c r="DJ101" s="308" t="s">
        <v>442</v>
      </c>
      <c r="DK101" s="308" t="s">
        <v>414</v>
      </c>
      <c r="DL101" s="312">
        <v>-6.89</v>
      </c>
      <c r="DM101" s="312">
        <v>2.69E-2</v>
      </c>
      <c r="DN101" s="308">
        <v>-256.12</v>
      </c>
      <c r="DO101" s="308" t="s">
        <v>422</v>
      </c>
      <c r="DP101" s="312">
        <v>2E-16</v>
      </c>
      <c r="DQ101" s="308" t="s">
        <v>389</v>
      </c>
    </row>
    <row r="102" spans="55:121" thickTop="1" thickBot="1" x14ac:dyDescent="0.3">
      <c r="CP102" s="258" t="s">
        <v>442</v>
      </c>
      <c r="CQ102" s="258" t="s">
        <v>415</v>
      </c>
      <c r="CR102" s="259">
        <v>-6.28</v>
      </c>
      <c r="CS102" s="259">
        <v>1.7299999999999999E-2</v>
      </c>
      <c r="CT102" s="258">
        <v>-362.64</v>
      </c>
      <c r="CU102" s="258" t="s">
        <v>422</v>
      </c>
      <c r="CV102" s="167">
        <v>2E-16</v>
      </c>
      <c r="CW102" s="81" t="s">
        <v>389</v>
      </c>
      <c r="DJ102" s="308" t="s">
        <v>442</v>
      </c>
      <c r="DK102" s="308" t="s">
        <v>415</v>
      </c>
      <c r="DL102" s="312">
        <v>-6.1</v>
      </c>
      <c r="DM102" s="312">
        <v>2.4899999999999999E-2</v>
      </c>
      <c r="DN102" s="308">
        <v>-244.84</v>
      </c>
      <c r="DO102" s="308" t="s">
        <v>422</v>
      </c>
      <c r="DP102" s="312">
        <v>2E-16</v>
      </c>
      <c r="DQ102" s="308" t="s">
        <v>389</v>
      </c>
    </row>
    <row r="103" spans="55:121" thickTop="1" thickBot="1" x14ac:dyDescent="0.3">
      <c r="CP103" s="258" t="s">
        <v>442</v>
      </c>
      <c r="CQ103" s="258" t="s">
        <v>417</v>
      </c>
      <c r="CR103" s="259">
        <v>6.6600000000000001E-3</v>
      </c>
      <c r="CS103" s="259">
        <v>4.9499999999999997E-5</v>
      </c>
      <c r="CT103" s="258">
        <v>134.44999999999999</v>
      </c>
      <c r="CU103" s="258" t="s">
        <v>422</v>
      </c>
      <c r="CV103" s="167">
        <v>2E-16</v>
      </c>
      <c r="CW103" s="81" t="s">
        <v>389</v>
      </c>
      <c r="DJ103" s="308" t="s">
        <v>442</v>
      </c>
      <c r="DK103" s="308" t="s">
        <v>417</v>
      </c>
      <c r="DL103" s="312">
        <v>5.7600000000000004E-3</v>
      </c>
      <c r="DM103" s="312">
        <v>8.4699999999999999E-5</v>
      </c>
      <c r="DN103" s="308">
        <v>68.010000000000005</v>
      </c>
      <c r="DO103" s="308" t="s">
        <v>422</v>
      </c>
      <c r="DP103" s="312">
        <v>2E-16</v>
      </c>
      <c r="DQ103" s="308" t="s">
        <v>389</v>
      </c>
    </row>
    <row r="104" spans="55:121" thickTop="1" thickBot="1" x14ac:dyDescent="0.3">
      <c r="CP104" s="258" t="s">
        <v>442</v>
      </c>
      <c r="CQ104" s="258" t="s">
        <v>418</v>
      </c>
      <c r="CR104" s="259">
        <v>32.6</v>
      </c>
      <c r="CS104" s="259">
        <v>0.35199999999999998</v>
      </c>
      <c r="CT104" s="258">
        <v>92.51</v>
      </c>
      <c r="CU104" s="258" t="s">
        <v>422</v>
      </c>
      <c r="CV104" s="167">
        <v>2E-16</v>
      </c>
      <c r="CW104" s="81" t="s">
        <v>389</v>
      </c>
      <c r="DJ104" s="308" t="s">
        <v>442</v>
      </c>
      <c r="DK104" s="308" t="s">
        <v>418</v>
      </c>
      <c r="DL104" s="312">
        <v>32.4</v>
      </c>
      <c r="DM104" s="312">
        <v>0.42</v>
      </c>
      <c r="DN104" s="308">
        <v>77.3</v>
      </c>
      <c r="DO104" s="308" t="s">
        <v>422</v>
      </c>
      <c r="DP104" s="312">
        <v>2E-16</v>
      </c>
      <c r="DQ104" s="308" t="s">
        <v>389</v>
      </c>
    </row>
    <row r="105" spans="55:121" thickTop="1" thickBot="1" x14ac:dyDescent="0.3">
      <c r="CP105" s="258" t="s">
        <v>442</v>
      </c>
      <c r="CQ105" s="258" t="s">
        <v>419</v>
      </c>
      <c r="CR105" s="259">
        <v>579</v>
      </c>
      <c r="CS105" s="259">
        <v>282</v>
      </c>
      <c r="CT105" s="258">
        <v>2.0499999999999998</v>
      </c>
      <c r="CU105" s="259">
        <v>4.02E-2</v>
      </c>
      <c r="CV105" s="81" t="s">
        <v>434</v>
      </c>
      <c r="DJ105" s="308" t="s">
        <v>442</v>
      </c>
      <c r="DK105" s="308" t="s">
        <v>419</v>
      </c>
      <c r="DL105" s="312">
        <v>1510</v>
      </c>
      <c r="DM105" s="312">
        <v>367</v>
      </c>
      <c r="DN105" s="308">
        <v>4.0999999999999996</v>
      </c>
      <c r="DO105" s="312">
        <v>4.1999999999999998E-5</v>
      </c>
      <c r="DP105" s="308" t="s">
        <v>389</v>
      </c>
    </row>
    <row r="106" spans="55:121" thickTop="1" thickBot="1" x14ac:dyDescent="0.3">
      <c r="CP106" s="258" t="s">
        <v>442</v>
      </c>
      <c r="CQ106" s="258" t="s">
        <v>461</v>
      </c>
      <c r="DJ106" s="308" t="s">
        <v>442</v>
      </c>
      <c r="DK106" s="308" t="s">
        <v>461</v>
      </c>
    </row>
    <row r="107" spans="55:121" thickTop="1" thickBot="1" x14ac:dyDescent="0.3">
      <c r="CP107" s="258" t="s">
        <v>442</v>
      </c>
      <c r="CQ107" s="258" t="s">
        <v>462</v>
      </c>
      <c r="CR107" s="258" t="s">
        <v>463</v>
      </c>
      <c r="CS107" s="258">
        <v>0</v>
      </c>
      <c r="CT107" s="258" t="s">
        <v>464</v>
      </c>
      <c r="CU107" s="258">
        <v>1E-3</v>
      </c>
      <c r="CV107" s="81" t="s">
        <v>465</v>
      </c>
      <c r="CW107" s="81">
        <v>0.01</v>
      </c>
      <c r="DJ107" s="308" t="s">
        <v>442</v>
      </c>
      <c r="DK107" s="308" t="s">
        <v>462</v>
      </c>
      <c r="DL107" s="308" t="s">
        <v>463</v>
      </c>
      <c r="DM107" s="308">
        <v>0</v>
      </c>
      <c r="DN107" s="308" t="s">
        <v>464</v>
      </c>
      <c r="DO107" s="308">
        <v>1E-3</v>
      </c>
      <c r="DP107" s="308" t="s">
        <v>465</v>
      </c>
      <c r="DQ107" s="308">
        <v>0.01</v>
      </c>
    </row>
    <row r="109" spans="55:121" thickTop="1" thickBot="1" x14ac:dyDescent="0.3">
      <c r="CP109" s="258" t="s">
        <v>442</v>
      </c>
      <c r="CQ109" s="258" t="s">
        <v>433</v>
      </c>
      <c r="CR109" s="258" t="s">
        <v>435</v>
      </c>
      <c r="DJ109" s="308" t="s">
        <v>442</v>
      </c>
      <c r="DK109" s="308" t="s">
        <v>433</v>
      </c>
      <c r="DL109" s="308" t="s">
        <v>435</v>
      </c>
    </row>
    <row r="110" spans="55:121" thickTop="1" thickBot="1" x14ac:dyDescent="0.3">
      <c r="CP110" s="258" t="s">
        <v>442</v>
      </c>
      <c r="CQ110" s="258" t="s">
        <v>380</v>
      </c>
      <c r="DJ110" s="308" t="s">
        <v>442</v>
      </c>
      <c r="DK110" s="308" t="s">
        <v>380</v>
      </c>
    </row>
    <row r="111" spans="55:121" thickTop="1" thickBot="1" x14ac:dyDescent="0.3">
      <c r="CP111" s="258" t="s">
        <v>442</v>
      </c>
      <c r="CQ111" s="258" t="s">
        <v>381</v>
      </c>
      <c r="CR111" s="258" t="s">
        <v>382</v>
      </c>
      <c r="CS111" s="258" t="s">
        <v>383</v>
      </c>
      <c r="CT111" s="258" t="s">
        <v>384</v>
      </c>
      <c r="CU111" s="258" t="s">
        <v>385</v>
      </c>
      <c r="CV111" s="81" t="s">
        <v>386</v>
      </c>
      <c r="DJ111" s="308" t="s">
        <v>442</v>
      </c>
      <c r="DK111" s="308" t="s">
        <v>381</v>
      </c>
      <c r="DL111" s="308" t="s">
        <v>382</v>
      </c>
      <c r="DM111" s="308" t="s">
        <v>383</v>
      </c>
      <c r="DN111" s="308" t="s">
        <v>384</v>
      </c>
      <c r="DO111" s="308" t="s">
        <v>385</v>
      </c>
      <c r="DP111" s="308" t="s">
        <v>386</v>
      </c>
    </row>
    <row r="112" spans="55:121" thickTop="1" thickBot="1" x14ac:dyDescent="0.3">
      <c r="CP112" s="258" t="s">
        <v>442</v>
      </c>
      <c r="CQ112" s="258" t="s">
        <v>436</v>
      </c>
      <c r="CR112" s="259">
        <v>292</v>
      </c>
      <c r="CS112" s="259">
        <v>5.5500000000000001E-2</v>
      </c>
      <c r="CT112" s="258">
        <v>5264.37</v>
      </c>
      <c r="CU112" s="258" t="s">
        <v>388</v>
      </c>
      <c r="CV112" s="167" t="s">
        <v>389</v>
      </c>
      <c r="CW112" s="81" t="s">
        <v>389</v>
      </c>
      <c r="DJ112" s="308" t="s">
        <v>442</v>
      </c>
      <c r="DK112" s="308" t="s">
        <v>436</v>
      </c>
      <c r="DL112" s="312">
        <v>293</v>
      </c>
      <c r="DM112" s="312">
        <v>1.49E-2</v>
      </c>
      <c r="DN112" s="308">
        <v>19713.77</v>
      </c>
      <c r="DO112" s="308" t="s">
        <v>388</v>
      </c>
      <c r="DP112" s="312" t="s">
        <v>389</v>
      </c>
      <c r="DQ112" s="308" t="s">
        <v>389</v>
      </c>
    </row>
    <row r="113" spans="94:121" thickTop="1" thickBot="1" x14ac:dyDescent="0.3">
      <c r="CP113" s="258" t="s">
        <v>442</v>
      </c>
      <c r="CQ113" s="258" t="s">
        <v>423</v>
      </c>
      <c r="CR113" s="259">
        <v>297</v>
      </c>
      <c r="CS113" s="259">
        <v>8.6099999999999996E-2</v>
      </c>
      <c r="CT113" s="258">
        <v>3455.46</v>
      </c>
      <c r="CU113" s="258" t="s">
        <v>388</v>
      </c>
      <c r="CV113" s="167" t="s">
        <v>389</v>
      </c>
      <c r="CW113" s="81" t="s">
        <v>389</v>
      </c>
      <c r="DJ113" s="308" t="s">
        <v>442</v>
      </c>
      <c r="DK113" s="308" t="s">
        <v>423</v>
      </c>
      <c r="DL113" s="312">
        <v>292</v>
      </c>
      <c r="DM113" s="312">
        <v>2.6700000000000002E-2</v>
      </c>
      <c r="DN113" s="308">
        <v>10924.87</v>
      </c>
      <c r="DO113" s="308" t="s">
        <v>388</v>
      </c>
      <c r="DP113" s="312" t="s">
        <v>389</v>
      </c>
      <c r="DQ113" s="308" t="s">
        <v>389</v>
      </c>
    </row>
    <row r="114" spans="94:121" thickTop="1" thickBot="1" x14ac:dyDescent="0.3">
      <c r="CP114" s="258" t="s">
        <v>442</v>
      </c>
      <c r="CQ114" s="258" t="s">
        <v>358</v>
      </c>
      <c r="CR114" s="259">
        <v>0.17899999999999999</v>
      </c>
      <c r="CS114" s="259">
        <v>2.82E-3</v>
      </c>
      <c r="CT114" s="258">
        <v>63.65</v>
      </c>
      <c r="CU114" s="258" t="s">
        <v>388</v>
      </c>
      <c r="CV114" s="81" t="s">
        <v>389</v>
      </c>
      <c r="DJ114" s="308" t="s">
        <v>442</v>
      </c>
      <c r="DK114" s="308" t="s">
        <v>424</v>
      </c>
      <c r="DL114" s="312">
        <v>11200000</v>
      </c>
      <c r="DM114" s="312">
        <v>156000</v>
      </c>
      <c r="DN114" s="308">
        <v>71.66</v>
      </c>
      <c r="DO114" s="308" t="s">
        <v>388</v>
      </c>
      <c r="DP114" s="308" t="s">
        <v>389</v>
      </c>
    </row>
    <row r="115" spans="94:121" thickTop="1" thickBot="1" x14ac:dyDescent="0.3">
      <c r="CP115" s="258" t="s">
        <v>442</v>
      </c>
      <c r="CQ115" s="258" t="s">
        <v>360</v>
      </c>
      <c r="CR115" s="259">
        <v>7.7899999999999997E-2</v>
      </c>
      <c r="CS115" s="259">
        <v>1.33E-3</v>
      </c>
      <c r="CT115" s="258">
        <v>58.46</v>
      </c>
      <c r="CU115" s="258" t="s">
        <v>388</v>
      </c>
      <c r="CV115" s="81" t="s">
        <v>389</v>
      </c>
      <c r="DJ115" s="308" t="s">
        <v>442</v>
      </c>
      <c r="DK115" s="308" t="s">
        <v>364</v>
      </c>
      <c r="DL115" s="312">
        <v>2620000</v>
      </c>
      <c r="DM115" s="312">
        <v>95900</v>
      </c>
      <c r="DN115" s="308">
        <v>27.33</v>
      </c>
      <c r="DO115" s="308" t="s">
        <v>388</v>
      </c>
      <c r="DP115" s="308" t="s">
        <v>389</v>
      </c>
    </row>
    <row r="116" spans="94:121" thickTop="1" thickBot="1" x14ac:dyDescent="0.3">
      <c r="CP116" s="258" t="s">
        <v>442</v>
      </c>
      <c r="CQ116" s="258" t="s">
        <v>424</v>
      </c>
      <c r="CR116" s="259">
        <v>996000000</v>
      </c>
      <c r="CS116" s="259">
        <v>21800000</v>
      </c>
      <c r="CT116" s="258">
        <v>45.75</v>
      </c>
      <c r="CU116" s="259" t="s">
        <v>388</v>
      </c>
      <c r="CV116" s="81" t="s">
        <v>389</v>
      </c>
      <c r="DJ116" s="308" t="s">
        <v>442</v>
      </c>
      <c r="DK116" s="308" t="s">
        <v>404</v>
      </c>
      <c r="DL116" s="312">
        <v>-13.4</v>
      </c>
      <c r="DM116" s="312">
        <v>8.32</v>
      </c>
      <c r="DN116" s="308">
        <v>-1.61</v>
      </c>
      <c r="DO116" s="312">
        <v>0.11</v>
      </c>
    </row>
    <row r="117" spans="94:121" thickTop="1" thickBot="1" x14ac:dyDescent="0.3">
      <c r="CP117" s="258" t="s">
        <v>442</v>
      </c>
      <c r="CQ117" s="258" t="s">
        <v>364</v>
      </c>
      <c r="CR117" s="259">
        <v>989000000</v>
      </c>
      <c r="CS117" s="259">
        <v>82300000</v>
      </c>
      <c r="CT117" s="258">
        <v>12.02</v>
      </c>
      <c r="CU117" s="258" t="s">
        <v>388</v>
      </c>
      <c r="CV117" s="81" t="s">
        <v>389</v>
      </c>
      <c r="DJ117" s="308" t="s">
        <v>442</v>
      </c>
      <c r="DK117" s="308" t="s">
        <v>426</v>
      </c>
      <c r="DL117" s="312">
        <v>-14.1</v>
      </c>
      <c r="DM117" s="312">
        <v>9.2100000000000009</v>
      </c>
      <c r="DN117" s="308">
        <v>-1.53</v>
      </c>
      <c r="DO117" s="308">
        <v>0.13</v>
      </c>
    </row>
    <row r="118" spans="94:121" thickTop="1" thickBot="1" x14ac:dyDescent="0.3">
      <c r="CP118" s="258" t="s">
        <v>442</v>
      </c>
      <c r="CQ118" s="258" t="s">
        <v>404</v>
      </c>
      <c r="CR118" s="259">
        <v>-16.600000000000001</v>
      </c>
      <c r="CS118" s="259">
        <v>4.7699999999999996</v>
      </c>
      <c r="CT118" s="258">
        <v>-3.48</v>
      </c>
      <c r="CU118" s="258">
        <v>5.0000000000000001E-4</v>
      </c>
      <c r="CV118" s="167" t="s">
        <v>389</v>
      </c>
      <c r="CW118" s="81" t="s">
        <v>389</v>
      </c>
      <c r="DJ118" s="308" t="s">
        <v>442</v>
      </c>
      <c r="DK118" s="308" t="s">
        <v>416</v>
      </c>
      <c r="DL118" s="312">
        <v>-7.98</v>
      </c>
      <c r="DM118" s="312">
        <v>2.1999999999999999E-2</v>
      </c>
      <c r="DN118" s="308">
        <v>-363.26</v>
      </c>
      <c r="DO118" s="308" t="s">
        <v>388</v>
      </c>
      <c r="DP118" s="312" t="s">
        <v>389</v>
      </c>
      <c r="DQ118" s="308" t="s">
        <v>389</v>
      </c>
    </row>
    <row r="119" spans="94:121" thickTop="1" thickBot="1" x14ac:dyDescent="0.3">
      <c r="CP119" s="258" t="s">
        <v>442</v>
      </c>
      <c r="CQ119" s="258" t="s">
        <v>426</v>
      </c>
      <c r="CR119" s="259">
        <v>-21.1</v>
      </c>
      <c r="CS119" s="259">
        <v>45.1</v>
      </c>
      <c r="CT119" s="258">
        <v>-0.47</v>
      </c>
      <c r="CU119" s="258">
        <v>0.63919999999999999</v>
      </c>
      <c r="CV119" s="167"/>
      <c r="CW119" s="81" t="s">
        <v>389</v>
      </c>
      <c r="DJ119" s="308" t="s">
        <v>442</v>
      </c>
      <c r="DK119" s="308" t="s">
        <v>430</v>
      </c>
      <c r="DL119" s="312">
        <v>-7.19</v>
      </c>
      <c r="DM119" s="312">
        <v>2.7300000000000001E-2</v>
      </c>
      <c r="DN119" s="308">
        <v>-262.8</v>
      </c>
      <c r="DO119" s="308" t="s">
        <v>388</v>
      </c>
      <c r="DP119" s="312" t="s">
        <v>389</v>
      </c>
      <c r="DQ119" s="308" t="s">
        <v>389</v>
      </c>
    </row>
    <row r="120" spans="94:121" thickTop="1" thickBot="1" x14ac:dyDescent="0.3">
      <c r="CP120" s="258" t="s">
        <v>442</v>
      </c>
      <c r="CQ120" s="258" t="s">
        <v>428</v>
      </c>
      <c r="CR120" s="259">
        <v>4.8300000000000003E-2</v>
      </c>
      <c r="CS120" s="259">
        <v>1.7899999999999999E-4</v>
      </c>
      <c r="CT120" s="258">
        <v>269.57</v>
      </c>
      <c r="CU120" s="258" t="s">
        <v>388</v>
      </c>
      <c r="CV120" s="167" t="s">
        <v>389</v>
      </c>
      <c r="CW120" s="81" t="s">
        <v>389</v>
      </c>
      <c r="DJ120" s="308" t="s">
        <v>442</v>
      </c>
      <c r="DK120" s="308" t="s">
        <v>370</v>
      </c>
      <c r="DL120" s="312">
        <v>991</v>
      </c>
      <c r="DM120" s="312">
        <v>7.89</v>
      </c>
      <c r="DN120" s="308">
        <v>125.5</v>
      </c>
      <c r="DO120" s="308" t="s">
        <v>388</v>
      </c>
      <c r="DP120" s="312" t="s">
        <v>389</v>
      </c>
      <c r="DQ120" s="308" t="s">
        <v>389</v>
      </c>
    </row>
    <row r="121" spans="94:121" thickTop="1" thickBot="1" x14ac:dyDescent="0.3">
      <c r="CP121" s="258" t="s">
        <v>442</v>
      </c>
      <c r="CQ121" s="258" t="s">
        <v>429</v>
      </c>
      <c r="CR121" s="259">
        <v>2.64E-2</v>
      </c>
      <c r="CS121" s="259">
        <v>8.0000000000000007E-5</v>
      </c>
      <c r="CT121" s="258">
        <v>330.55</v>
      </c>
      <c r="CU121" s="258" t="s">
        <v>388</v>
      </c>
      <c r="CV121" s="167" t="s">
        <v>389</v>
      </c>
      <c r="CW121" s="81" t="s">
        <v>389</v>
      </c>
      <c r="DJ121" s="308" t="s">
        <v>442</v>
      </c>
      <c r="DK121" s="308" t="s">
        <v>372</v>
      </c>
      <c r="DL121" s="312">
        <v>209</v>
      </c>
      <c r="DM121" s="312">
        <v>2.79</v>
      </c>
      <c r="DN121" s="308">
        <v>74.97</v>
      </c>
      <c r="DO121" s="308" t="s">
        <v>388</v>
      </c>
      <c r="DP121" s="312" t="s">
        <v>389</v>
      </c>
      <c r="DQ121" s="308" t="s">
        <v>389</v>
      </c>
    </row>
    <row r="122" spans="94:121" thickTop="1" thickBot="1" x14ac:dyDescent="0.3">
      <c r="CP122" s="258" t="s">
        <v>442</v>
      </c>
      <c r="CQ122" s="258" t="s">
        <v>416</v>
      </c>
      <c r="CR122" s="259">
        <v>-6.13</v>
      </c>
      <c r="CS122" s="259">
        <v>1.7899999999999999E-2</v>
      </c>
      <c r="CT122" s="258">
        <v>-341.54</v>
      </c>
      <c r="CU122" s="258" t="s">
        <v>388</v>
      </c>
      <c r="CV122" s="167" t="s">
        <v>389</v>
      </c>
      <c r="CW122" s="81" t="s">
        <v>389</v>
      </c>
      <c r="DJ122" s="308" t="s">
        <v>442</v>
      </c>
      <c r="DK122" s="308" t="s">
        <v>374</v>
      </c>
      <c r="DL122" s="312">
        <v>439</v>
      </c>
      <c r="DM122" s="312">
        <v>8.11</v>
      </c>
      <c r="DN122" s="308">
        <v>54.08</v>
      </c>
      <c r="DO122" s="308" t="s">
        <v>388</v>
      </c>
      <c r="DP122" s="312" t="s">
        <v>389</v>
      </c>
      <c r="DQ122" s="308" t="s">
        <v>389</v>
      </c>
    </row>
    <row r="123" spans="94:121" thickTop="1" thickBot="1" x14ac:dyDescent="0.3">
      <c r="CP123" s="258" t="s">
        <v>442</v>
      </c>
      <c r="CQ123" s="258" t="s">
        <v>430</v>
      </c>
      <c r="CR123" s="259">
        <v>-6.23</v>
      </c>
      <c r="CS123" s="259">
        <v>1.7000000000000001E-2</v>
      </c>
      <c r="CT123" s="258">
        <v>-366.51</v>
      </c>
      <c r="CU123" s="258" t="s">
        <v>388</v>
      </c>
      <c r="CV123" s="81" t="s">
        <v>389</v>
      </c>
      <c r="DL123" s="312"/>
      <c r="DM123" s="312"/>
    </row>
    <row r="124" spans="94:121" thickTop="1" thickBot="1" x14ac:dyDescent="0.3">
      <c r="CP124" s="258" t="s">
        <v>442</v>
      </c>
      <c r="CQ124" s="258" t="s">
        <v>370</v>
      </c>
      <c r="CR124" s="259">
        <v>76.7</v>
      </c>
      <c r="CS124" s="259">
        <v>0.5</v>
      </c>
      <c r="CT124" s="258">
        <v>153.29</v>
      </c>
      <c r="CU124" s="258" t="s">
        <v>388</v>
      </c>
      <c r="CV124" s="167" t="s">
        <v>389</v>
      </c>
      <c r="CW124" s="81" t="s">
        <v>389</v>
      </c>
      <c r="DL124" s="312"/>
      <c r="DM124" s="312"/>
      <c r="DP124" s="312"/>
    </row>
    <row r="125" spans="94:121" thickTop="1" thickBot="1" x14ac:dyDescent="0.3">
      <c r="CP125" s="258" t="s">
        <v>442</v>
      </c>
      <c r="CQ125" s="258" t="s">
        <v>372</v>
      </c>
      <c r="CR125" s="259">
        <v>1.24E-3</v>
      </c>
      <c r="CS125" s="259">
        <v>6.2300000000000001E-2</v>
      </c>
      <c r="CT125" s="258">
        <v>0.02</v>
      </c>
      <c r="CU125" s="258">
        <v>0.98409999999999997</v>
      </c>
      <c r="DL125" s="312"/>
      <c r="DM125" s="312"/>
    </row>
    <row r="126" spans="94:121" thickTop="1" thickBot="1" x14ac:dyDescent="0.3">
      <c r="CP126" s="258" t="s">
        <v>442</v>
      </c>
      <c r="CQ126" s="258" t="s">
        <v>374</v>
      </c>
      <c r="CR126" s="259">
        <v>32.6</v>
      </c>
      <c r="CS126" s="259">
        <v>0.33</v>
      </c>
      <c r="CT126" s="258">
        <v>99.02</v>
      </c>
      <c r="CU126" s="258" t="s">
        <v>388</v>
      </c>
      <c r="CV126" s="81" t="s">
        <v>389</v>
      </c>
      <c r="DL126" s="312"/>
      <c r="DM126" s="312"/>
    </row>
  </sheetData>
  <mergeCells count="8">
    <mergeCell ref="E36:F36"/>
    <mergeCell ref="A1:G1"/>
    <mergeCell ref="A3:H3"/>
    <mergeCell ref="K3:U3"/>
    <mergeCell ref="W3:AH3"/>
    <mergeCell ref="L4:P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Gebouwgegevens Tabula</vt:lpstr>
      <vt:lpstr>Gebouwgegevens Allacker</vt:lpstr>
      <vt:lpstr>Tabula data</vt:lpstr>
      <vt:lpstr>Verwarming Allacker</vt:lpstr>
      <vt:lpstr>Verwarming Tabula</vt:lpstr>
      <vt:lpstr>Gebouwgegevens Tabula 2zone</vt:lpstr>
      <vt:lpstr>Tabula Ref1</vt:lpstr>
      <vt:lpstr>Tabula Ref2</vt:lpstr>
      <vt:lpstr>Tabula RefULG 1</vt:lpstr>
      <vt:lpstr>Tabula RefULG 2</vt:lpstr>
      <vt:lpstr>Verwarming Tabula 2zone</vt:lpstr>
      <vt:lpstr>Verwarming Tabula 2zone Ref1</vt:lpstr>
      <vt:lpstr>Verwarming Tabula 2zone Ref2</vt:lpstr>
      <vt:lpstr>Verwarming Tabula 2zone RefULG1</vt:lpstr>
      <vt:lpstr>Verwarming Tabula 2zone RefULG2</vt:lpstr>
      <vt:lpstr>PropertiesGB_Theoretical</vt:lpstr>
      <vt:lpstr>Sheet8</vt:lpstr>
      <vt:lpstr>Sheet9</vt:lpstr>
      <vt:lpstr>'Gebouwgegevens Allacker'!Print_Area</vt:lpstr>
      <vt:lpstr>'Gebouwgegevens Tabula'!Print_Area</vt:lpstr>
      <vt:lpstr>'Gebouwgegevens Tabula 2zone'!Print_Area</vt:lpstr>
      <vt:lpstr>'Tabula data'!Print_Area</vt:lpstr>
      <vt:lpstr>'Tabula Ref1'!Print_Area</vt:lpstr>
      <vt:lpstr>'Tabula Ref2'!Print_Area</vt:lpstr>
      <vt:lpstr>'Tabula RefULG 1'!Print_Area</vt:lpstr>
      <vt:lpstr>'Tabula RefULG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REYNDERG</dc:creator>
  <cp:lastModifiedBy>Glenn Reynders</cp:lastModifiedBy>
  <cp:revision>0</cp:revision>
  <cp:lastPrinted>2013-07-29T10:47:59Z</cp:lastPrinted>
  <dcterms:created xsi:type="dcterms:W3CDTF">2011-08-19T12:11:09Z</dcterms:created>
  <dcterms:modified xsi:type="dcterms:W3CDTF">2014-08-27T21:07:44Z</dcterms:modified>
</cp:coreProperties>
</file>