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8955" firstSheet="7" activeTab="9"/>
  </bookViews>
  <sheets>
    <sheet name="Gebouwgegevens Tabula" sheetId="1" state="hidden" r:id="rId1"/>
    <sheet name="Gebouwgegevens Allacker" sheetId="2" state="hidden" r:id="rId2"/>
    <sheet name="Tabula data" sheetId="3" r:id="rId3"/>
    <sheet name="Verwarming Allacker" sheetId="4" state="hidden" r:id="rId4"/>
    <sheet name="Verwarming Tabula" sheetId="5" state="hidden" r:id="rId5"/>
    <sheet name="Gebouwgegevens Tabula 2zone" sheetId="6" r:id="rId6"/>
    <sheet name="Tabula 2zone Ref 1" sheetId="11" r:id="rId7"/>
    <sheet name="Tabula 2zone Ref 2" sheetId="12" r:id="rId8"/>
    <sheet name="Tabula RefULG 1" sheetId="15" r:id="rId9"/>
    <sheet name="Tabula RefULG 2" sheetId="16" r:id="rId10"/>
    <sheet name="Verwarming Tabula 2zone" sheetId="7" r:id="rId11"/>
    <sheet name="Verwarming Tabula 2zone Ref 1" sheetId="13" r:id="rId12"/>
    <sheet name="Verwarming Tabula 2zone Ref 2" sheetId="14" r:id="rId13"/>
    <sheet name="Verwarming Tabula 2zone RefULG1" sheetId="17" r:id="rId14"/>
    <sheet name="Verwarming Tabula 2zone RefULG2" sheetId="18" r:id="rId15"/>
    <sheet name="PropertiesGB_Theoretical" sheetId="8" r:id="rId16"/>
    <sheet name="Sheet8" sheetId="9" r:id="rId17"/>
    <sheet name="Sheet9" sheetId="10" r:id="rId18"/>
  </sheets>
  <definedNames>
    <definedName name="_xlnm.Print_Area" localSheetId="1">'Gebouwgegevens Allacker'!$A$1:$H$38,'Gebouwgegevens Allacker'!$J$3:$T$32,'Gebouwgegevens Allacker'!$V$3:$AG$52</definedName>
    <definedName name="_xlnm.Print_Area" localSheetId="0">'Gebouwgegevens Tabula'!$A$1:$H$38,'Gebouwgegevens Tabula'!$J$3:$T$32,'Gebouwgegevens Tabula'!$V$3:$AG$52</definedName>
    <definedName name="_xlnm.Print_Area" localSheetId="5">'Gebouwgegevens Tabula 2zone'!$A$1:$H$37,'Gebouwgegevens Tabula 2zone'!$K$3:$U$32,'Gebouwgegevens Tabula 2zone'!$W$3:$AH$51</definedName>
    <definedName name="_xlnm.Print_Area" localSheetId="6">'Tabula 2zone Ref 1'!$A$1:$H$37,'Tabula 2zone Ref 1'!$J$3:$T$32,'Tabula 2zone Ref 1'!$V$3:$AG$51</definedName>
    <definedName name="_xlnm.Print_Area" localSheetId="7">'Tabula 2zone Ref 2'!$A$1:$H$37,'Tabula 2zone Ref 2'!$J$3:$T$32,'Tabula 2zone Ref 2'!$V$3:$AG$53</definedName>
    <definedName name="_xlnm.Print_Area" localSheetId="2">'Tabula data'!$A$1:$D$34,'Tabula data'!$F$1:$Q$37,'Tabula data'!$A$37:$D$52</definedName>
    <definedName name="_xlnm.Print_Area" localSheetId="8">'Tabula RefULG 1'!$A$1:$H$37,'Tabula RefULG 1'!$K$3:$U$32,'Tabula RefULG 1'!$W$3:$AH$51</definedName>
    <definedName name="_xlnm.Print_Area" localSheetId="9">'Tabula RefULG 2'!$A$1:$H$37,'Tabula RefULG 2'!$K$3:$U$32,'Tabula RefULG 2'!$W$3:$AH$51</definedName>
  </definedNames>
  <calcPr calcId="145621"/>
</workbook>
</file>

<file path=xl/calcChain.xml><?xml version="1.0" encoding="utf-8"?>
<calcChain xmlns="http://schemas.openxmlformats.org/spreadsheetml/2006/main">
  <c r="AP20" i="16" l="1"/>
  <c r="AP23" i="16"/>
  <c r="AP24" i="16"/>
  <c r="AP21" i="16"/>
  <c r="AP22" i="16"/>
  <c r="AP19" i="16"/>
  <c r="AP11" i="16"/>
  <c r="AP10" i="16"/>
  <c r="AP9" i="16"/>
  <c r="AA52" i="16" l="1"/>
  <c r="AA21" i="16"/>
  <c r="AA27" i="16"/>
  <c r="AP48" i="16"/>
  <c r="AP50" i="16" s="1"/>
  <c r="AP49" i="16" s="1"/>
  <c r="AP40" i="16"/>
  <c r="AP37" i="16"/>
  <c r="AP43" i="16"/>
  <c r="AP47" i="16" s="1"/>
  <c r="AP42" i="16"/>
  <c r="AP46" i="16" s="1"/>
  <c r="AP30" i="16"/>
  <c r="AP28" i="16"/>
  <c r="AP35" i="16" s="1"/>
  <c r="AP27" i="16"/>
  <c r="AP34" i="16" s="1"/>
  <c r="AP26" i="16"/>
  <c r="AP33" i="16" s="1"/>
  <c r="AP7" i="16"/>
  <c r="AP17" i="16" s="1"/>
  <c r="AP6" i="16"/>
  <c r="AP16" i="16" s="1"/>
  <c r="AP5" i="16"/>
  <c r="AP15" i="16" s="1"/>
  <c r="AP4" i="16"/>
  <c r="AP14" i="16" s="1"/>
  <c r="AP24" i="15"/>
  <c r="AA27" i="15"/>
  <c r="AP38" i="15" s="1"/>
  <c r="AA53" i="15"/>
  <c r="AA21" i="15"/>
  <c r="AP40" i="15"/>
  <c r="AP37" i="15"/>
  <c r="AP30" i="15"/>
  <c r="AP23" i="15"/>
  <c r="AP21" i="15"/>
  <c r="AP20" i="15"/>
  <c r="AP19" i="15"/>
  <c r="AP43" i="15"/>
  <c r="AP47" i="15" s="1"/>
  <c r="AP42" i="15"/>
  <c r="AP46" i="15" s="1"/>
  <c r="AP28" i="15"/>
  <c r="AP35" i="15" s="1"/>
  <c r="AP27" i="15"/>
  <c r="AP34" i="15" s="1"/>
  <c r="AP26" i="15"/>
  <c r="AP33" i="15" s="1"/>
  <c r="AP9" i="15"/>
  <c r="AP7" i="15"/>
  <c r="AP17" i="15" s="1"/>
  <c r="AP6" i="15"/>
  <c r="AP16" i="15" s="1"/>
  <c r="AP5" i="15"/>
  <c r="AP15" i="15" s="1"/>
  <c r="AP4" i="15"/>
  <c r="AP14" i="15" s="1"/>
  <c r="AP38" i="16" l="1"/>
  <c r="AP48" i="15"/>
  <c r="AP50" i="15" s="1"/>
  <c r="AP49" i="15" s="1"/>
  <c r="B139" i="13"/>
  <c r="B139" i="17" l="1"/>
  <c r="AP37" i="6" l="1"/>
  <c r="AP40" i="6"/>
  <c r="B139" i="7"/>
  <c r="DZ79" i="6" l="1"/>
  <c r="DZ78" i="6"/>
  <c r="DZ77" i="6"/>
  <c r="DZ76" i="6"/>
  <c r="DZ75" i="6"/>
  <c r="DZ73" i="6"/>
  <c r="DZ72" i="6"/>
  <c r="DZ71" i="6"/>
  <c r="DZ70" i="6"/>
  <c r="DZ68" i="6"/>
  <c r="DZ67" i="6"/>
  <c r="DZ66" i="6"/>
  <c r="DZ65" i="6"/>
  <c r="DZ63" i="6"/>
  <c r="DZ62" i="6"/>
  <c r="DZ61" i="6"/>
  <c r="DZ59" i="6"/>
  <c r="DZ58" i="6"/>
  <c r="DZ57" i="6"/>
  <c r="DZ56" i="6"/>
  <c r="DZ55" i="6"/>
  <c r="DZ54" i="6"/>
  <c r="DZ53" i="6"/>
  <c r="DZ52" i="6"/>
  <c r="DZ51" i="6"/>
  <c r="DZ50" i="6"/>
  <c r="DZ49" i="6"/>
  <c r="DZ48" i="6"/>
  <c r="DZ47" i="6"/>
  <c r="DZ46" i="6"/>
  <c r="DZ45" i="6"/>
  <c r="DZ44" i="6"/>
  <c r="DZ42" i="6"/>
  <c r="DZ41" i="6"/>
  <c r="DZ40" i="6"/>
  <c r="DZ39" i="6"/>
  <c r="DZ38" i="6"/>
  <c r="DZ37" i="6"/>
  <c r="DZ36" i="6"/>
  <c r="DZ35" i="6"/>
  <c r="DZ34" i="6"/>
  <c r="DZ33" i="6"/>
  <c r="DZ32" i="6"/>
  <c r="DZ30" i="6"/>
  <c r="DZ29" i="6"/>
  <c r="DZ28" i="6"/>
  <c r="DZ27" i="6"/>
  <c r="DZ24" i="6"/>
  <c r="DZ23" i="6"/>
  <c r="DZ22" i="6"/>
  <c r="DZ21" i="6"/>
  <c r="DZ20" i="6"/>
  <c r="DZ19" i="6"/>
  <c r="DZ18" i="6"/>
  <c r="DZ17" i="6"/>
  <c r="DZ16" i="6"/>
  <c r="DZ15" i="6"/>
  <c r="DZ14" i="6"/>
  <c r="DZ13" i="6"/>
  <c r="DZ12" i="6"/>
  <c r="DZ11" i="6"/>
  <c r="DZ10" i="6"/>
  <c r="DZ9" i="6"/>
  <c r="DZ8" i="6"/>
  <c r="DZ7" i="6"/>
  <c r="DZ6" i="6"/>
  <c r="DZ5" i="6"/>
  <c r="DF78" i="15" l="1"/>
  <c r="DF79" i="15"/>
  <c r="DF77" i="15"/>
  <c r="DF78" i="6" l="1"/>
  <c r="DF79" i="6"/>
  <c r="DF77" i="6"/>
  <c r="DL79" i="15" l="1"/>
  <c r="DL78" i="15"/>
  <c r="DL77" i="15"/>
  <c r="DL73" i="15"/>
  <c r="DL71" i="15"/>
  <c r="DL70" i="15"/>
  <c r="DL68" i="15"/>
  <c r="DL67" i="15"/>
  <c r="DL66" i="15"/>
  <c r="DL65" i="15"/>
  <c r="DL61" i="15"/>
  <c r="DL79" i="6"/>
  <c r="DL78" i="6"/>
  <c r="DL77" i="6"/>
  <c r="DL73" i="6"/>
  <c r="DL70" i="6"/>
  <c r="DL68" i="6"/>
  <c r="DL67" i="6"/>
  <c r="DL66" i="6"/>
  <c r="DL65" i="6"/>
  <c r="DL61" i="6"/>
  <c r="DL79" i="16"/>
  <c r="DL78" i="16"/>
  <c r="DL77" i="16"/>
  <c r="DL73" i="16"/>
  <c r="DL71" i="16"/>
  <c r="DL70" i="16"/>
  <c r="DL68" i="16"/>
  <c r="DL67" i="16"/>
  <c r="DL66" i="16"/>
  <c r="DL65" i="16"/>
  <c r="DL61" i="16"/>
  <c r="B133" i="18" l="1"/>
  <c r="B130" i="18"/>
  <c r="F109" i="18"/>
  <c r="E109" i="18"/>
  <c r="D109" i="18"/>
  <c r="H109" i="18" s="1"/>
  <c r="C109" i="18"/>
  <c r="G109" i="18" s="1"/>
  <c r="K109" i="18" s="1"/>
  <c r="F108" i="18"/>
  <c r="E108" i="18"/>
  <c r="D108" i="18"/>
  <c r="H108" i="18" s="1"/>
  <c r="C108" i="18"/>
  <c r="G108" i="18" s="1"/>
  <c r="F92" i="18"/>
  <c r="E92" i="18"/>
  <c r="D92" i="18"/>
  <c r="C92" i="18"/>
  <c r="F91" i="18"/>
  <c r="E91" i="18"/>
  <c r="D91" i="18"/>
  <c r="C91" i="18"/>
  <c r="F90" i="18"/>
  <c r="E90" i="18"/>
  <c r="D90" i="18"/>
  <c r="C90" i="18"/>
  <c r="F89" i="18"/>
  <c r="E89" i="18"/>
  <c r="D89" i="18"/>
  <c r="C89" i="18"/>
  <c r="F88" i="18"/>
  <c r="E88" i="18"/>
  <c r="D88" i="18"/>
  <c r="C88" i="18"/>
  <c r="F87" i="18"/>
  <c r="E87" i="18"/>
  <c r="D87" i="18"/>
  <c r="C87" i="18"/>
  <c r="F86" i="18"/>
  <c r="E86" i="18"/>
  <c r="D86" i="18"/>
  <c r="C86" i="18"/>
  <c r="F85" i="18"/>
  <c r="E85" i="18"/>
  <c r="D85" i="18"/>
  <c r="C85" i="18"/>
  <c r="F84" i="18"/>
  <c r="E84" i="18"/>
  <c r="D84" i="18"/>
  <c r="C84" i="18"/>
  <c r="B66" i="18"/>
  <c r="B54" i="18"/>
  <c r="B51" i="18"/>
  <c r="B58" i="18" s="1"/>
  <c r="F34" i="18"/>
  <c r="E34" i="18"/>
  <c r="D34" i="18"/>
  <c r="H34" i="18" s="1"/>
  <c r="C34" i="18"/>
  <c r="G34" i="18" s="1"/>
  <c r="F33" i="18"/>
  <c r="E33" i="18"/>
  <c r="D33" i="18"/>
  <c r="H33" i="18" s="1"/>
  <c r="C33" i="18"/>
  <c r="G33" i="18" s="1"/>
  <c r="K28" i="18"/>
  <c r="I28" i="18"/>
  <c r="E28" i="18"/>
  <c r="D28" i="18"/>
  <c r="C28" i="18"/>
  <c r="F22" i="18"/>
  <c r="E22" i="18"/>
  <c r="D22" i="18"/>
  <c r="C22" i="18"/>
  <c r="F21" i="18"/>
  <c r="E21" i="18"/>
  <c r="D21" i="18"/>
  <c r="C21" i="18"/>
  <c r="E19" i="18"/>
  <c r="D19" i="18"/>
  <c r="B19" i="18"/>
  <c r="F19" i="18" s="1"/>
  <c r="E18" i="18"/>
  <c r="D18" i="18"/>
  <c r="C18" i="18"/>
  <c r="B18" i="18"/>
  <c r="F18" i="18" s="1"/>
  <c r="B17" i="18"/>
  <c r="E16" i="18"/>
  <c r="B16" i="18"/>
  <c r="E15" i="18"/>
  <c r="D15" i="18"/>
  <c r="B15" i="18"/>
  <c r="F15" i="18" s="1"/>
  <c r="E14" i="18"/>
  <c r="D14" i="18"/>
  <c r="C14" i="18"/>
  <c r="B14" i="18"/>
  <c r="F14" i="18" s="1"/>
  <c r="B13" i="18"/>
  <c r="E12" i="18"/>
  <c r="B12" i="18"/>
  <c r="B778" i="18"/>
  <c r="B777" i="18" s="1"/>
  <c r="B776" i="18"/>
  <c r="B770" i="18"/>
  <c r="B771" i="18" s="1"/>
  <c r="B764" i="18"/>
  <c r="B761" i="18"/>
  <c r="B768" i="18" s="1"/>
  <c r="G768" i="18" s="1"/>
  <c r="J750" i="18"/>
  <c r="I750" i="18"/>
  <c r="F750" i="18"/>
  <c r="E750" i="18"/>
  <c r="D750" i="18"/>
  <c r="H750" i="18" s="1"/>
  <c r="C750" i="18"/>
  <c r="G750" i="18" s="1"/>
  <c r="K750" i="18" s="1"/>
  <c r="J749" i="18"/>
  <c r="I749" i="18"/>
  <c r="F749" i="18"/>
  <c r="E749" i="18"/>
  <c r="D749" i="18"/>
  <c r="H749" i="18" s="1"/>
  <c r="C749" i="18"/>
  <c r="G749" i="18" s="1"/>
  <c r="K749" i="18" s="1"/>
  <c r="J748" i="18"/>
  <c r="I748" i="18"/>
  <c r="H748" i="18"/>
  <c r="F748" i="18"/>
  <c r="E748" i="18"/>
  <c r="D748" i="18"/>
  <c r="C748" i="18"/>
  <c r="G748" i="18" s="1"/>
  <c r="K748" i="18" s="1"/>
  <c r="J747" i="18"/>
  <c r="I747" i="18"/>
  <c r="F747" i="18"/>
  <c r="E747" i="18"/>
  <c r="D747" i="18"/>
  <c r="H747" i="18" s="1"/>
  <c r="C747" i="18"/>
  <c r="G747" i="18" s="1"/>
  <c r="J746" i="18"/>
  <c r="I746" i="18"/>
  <c r="F746" i="18"/>
  <c r="E746" i="18"/>
  <c r="D746" i="18"/>
  <c r="H746" i="18" s="1"/>
  <c r="C746" i="18"/>
  <c r="G746" i="18" s="1"/>
  <c r="K746" i="18" s="1"/>
  <c r="J745" i="18"/>
  <c r="I745" i="18"/>
  <c r="F745" i="18"/>
  <c r="E745" i="18"/>
  <c r="D745" i="18"/>
  <c r="H745" i="18" s="1"/>
  <c r="C745" i="18"/>
  <c r="G745" i="18" s="1"/>
  <c r="K745" i="18" s="1"/>
  <c r="J744" i="18"/>
  <c r="I744" i="18"/>
  <c r="H744" i="18"/>
  <c r="F744" i="18"/>
  <c r="E744" i="18"/>
  <c r="D744" i="18"/>
  <c r="C744" i="18"/>
  <c r="G744" i="18" s="1"/>
  <c r="K744" i="18" s="1"/>
  <c r="J743" i="18"/>
  <c r="I743" i="18"/>
  <c r="F743" i="18"/>
  <c r="E743" i="18"/>
  <c r="D743" i="18"/>
  <c r="H743" i="18" s="1"/>
  <c r="C743" i="18"/>
  <c r="G743" i="18" s="1"/>
  <c r="J742" i="18"/>
  <c r="I742" i="18"/>
  <c r="F742" i="18"/>
  <c r="E742" i="18"/>
  <c r="D742" i="18"/>
  <c r="H742" i="18" s="1"/>
  <c r="C742" i="18"/>
  <c r="G742" i="18" s="1"/>
  <c r="K742" i="18" s="1"/>
  <c r="J741" i="18"/>
  <c r="I741" i="18"/>
  <c r="F741" i="18"/>
  <c r="E741" i="18"/>
  <c r="D741" i="18"/>
  <c r="H741" i="18" s="1"/>
  <c r="C741" i="18"/>
  <c r="G741" i="18" s="1"/>
  <c r="K741" i="18" s="1"/>
  <c r="J740" i="18"/>
  <c r="I740" i="18"/>
  <c r="F740" i="18"/>
  <c r="E740" i="18"/>
  <c r="D740" i="18"/>
  <c r="H740" i="18" s="1"/>
  <c r="C740" i="18"/>
  <c r="G740" i="18" s="1"/>
  <c r="J739" i="18"/>
  <c r="I739" i="18"/>
  <c r="F739" i="18"/>
  <c r="E739" i="18"/>
  <c r="D739" i="18"/>
  <c r="H739" i="18" s="1"/>
  <c r="C739" i="18"/>
  <c r="G739" i="18" s="1"/>
  <c r="K739" i="18" s="1"/>
  <c r="N731" i="18"/>
  <c r="H731" i="18" s="1"/>
  <c r="M731" i="18"/>
  <c r="G731" i="18"/>
  <c r="F731" i="18"/>
  <c r="E731" i="18"/>
  <c r="D731" i="18"/>
  <c r="C731" i="18"/>
  <c r="I731" i="18" s="1"/>
  <c r="L731" i="18" s="1"/>
  <c r="H717" i="18"/>
  <c r="G717" i="18"/>
  <c r="F717" i="18"/>
  <c r="E717" i="18"/>
  <c r="D717" i="18"/>
  <c r="C717" i="18"/>
  <c r="H716" i="18"/>
  <c r="G716" i="18"/>
  <c r="F716" i="18"/>
  <c r="E716" i="18"/>
  <c r="D716" i="18"/>
  <c r="C716" i="18"/>
  <c r="H715" i="18"/>
  <c r="G715" i="18"/>
  <c r="F715" i="18"/>
  <c r="E715" i="18"/>
  <c r="D715" i="18"/>
  <c r="C715" i="18"/>
  <c r="B697" i="18"/>
  <c r="B699" i="18" s="1"/>
  <c r="B698" i="18" s="1"/>
  <c r="B689" i="18"/>
  <c r="B685" i="18"/>
  <c r="B682" i="18"/>
  <c r="J661" i="18"/>
  <c r="I661" i="18"/>
  <c r="F661" i="18"/>
  <c r="E661" i="18"/>
  <c r="D661" i="18"/>
  <c r="H661" i="18" s="1"/>
  <c r="C661" i="18"/>
  <c r="G661" i="18" s="1"/>
  <c r="K661" i="18" s="1"/>
  <c r="J660" i="18"/>
  <c r="I660" i="18"/>
  <c r="F660" i="18"/>
  <c r="E660" i="18"/>
  <c r="D660" i="18"/>
  <c r="H660" i="18" s="1"/>
  <c r="C660" i="18"/>
  <c r="G660" i="18" s="1"/>
  <c r="M652" i="18"/>
  <c r="G652" i="18"/>
  <c r="B673" i="18" s="1"/>
  <c r="F652" i="18"/>
  <c r="E652" i="18"/>
  <c r="D652" i="18"/>
  <c r="C652" i="18"/>
  <c r="I652" i="18" s="1"/>
  <c r="L652" i="18" s="1"/>
  <c r="H637" i="18"/>
  <c r="G637" i="18"/>
  <c r="F637" i="18"/>
  <c r="E637" i="18"/>
  <c r="D637" i="18"/>
  <c r="C637" i="18"/>
  <c r="H636" i="18"/>
  <c r="G636" i="18"/>
  <c r="F636" i="18"/>
  <c r="E636" i="18"/>
  <c r="D636" i="18"/>
  <c r="C636" i="18"/>
  <c r="B618" i="18"/>
  <c r="B620" i="18" s="1"/>
  <c r="B619" i="18" s="1"/>
  <c r="B607" i="18"/>
  <c r="B606" i="18"/>
  <c r="B603" i="18"/>
  <c r="B610" i="18" s="1"/>
  <c r="J583" i="18"/>
  <c r="I583" i="18"/>
  <c r="F583" i="18"/>
  <c r="E583" i="18"/>
  <c r="D583" i="18"/>
  <c r="H583" i="18" s="1"/>
  <c r="C583" i="18"/>
  <c r="G583" i="18" s="1"/>
  <c r="K583" i="18" s="1"/>
  <c r="J582" i="18"/>
  <c r="I582" i="18"/>
  <c r="F582" i="18"/>
  <c r="E582" i="18"/>
  <c r="D582" i="18"/>
  <c r="H582" i="18" s="1"/>
  <c r="C582" i="18"/>
  <c r="G582" i="18" s="1"/>
  <c r="K582" i="18" s="1"/>
  <c r="J581" i="18"/>
  <c r="I581" i="18"/>
  <c r="F581" i="18"/>
  <c r="E581" i="18"/>
  <c r="D581" i="18"/>
  <c r="H581" i="18" s="1"/>
  <c r="C581" i="18"/>
  <c r="G581" i="18" s="1"/>
  <c r="K581" i="18" s="1"/>
  <c r="I573" i="18"/>
  <c r="L573" i="18" s="1"/>
  <c r="G573" i="18"/>
  <c r="F573" i="18"/>
  <c r="M573" i="18" s="1"/>
  <c r="E573" i="18"/>
  <c r="D573" i="18"/>
  <c r="C573" i="18"/>
  <c r="H559" i="18"/>
  <c r="G559" i="18"/>
  <c r="F559" i="18"/>
  <c r="E559" i="18"/>
  <c r="D559" i="18"/>
  <c r="C559" i="18"/>
  <c r="H558" i="18"/>
  <c r="G558" i="18"/>
  <c r="F558" i="18"/>
  <c r="E558" i="18"/>
  <c r="D558" i="18"/>
  <c r="C558" i="18"/>
  <c r="H557" i="18"/>
  <c r="B594" i="18" s="1"/>
  <c r="B624" i="18" s="1"/>
  <c r="G557" i="18"/>
  <c r="F557" i="18"/>
  <c r="E557" i="18"/>
  <c r="D557" i="18"/>
  <c r="C557" i="18"/>
  <c r="B541" i="18"/>
  <c r="B540" i="18"/>
  <c r="B539" i="18"/>
  <c r="B527" i="18"/>
  <c r="B528" i="18" s="1"/>
  <c r="B524" i="18"/>
  <c r="B531" i="18" s="1"/>
  <c r="G531" i="18" s="1"/>
  <c r="J504" i="18"/>
  <c r="I504" i="18"/>
  <c r="F504" i="18"/>
  <c r="E504" i="18"/>
  <c r="D504" i="18"/>
  <c r="H504" i="18" s="1"/>
  <c r="C504" i="18"/>
  <c r="G504" i="18" s="1"/>
  <c r="K504" i="18" s="1"/>
  <c r="J503" i="18"/>
  <c r="I503" i="18"/>
  <c r="F503" i="18"/>
  <c r="E503" i="18"/>
  <c r="D503" i="18"/>
  <c r="H503" i="18" s="1"/>
  <c r="C503" i="18"/>
  <c r="G503" i="18" s="1"/>
  <c r="J502" i="18"/>
  <c r="I502" i="18"/>
  <c r="H502" i="18"/>
  <c r="F502" i="18"/>
  <c r="E502" i="18"/>
  <c r="D502" i="18"/>
  <c r="C502" i="18"/>
  <c r="G502" i="18" s="1"/>
  <c r="K502" i="18" s="1"/>
  <c r="H483" i="18"/>
  <c r="G483" i="18"/>
  <c r="F483" i="18"/>
  <c r="E483" i="18"/>
  <c r="D483" i="18"/>
  <c r="C483" i="18"/>
  <c r="H482" i="18"/>
  <c r="G482" i="18"/>
  <c r="F482" i="18"/>
  <c r="E482" i="18"/>
  <c r="D482" i="18"/>
  <c r="C482" i="18"/>
  <c r="H481" i="18"/>
  <c r="G481" i="18"/>
  <c r="F481" i="18"/>
  <c r="E481" i="18"/>
  <c r="D481" i="18"/>
  <c r="C481" i="18"/>
  <c r="H480" i="18"/>
  <c r="G480" i="18"/>
  <c r="F480" i="18"/>
  <c r="E480" i="18"/>
  <c r="D480" i="18"/>
  <c r="C480" i="18"/>
  <c r="H479" i="18"/>
  <c r="G479" i="18"/>
  <c r="F479" i="18"/>
  <c r="E479" i="18"/>
  <c r="D479" i="18"/>
  <c r="C479" i="18"/>
  <c r="H478" i="18"/>
  <c r="B515" i="18" s="1"/>
  <c r="G478" i="18"/>
  <c r="F478" i="18"/>
  <c r="E478" i="18"/>
  <c r="D478" i="18"/>
  <c r="C478" i="18"/>
  <c r="B463" i="18"/>
  <c r="B462" i="18" s="1"/>
  <c r="B461" i="18"/>
  <c r="B449" i="18"/>
  <c r="B450" i="18" s="1"/>
  <c r="B446" i="18"/>
  <c r="B453" i="18" s="1"/>
  <c r="G453" i="18" s="1"/>
  <c r="J428" i="18"/>
  <c r="I428" i="18"/>
  <c r="F428" i="18"/>
  <c r="E428" i="18"/>
  <c r="D428" i="18"/>
  <c r="H428" i="18" s="1"/>
  <c r="C428" i="18"/>
  <c r="G428" i="18" s="1"/>
  <c r="K428" i="18" s="1"/>
  <c r="J427" i="18"/>
  <c r="I427" i="18"/>
  <c r="F427" i="18"/>
  <c r="E427" i="18"/>
  <c r="D427" i="18"/>
  <c r="H427" i="18" s="1"/>
  <c r="C427" i="18"/>
  <c r="G427" i="18" s="1"/>
  <c r="J426" i="18"/>
  <c r="I426" i="18"/>
  <c r="F426" i="18"/>
  <c r="E426" i="18"/>
  <c r="D426" i="18"/>
  <c r="H426" i="18" s="1"/>
  <c r="C426" i="18"/>
  <c r="G426" i="18" s="1"/>
  <c r="K426" i="18" s="1"/>
  <c r="J425" i="18"/>
  <c r="I425" i="18"/>
  <c r="F425" i="18"/>
  <c r="E425" i="18"/>
  <c r="D425" i="18"/>
  <c r="H425" i="18" s="1"/>
  <c r="C425" i="18"/>
  <c r="G425" i="18" s="1"/>
  <c r="K425" i="18" s="1"/>
  <c r="J424" i="18"/>
  <c r="I424" i="18"/>
  <c r="F424" i="18"/>
  <c r="E424" i="18"/>
  <c r="D424" i="18"/>
  <c r="H424" i="18" s="1"/>
  <c r="C424" i="18"/>
  <c r="G424" i="18" s="1"/>
  <c r="K424" i="18" s="1"/>
  <c r="H402" i="18"/>
  <c r="G402" i="18"/>
  <c r="F402" i="18"/>
  <c r="E402" i="18"/>
  <c r="D402" i="18"/>
  <c r="C402" i="18"/>
  <c r="H401" i="18"/>
  <c r="B437" i="18" s="1"/>
  <c r="G401" i="18"/>
  <c r="F401" i="18"/>
  <c r="E401" i="18"/>
  <c r="D401" i="18"/>
  <c r="C401" i="18"/>
  <c r="H400" i="18"/>
  <c r="G400" i="18"/>
  <c r="F400" i="18"/>
  <c r="E400" i="18"/>
  <c r="D400" i="18"/>
  <c r="C400" i="18"/>
  <c r="B383" i="18"/>
  <c r="B385" i="18" s="1"/>
  <c r="B384" i="18" s="1"/>
  <c r="B375" i="18"/>
  <c r="B372" i="18"/>
  <c r="B371" i="18"/>
  <c r="B368" i="18"/>
  <c r="J350" i="18"/>
  <c r="I350" i="18"/>
  <c r="H350" i="18"/>
  <c r="F350" i="18"/>
  <c r="E350" i="18"/>
  <c r="D350" i="18"/>
  <c r="C350" i="18"/>
  <c r="G350" i="18" s="1"/>
  <c r="K350" i="18" s="1"/>
  <c r="J349" i="18"/>
  <c r="I349" i="18"/>
  <c r="F349" i="18"/>
  <c r="E349" i="18"/>
  <c r="D349" i="18"/>
  <c r="H349" i="18" s="1"/>
  <c r="C349" i="18"/>
  <c r="G349" i="18" s="1"/>
  <c r="J348" i="18"/>
  <c r="I348" i="18"/>
  <c r="F348" i="18"/>
  <c r="E348" i="18"/>
  <c r="D348" i="18"/>
  <c r="H348" i="18" s="1"/>
  <c r="C348" i="18"/>
  <c r="G348" i="18" s="1"/>
  <c r="K348" i="18" s="1"/>
  <c r="J347" i="18"/>
  <c r="I347" i="18"/>
  <c r="F347" i="18"/>
  <c r="E347" i="18"/>
  <c r="D347" i="18"/>
  <c r="H347" i="18" s="1"/>
  <c r="C347" i="18"/>
  <c r="G347" i="18" s="1"/>
  <c r="K347" i="18" s="1"/>
  <c r="J346" i="18"/>
  <c r="I346" i="18"/>
  <c r="F346" i="18"/>
  <c r="E346" i="18"/>
  <c r="D346" i="18"/>
  <c r="H346" i="18" s="1"/>
  <c r="C346" i="18"/>
  <c r="G346" i="18" s="1"/>
  <c r="H325" i="18"/>
  <c r="G325" i="18"/>
  <c r="F325" i="18"/>
  <c r="E325" i="18"/>
  <c r="D325" i="18"/>
  <c r="C325" i="18"/>
  <c r="H324" i="18"/>
  <c r="G324" i="18"/>
  <c r="F324" i="18"/>
  <c r="E324" i="18"/>
  <c r="D324" i="18"/>
  <c r="C324" i="18"/>
  <c r="H323" i="18"/>
  <c r="G323" i="18"/>
  <c r="F323" i="18"/>
  <c r="E323" i="18"/>
  <c r="D323" i="18"/>
  <c r="C323" i="18"/>
  <c r="H322" i="18"/>
  <c r="B359" i="18" s="1"/>
  <c r="G322" i="18"/>
  <c r="F322" i="18"/>
  <c r="E322" i="18"/>
  <c r="D322" i="18"/>
  <c r="C322" i="18"/>
  <c r="B306" i="18"/>
  <c r="B305" i="18" s="1"/>
  <c r="B304" i="18"/>
  <c r="B292" i="18"/>
  <c r="B289" i="18"/>
  <c r="B296" i="18" s="1"/>
  <c r="G296" i="18" s="1"/>
  <c r="J270" i="18"/>
  <c r="I270" i="18"/>
  <c r="F270" i="18"/>
  <c r="E270" i="18"/>
  <c r="D270" i="18"/>
  <c r="H270" i="18" s="1"/>
  <c r="C270" i="18"/>
  <c r="G270" i="18" s="1"/>
  <c r="K270" i="18" s="1"/>
  <c r="J269" i="18"/>
  <c r="I269" i="18"/>
  <c r="F269" i="18"/>
  <c r="E269" i="18"/>
  <c r="D269" i="18"/>
  <c r="H269" i="18" s="1"/>
  <c r="C269" i="18"/>
  <c r="G269" i="18" s="1"/>
  <c r="K269" i="18" s="1"/>
  <c r="J268" i="18"/>
  <c r="I268" i="18"/>
  <c r="H268" i="18"/>
  <c r="F268" i="18"/>
  <c r="E268" i="18"/>
  <c r="D268" i="18"/>
  <c r="C268" i="18"/>
  <c r="G268" i="18" s="1"/>
  <c r="K268" i="18" s="1"/>
  <c r="J267" i="18"/>
  <c r="I267" i="18"/>
  <c r="F267" i="18"/>
  <c r="E267" i="18"/>
  <c r="D267" i="18"/>
  <c r="H267" i="18" s="1"/>
  <c r="C267" i="18"/>
  <c r="G267" i="18" s="1"/>
  <c r="K267" i="18" s="1"/>
  <c r="H246" i="18"/>
  <c r="G246" i="18"/>
  <c r="F246" i="18"/>
  <c r="E246" i="18"/>
  <c r="D246" i="18"/>
  <c r="C246" i="18"/>
  <c r="H245" i="18"/>
  <c r="G245" i="18"/>
  <c r="F245" i="18"/>
  <c r="E245" i="18"/>
  <c r="D245" i="18"/>
  <c r="C245" i="18"/>
  <c r="H244" i="18"/>
  <c r="G244" i="18"/>
  <c r="F244" i="18"/>
  <c r="E244" i="18"/>
  <c r="D244" i="18"/>
  <c r="C244" i="18"/>
  <c r="H243" i="18"/>
  <c r="G243" i="18"/>
  <c r="F243" i="18"/>
  <c r="E243" i="18"/>
  <c r="D243" i="18"/>
  <c r="C243" i="18"/>
  <c r="B225" i="18"/>
  <c r="B227" i="18" s="1"/>
  <c r="B226" i="18" s="1"/>
  <c r="B217" i="18"/>
  <c r="B213" i="18"/>
  <c r="B210" i="18"/>
  <c r="J190" i="18"/>
  <c r="I190" i="18"/>
  <c r="F190" i="18"/>
  <c r="E190" i="18"/>
  <c r="D190" i="18"/>
  <c r="H190" i="18" s="1"/>
  <c r="C190" i="18"/>
  <c r="G190" i="18" s="1"/>
  <c r="K190" i="18" s="1"/>
  <c r="J189" i="18"/>
  <c r="I189" i="18"/>
  <c r="H189" i="18"/>
  <c r="F189" i="18"/>
  <c r="E189" i="18"/>
  <c r="D189" i="18"/>
  <c r="C189" i="18"/>
  <c r="G189" i="18" s="1"/>
  <c r="K189" i="18" s="1"/>
  <c r="J188" i="18"/>
  <c r="I188" i="18"/>
  <c r="F188" i="18"/>
  <c r="E188" i="18"/>
  <c r="D188" i="18"/>
  <c r="H188" i="18" s="1"/>
  <c r="C188" i="18"/>
  <c r="G188" i="18" s="1"/>
  <c r="K188" i="18" s="1"/>
  <c r="M180" i="18"/>
  <c r="N180" i="18" s="1"/>
  <c r="H180" i="18" s="1"/>
  <c r="G180" i="18"/>
  <c r="F180" i="18"/>
  <c r="E180" i="18"/>
  <c r="D180" i="18"/>
  <c r="C180" i="18"/>
  <c r="I180" i="18" s="1"/>
  <c r="L180" i="18" s="1"/>
  <c r="H165" i="18"/>
  <c r="G165" i="18"/>
  <c r="F165" i="18"/>
  <c r="E165" i="18"/>
  <c r="D165" i="18"/>
  <c r="C165" i="18"/>
  <c r="H164" i="18"/>
  <c r="B201" i="18" s="1"/>
  <c r="G164" i="18"/>
  <c r="F164" i="18"/>
  <c r="E164" i="18"/>
  <c r="D164" i="18"/>
  <c r="C164" i="18"/>
  <c r="B145" i="18"/>
  <c r="B147" i="18" s="1"/>
  <c r="B146" i="18" s="1"/>
  <c r="B127" i="18"/>
  <c r="B68" i="18"/>
  <c r="B67" i="18" s="1"/>
  <c r="B48" i="18"/>
  <c r="J28" i="18"/>
  <c r="B22" i="18"/>
  <c r="B21" i="18"/>
  <c r="V12" i="18"/>
  <c r="V11" i="18"/>
  <c r="V10" i="18"/>
  <c r="V9" i="18"/>
  <c r="V8" i="18"/>
  <c r="V7" i="18"/>
  <c r="B127" i="17"/>
  <c r="B48" i="17"/>
  <c r="B133" i="17"/>
  <c r="B130" i="17"/>
  <c r="F109" i="17"/>
  <c r="E109" i="17"/>
  <c r="D109" i="17"/>
  <c r="H109" i="17" s="1"/>
  <c r="C109" i="17"/>
  <c r="G109" i="17" s="1"/>
  <c r="F108" i="17"/>
  <c r="E108" i="17"/>
  <c r="D108" i="17"/>
  <c r="H108" i="17" s="1"/>
  <c r="C108" i="17"/>
  <c r="G108" i="17" s="1"/>
  <c r="F92" i="17"/>
  <c r="E92" i="17"/>
  <c r="D92" i="17"/>
  <c r="C92" i="17"/>
  <c r="F91" i="17"/>
  <c r="E91" i="17"/>
  <c r="D91" i="17"/>
  <c r="C91" i="17"/>
  <c r="F90" i="17"/>
  <c r="E90" i="17"/>
  <c r="D90" i="17"/>
  <c r="C90" i="17"/>
  <c r="F89" i="17"/>
  <c r="E89" i="17"/>
  <c r="D89" i="17"/>
  <c r="C89" i="17"/>
  <c r="F88" i="17"/>
  <c r="E88" i="17"/>
  <c r="D88" i="17"/>
  <c r="C88" i="17"/>
  <c r="F87" i="17"/>
  <c r="E87" i="17"/>
  <c r="D87" i="17"/>
  <c r="C87" i="17"/>
  <c r="F86" i="17"/>
  <c r="E86" i="17"/>
  <c r="D86" i="17"/>
  <c r="C86" i="17"/>
  <c r="F85" i="17"/>
  <c r="E85" i="17"/>
  <c r="D85" i="17"/>
  <c r="C85" i="17"/>
  <c r="F84" i="17"/>
  <c r="E84" i="17"/>
  <c r="D84" i="17"/>
  <c r="C84" i="17"/>
  <c r="B66" i="17"/>
  <c r="B54" i="17"/>
  <c r="B51" i="17"/>
  <c r="B58" i="17" s="1"/>
  <c r="G58" i="17" s="1"/>
  <c r="F34" i="17"/>
  <c r="E34" i="17"/>
  <c r="D34" i="17"/>
  <c r="H34" i="17" s="1"/>
  <c r="C34" i="17"/>
  <c r="G34" i="17" s="1"/>
  <c r="F33" i="17"/>
  <c r="E33" i="17"/>
  <c r="D33" i="17"/>
  <c r="H33" i="17" s="1"/>
  <c r="C33" i="17"/>
  <c r="G33" i="17" s="1"/>
  <c r="K28" i="17"/>
  <c r="I28" i="17"/>
  <c r="E28" i="17"/>
  <c r="D28" i="17"/>
  <c r="C28" i="17"/>
  <c r="F22" i="17"/>
  <c r="E22" i="17"/>
  <c r="D22" i="17"/>
  <c r="C22" i="17"/>
  <c r="F21" i="17"/>
  <c r="E21" i="17"/>
  <c r="D21" i="17"/>
  <c r="C21" i="17"/>
  <c r="E19" i="17"/>
  <c r="D19" i="17"/>
  <c r="B19" i="17"/>
  <c r="F19" i="17" s="1"/>
  <c r="E18" i="17"/>
  <c r="D18" i="17"/>
  <c r="C18" i="17"/>
  <c r="B18" i="17"/>
  <c r="F18" i="17" s="1"/>
  <c r="B17" i="17"/>
  <c r="E16" i="17"/>
  <c r="B16" i="17"/>
  <c r="E15" i="17"/>
  <c r="D15" i="17"/>
  <c r="B15" i="17"/>
  <c r="F15" i="17" s="1"/>
  <c r="E14" i="17"/>
  <c r="D14" i="17"/>
  <c r="C14" i="17"/>
  <c r="B14" i="17"/>
  <c r="F14" i="17" s="1"/>
  <c r="B13" i="17"/>
  <c r="E12" i="17"/>
  <c r="B12" i="17"/>
  <c r="B778" i="17"/>
  <c r="B777" i="17" s="1"/>
  <c r="B776" i="17"/>
  <c r="B770" i="17"/>
  <c r="B771" i="17" s="1"/>
  <c r="B764" i="17"/>
  <c r="B761" i="17"/>
  <c r="B768" i="17" s="1"/>
  <c r="G768" i="17" s="1"/>
  <c r="J750" i="17"/>
  <c r="I750" i="17"/>
  <c r="F750" i="17"/>
  <c r="E750" i="17"/>
  <c r="D750" i="17"/>
  <c r="H750" i="17" s="1"/>
  <c r="C750" i="17"/>
  <c r="G750" i="17" s="1"/>
  <c r="J749" i="17"/>
  <c r="I749" i="17"/>
  <c r="F749" i="17"/>
  <c r="E749" i="17"/>
  <c r="D749" i="17"/>
  <c r="H749" i="17" s="1"/>
  <c r="C749" i="17"/>
  <c r="G749" i="17" s="1"/>
  <c r="K749" i="17" s="1"/>
  <c r="J748" i="17"/>
  <c r="I748" i="17"/>
  <c r="F748" i="17"/>
  <c r="E748" i="17"/>
  <c r="D748" i="17"/>
  <c r="H748" i="17" s="1"/>
  <c r="C748" i="17"/>
  <c r="G748" i="17" s="1"/>
  <c r="K748" i="17" s="1"/>
  <c r="J747" i="17"/>
  <c r="I747" i="17"/>
  <c r="F747" i="17"/>
  <c r="E747" i="17"/>
  <c r="D747" i="17"/>
  <c r="H747" i="17" s="1"/>
  <c r="C747" i="17"/>
  <c r="G747" i="17" s="1"/>
  <c r="J746" i="17"/>
  <c r="I746" i="17"/>
  <c r="F746" i="17"/>
  <c r="E746" i="17"/>
  <c r="D746" i="17"/>
  <c r="H746" i="17" s="1"/>
  <c r="C746" i="17"/>
  <c r="G746" i="17" s="1"/>
  <c r="K746" i="17" s="1"/>
  <c r="J745" i="17"/>
  <c r="I745" i="17"/>
  <c r="F745" i="17"/>
  <c r="E745" i="17"/>
  <c r="D745" i="17"/>
  <c r="H745" i="17" s="1"/>
  <c r="C745" i="17"/>
  <c r="G745" i="17" s="1"/>
  <c r="K745" i="17" s="1"/>
  <c r="J744" i="17"/>
  <c r="I744" i="17"/>
  <c r="F744" i="17"/>
  <c r="E744" i="17"/>
  <c r="D744" i="17"/>
  <c r="H744" i="17" s="1"/>
  <c r="C744" i="17"/>
  <c r="G744" i="17" s="1"/>
  <c r="K744" i="17" s="1"/>
  <c r="J743" i="17"/>
  <c r="I743" i="17"/>
  <c r="H743" i="17"/>
  <c r="F743" i="17"/>
  <c r="E743" i="17"/>
  <c r="D743" i="17"/>
  <c r="C743" i="17"/>
  <c r="G743" i="17" s="1"/>
  <c r="K743" i="17" s="1"/>
  <c r="J742" i="17"/>
  <c r="I742" i="17"/>
  <c r="F742" i="17"/>
  <c r="E742" i="17"/>
  <c r="D742" i="17"/>
  <c r="H742" i="17" s="1"/>
  <c r="C742" i="17"/>
  <c r="G742" i="17" s="1"/>
  <c r="J741" i="17"/>
  <c r="I741" i="17"/>
  <c r="F741" i="17"/>
  <c r="E741" i="17"/>
  <c r="D741" i="17"/>
  <c r="H741" i="17" s="1"/>
  <c r="C741" i="17"/>
  <c r="G741" i="17" s="1"/>
  <c r="K741" i="17" s="1"/>
  <c r="J740" i="17"/>
  <c r="I740" i="17"/>
  <c r="F740" i="17"/>
  <c r="E740" i="17"/>
  <c r="D740" i="17"/>
  <c r="H740" i="17" s="1"/>
  <c r="C740" i="17"/>
  <c r="G740" i="17" s="1"/>
  <c r="K740" i="17" s="1"/>
  <c r="J739" i="17"/>
  <c r="B752" i="17" s="1"/>
  <c r="B782" i="17" s="1"/>
  <c r="I739" i="17"/>
  <c r="F739" i="17"/>
  <c r="E739" i="17"/>
  <c r="D739" i="17"/>
  <c r="H739" i="17" s="1"/>
  <c r="C739" i="17"/>
  <c r="G739" i="17" s="1"/>
  <c r="M731" i="17"/>
  <c r="L731" i="17"/>
  <c r="G731" i="17"/>
  <c r="F731" i="17"/>
  <c r="E731" i="17"/>
  <c r="D731" i="17"/>
  <c r="C731" i="17"/>
  <c r="I731" i="17" s="1"/>
  <c r="H717" i="17"/>
  <c r="G717" i="17"/>
  <c r="F717" i="17"/>
  <c r="E717" i="17"/>
  <c r="D717" i="17"/>
  <c r="C717" i="17"/>
  <c r="H716" i="17"/>
  <c r="G716" i="17"/>
  <c r="F716" i="17"/>
  <c r="E716" i="17"/>
  <c r="D716" i="17"/>
  <c r="C716" i="17"/>
  <c r="H715" i="17"/>
  <c r="G715" i="17"/>
  <c r="F715" i="17"/>
  <c r="E715" i="17"/>
  <c r="D715" i="17"/>
  <c r="C715" i="17"/>
  <c r="B703" i="17"/>
  <c r="B699" i="17"/>
  <c r="B698" i="17" s="1"/>
  <c r="B697" i="17"/>
  <c r="B691" i="17"/>
  <c r="B692" i="17" s="1"/>
  <c r="B685" i="17"/>
  <c r="B682" i="17"/>
  <c r="B689" i="17" s="1"/>
  <c r="G689" i="17" s="1"/>
  <c r="J661" i="17"/>
  <c r="I661" i="17"/>
  <c r="F661" i="17"/>
  <c r="E661" i="17"/>
  <c r="D661" i="17"/>
  <c r="H661" i="17" s="1"/>
  <c r="C661" i="17"/>
  <c r="G661" i="17" s="1"/>
  <c r="K661" i="17" s="1"/>
  <c r="J660" i="17"/>
  <c r="I660" i="17"/>
  <c r="F660" i="17"/>
  <c r="E660" i="17"/>
  <c r="D660" i="17"/>
  <c r="H660" i="17" s="1"/>
  <c r="C660" i="17"/>
  <c r="G660" i="17" s="1"/>
  <c r="L652" i="17"/>
  <c r="I652" i="17"/>
  <c r="G652" i="17"/>
  <c r="F652" i="17"/>
  <c r="M652" i="17" s="1"/>
  <c r="E652" i="17"/>
  <c r="D652" i="17"/>
  <c r="C652" i="17"/>
  <c r="H637" i="17"/>
  <c r="G637" i="17"/>
  <c r="F637" i="17"/>
  <c r="E637" i="17"/>
  <c r="D637" i="17"/>
  <c r="C637" i="17"/>
  <c r="H636" i="17"/>
  <c r="B673" i="17" s="1"/>
  <c r="G636" i="17"/>
  <c r="F636" i="17"/>
  <c r="E636" i="17"/>
  <c r="D636" i="17"/>
  <c r="C636" i="17"/>
  <c r="B618" i="17"/>
  <c r="B620" i="17" s="1"/>
  <c r="B619" i="17" s="1"/>
  <c r="B610" i="17"/>
  <c r="B607" i="17"/>
  <c r="B606" i="17"/>
  <c r="B603" i="17"/>
  <c r="B594" i="17"/>
  <c r="B624" i="17" s="1"/>
  <c r="J583" i="17"/>
  <c r="I583" i="17"/>
  <c r="H583" i="17"/>
  <c r="F583" i="17"/>
  <c r="E583" i="17"/>
  <c r="D583" i="17"/>
  <c r="C583" i="17"/>
  <c r="G583" i="17" s="1"/>
  <c r="K583" i="17" s="1"/>
  <c r="J582" i="17"/>
  <c r="I582" i="17"/>
  <c r="F582" i="17"/>
  <c r="E582" i="17"/>
  <c r="D582" i="17"/>
  <c r="H582" i="17" s="1"/>
  <c r="C582" i="17"/>
  <c r="G582" i="17" s="1"/>
  <c r="J581" i="17"/>
  <c r="I581" i="17"/>
  <c r="F581" i="17"/>
  <c r="E581" i="17"/>
  <c r="D581" i="17"/>
  <c r="H581" i="17" s="1"/>
  <c r="C581" i="17"/>
  <c r="G581" i="17" s="1"/>
  <c r="K581" i="17" s="1"/>
  <c r="I573" i="17"/>
  <c r="L573" i="17" s="1"/>
  <c r="G573" i="17"/>
  <c r="F573" i="17"/>
  <c r="M573" i="17" s="1"/>
  <c r="N573" i="17" s="1"/>
  <c r="H573" i="17" s="1"/>
  <c r="E573" i="17"/>
  <c r="D573" i="17"/>
  <c r="C573" i="17"/>
  <c r="H559" i="17"/>
  <c r="G559" i="17"/>
  <c r="F559" i="17"/>
  <c r="E559" i="17"/>
  <c r="D559" i="17"/>
  <c r="C559" i="17"/>
  <c r="H558" i="17"/>
  <c r="G558" i="17"/>
  <c r="F558" i="17"/>
  <c r="E558" i="17"/>
  <c r="D558" i="17"/>
  <c r="C558" i="17"/>
  <c r="H557" i="17"/>
  <c r="G557" i="17"/>
  <c r="F557" i="17"/>
  <c r="E557" i="17"/>
  <c r="D557" i="17"/>
  <c r="C557" i="17"/>
  <c r="B540" i="17"/>
  <c r="B539" i="17"/>
  <c r="B541" i="17" s="1"/>
  <c r="B531" i="17"/>
  <c r="B533" i="17" s="1"/>
  <c r="B534" i="17" s="1"/>
  <c r="B527" i="17"/>
  <c r="B528" i="17" s="1"/>
  <c r="B524" i="17"/>
  <c r="J504" i="17"/>
  <c r="I504" i="17"/>
  <c r="F504" i="17"/>
  <c r="E504" i="17"/>
  <c r="D504" i="17"/>
  <c r="H504" i="17" s="1"/>
  <c r="C504" i="17"/>
  <c r="G504" i="17" s="1"/>
  <c r="J503" i="17"/>
  <c r="I503" i="17"/>
  <c r="F503" i="17"/>
  <c r="E503" i="17"/>
  <c r="D503" i="17"/>
  <c r="H503" i="17" s="1"/>
  <c r="C503" i="17"/>
  <c r="G503" i="17" s="1"/>
  <c r="K503" i="17" s="1"/>
  <c r="J502" i="17"/>
  <c r="I502" i="17"/>
  <c r="F502" i="17"/>
  <c r="E502" i="17"/>
  <c r="D502" i="17"/>
  <c r="H502" i="17" s="1"/>
  <c r="C502" i="17"/>
  <c r="G502" i="17" s="1"/>
  <c r="H483" i="17"/>
  <c r="G483" i="17"/>
  <c r="F483" i="17"/>
  <c r="E483" i="17"/>
  <c r="D483" i="17"/>
  <c r="C483" i="17"/>
  <c r="H482" i="17"/>
  <c r="G482" i="17"/>
  <c r="F482" i="17"/>
  <c r="E482" i="17"/>
  <c r="D482" i="17"/>
  <c r="C482" i="17"/>
  <c r="H481" i="17"/>
  <c r="G481" i="17"/>
  <c r="F481" i="17"/>
  <c r="E481" i="17"/>
  <c r="D481" i="17"/>
  <c r="C481" i="17"/>
  <c r="H480" i="17"/>
  <c r="G480" i="17"/>
  <c r="F480" i="17"/>
  <c r="E480" i="17"/>
  <c r="D480" i="17"/>
  <c r="C480" i="17"/>
  <c r="H479" i="17"/>
  <c r="G479" i="17"/>
  <c r="F479" i="17"/>
  <c r="E479" i="17"/>
  <c r="D479" i="17"/>
  <c r="C479" i="17"/>
  <c r="H478" i="17"/>
  <c r="B515" i="17" s="1"/>
  <c r="B545" i="17" s="1"/>
  <c r="G478" i="17"/>
  <c r="F478" i="17"/>
  <c r="E478" i="17"/>
  <c r="D478" i="17"/>
  <c r="C478" i="17"/>
  <c r="B463" i="17"/>
  <c r="B462" i="17"/>
  <c r="B461" i="17"/>
  <c r="G453" i="17"/>
  <c r="B449" i="17"/>
  <c r="B450" i="17" s="1"/>
  <c r="B446" i="17"/>
  <c r="B453" i="17" s="1"/>
  <c r="B455" i="17" s="1"/>
  <c r="B456" i="17" s="1"/>
  <c r="J428" i="17"/>
  <c r="I428" i="17"/>
  <c r="F428" i="17"/>
  <c r="E428" i="17"/>
  <c r="D428" i="17"/>
  <c r="H428" i="17" s="1"/>
  <c r="C428" i="17"/>
  <c r="G428" i="17" s="1"/>
  <c r="K428" i="17" s="1"/>
  <c r="J427" i="17"/>
  <c r="I427" i="17"/>
  <c r="F427" i="17"/>
  <c r="E427" i="17"/>
  <c r="D427" i="17"/>
  <c r="H427" i="17" s="1"/>
  <c r="C427" i="17"/>
  <c r="G427" i="17" s="1"/>
  <c r="J426" i="17"/>
  <c r="I426" i="17"/>
  <c r="F426" i="17"/>
  <c r="E426" i="17"/>
  <c r="D426" i="17"/>
  <c r="H426" i="17" s="1"/>
  <c r="C426" i="17"/>
  <c r="G426" i="17" s="1"/>
  <c r="J425" i="17"/>
  <c r="I425" i="17"/>
  <c r="F425" i="17"/>
  <c r="E425" i="17"/>
  <c r="D425" i="17"/>
  <c r="H425" i="17" s="1"/>
  <c r="C425" i="17"/>
  <c r="G425" i="17" s="1"/>
  <c r="K425" i="17" s="1"/>
  <c r="J424" i="17"/>
  <c r="I424" i="17"/>
  <c r="F424" i="17"/>
  <c r="E424" i="17"/>
  <c r="D424" i="17"/>
  <c r="H424" i="17" s="1"/>
  <c r="C424" i="17"/>
  <c r="G424" i="17" s="1"/>
  <c r="K424" i="17" s="1"/>
  <c r="H402" i="17"/>
  <c r="G402" i="17"/>
  <c r="F402" i="17"/>
  <c r="E402" i="17"/>
  <c r="D402" i="17"/>
  <c r="C402" i="17"/>
  <c r="H401" i="17"/>
  <c r="G401" i="17"/>
  <c r="F401" i="17"/>
  <c r="E401" i="17"/>
  <c r="D401" i="17"/>
  <c r="C401" i="17"/>
  <c r="H400" i="17"/>
  <c r="B437" i="17" s="1"/>
  <c r="G400" i="17"/>
  <c r="F400" i="17"/>
  <c r="E400" i="17"/>
  <c r="D400" i="17"/>
  <c r="C400" i="17"/>
  <c r="B385" i="17"/>
  <c r="B384" i="17" s="1"/>
  <c r="B383" i="17"/>
  <c r="B371" i="17"/>
  <c r="B372" i="17" s="1"/>
  <c r="B368" i="17"/>
  <c r="B375" i="17" s="1"/>
  <c r="G375" i="17" s="1"/>
  <c r="J350" i="17"/>
  <c r="I350" i="17"/>
  <c r="F350" i="17"/>
  <c r="E350" i="17"/>
  <c r="D350" i="17"/>
  <c r="H350" i="17" s="1"/>
  <c r="C350" i="17"/>
  <c r="G350" i="17" s="1"/>
  <c r="K350" i="17" s="1"/>
  <c r="J349" i="17"/>
  <c r="I349" i="17"/>
  <c r="F349" i="17"/>
  <c r="E349" i="17"/>
  <c r="D349" i="17"/>
  <c r="H349" i="17" s="1"/>
  <c r="C349" i="17"/>
  <c r="G349" i="17" s="1"/>
  <c r="J348" i="17"/>
  <c r="I348" i="17"/>
  <c r="F348" i="17"/>
  <c r="E348" i="17"/>
  <c r="D348" i="17"/>
  <c r="H348" i="17" s="1"/>
  <c r="C348" i="17"/>
  <c r="G348" i="17" s="1"/>
  <c r="K348" i="17" s="1"/>
  <c r="J347" i="17"/>
  <c r="I347" i="17"/>
  <c r="F347" i="17"/>
  <c r="E347" i="17"/>
  <c r="D347" i="17"/>
  <c r="H347" i="17" s="1"/>
  <c r="C347" i="17"/>
  <c r="G347" i="17" s="1"/>
  <c r="K347" i="17" s="1"/>
  <c r="J346" i="17"/>
  <c r="I346" i="17"/>
  <c r="F346" i="17"/>
  <c r="E346" i="17"/>
  <c r="D346" i="17"/>
  <c r="H346" i="17" s="1"/>
  <c r="C346" i="17"/>
  <c r="G346" i="17" s="1"/>
  <c r="K346" i="17" s="1"/>
  <c r="H325" i="17"/>
  <c r="G325" i="17"/>
  <c r="F325" i="17"/>
  <c r="E325" i="17"/>
  <c r="D325" i="17"/>
  <c r="C325" i="17"/>
  <c r="H324" i="17"/>
  <c r="G324" i="17"/>
  <c r="F324" i="17"/>
  <c r="E324" i="17"/>
  <c r="D324" i="17"/>
  <c r="C324" i="17"/>
  <c r="H323" i="17"/>
  <c r="G323" i="17"/>
  <c r="F323" i="17"/>
  <c r="E323" i="17"/>
  <c r="D323" i="17"/>
  <c r="C323" i="17"/>
  <c r="H322" i="17"/>
  <c r="B359" i="17" s="1"/>
  <c r="G322" i="17"/>
  <c r="F322" i="17"/>
  <c r="E322" i="17"/>
  <c r="D322" i="17"/>
  <c r="C322" i="17"/>
  <c r="B306" i="17"/>
  <c r="B305" i="17"/>
  <c r="B304" i="17"/>
  <c r="B292" i="17"/>
  <c r="B289" i="17"/>
  <c r="B296" i="17" s="1"/>
  <c r="B298" i="17" s="1"/>
  <c r="B299" i="17" s="1"/>
  <c r="J270" i="17"/>
  <c r="I270" i="17"/>
  <c r="F270" i="17"/>
  <c r="E270" i="17"/>
  <c r="D270" i="17"/>
  <c r="H270" i="17" s="1"/>
  <c r="C270" i="17"/>
  <c r="G270" i="17" s="1"/>
  <c r="K270" i="17" s="1"/>
  <c r="J269" i="17"/>
  <c r="I269" i="17"/>
  <c r="F269" i="17"/>
  <c r="E269" i="17"/>
  <c r="D269" i="17"/>
  <c r="H269" i="17" s="1"/>
  <c r="C269" i="17"/>
  <c r="G269" i="17" s="1"/>
  <c r="K269" i="17" s="1"/>
  <c r="J268" i="17"/>
  <c r="I268" i="17"/>
  <c r="F268" i="17"/>
  <c r="E268" i="17"/>
  <c r="D268" i="17"/>
  <c r="H268" i="17" s="1"/>
  <c r="C268" i="17"/>
  <c r="G268" i="17" s="1"/>
  <c r="K268" i="17" s="1"/>
  <c r="J267" i="17"/>
  <c r="I267" i="17"/>
  <c r="H267" i="17"/>
  <c r="F267" i="17"/>
  <c r="E267" i="17"/>
  <c r="D267" i="17"/>
  <c r="C267" i="17"/>
  <c r="G267" i="17" s="1"/>
  <c r="K267" i="17" s="1"/>
  <c r="H246" i="17"/>
  <c r="G246" i="17"/>
  <c r="F246" i="17"/>
  <c r="E246" i="17"/>
  <c r="D246" i="17"/>
  <c r="C246" i="17"/>
  <c r="H245" i="17"/>
  <c r="G245" i="17"/>
  <c r="F245" i="17"/>
  <c r="E245" i="17"/>
  <c r="D245" i="17"/>
  <c r="C245" i="17"/>
  <c r="H244" i="17"/>
  <c r="G244" i="17"/>
  <c r="F244" i="17"/>
  <c r="E244" i="17"/>
  <c r="D244" i="17"/>
  <c r="C244" i="17"/>
  <c r="H243" i="17"/>
  <c r="B280" i="17" s="1"/>
  <c r="B310" i="17" s="1"/>
  <c r="G243" i="17"/>
  <c r="F243" i="17"/>
  <c r="E243" i="17"/>
  <c r="D243" i="17"/>
  <c r="C243" i="17"/>
  <c r="B227" i="17"/>
  <c r="B226" i="17" s="1"/>
  <c r="B225" i="17"/>
  <c r="B219" i="17"/>
  <c r="B220" i="17" s="1"/>
  <c r="B213" i="17"/>
  <c r="B210" i="17"/>
  <c r="B217" i="17" s="1"/>
  <c r="G217" i="17" s="1"/>
  <c r="J190" i="17"/>
  <c r="I190" i="17"/>
  <c r="F190" i="17"/>
  <c r="E190" i="17"/>
  <c r="D190" i="17"/>
  <c r="H190" i="17" s="1"/>
  <c r="C190" i="17"/>
  <c r="G190" i="17" s="1"/>
  <c r="K190" i="17" s="1"/>
  <c r="J189" i="17"/>
  <c r="I189" i="17"/>
  <c r="F189" i="17"/>
  <c r="E189" i="17"/>
  <c r="D189" i="17"/>
  <c r="H189" i="17" s="1"/>
  <c r="C189" i="17"/>
  <c r="G189" i="17" s="1"/>
  <c r="K189" i="17" s="1"/>
  <c r="J188" i="17"/>
  <c r="I188" i="17"/>
  <c r="F188" i="17"/>
  <c r="E188" i="17"/>
  <c r="D188" i="17"/>
  <c r="H188" i="17" s="1"/>
  <c r="C188" i="17"/>
  <c r="G188" i="17" s="1"/>
  <c r="M180" i="17"/>
  <c r="L180" i="17"/>
  <c r="G180" i="17"/>
  <c r="F180" i="17"/>
  <c r="E180" i="17"/>
  <c r="D180" i="17"/>
  <c r="C180" i="17"/>
  <c r="I180" i="17" s="1"/>
  <c r="H165" i="17"/>
  <c r="G165" i="17"/>
  <c r="F165" i="17"/>
  <c r="E165" i="17"/>
  <c r="D165" i="17"/>
  <c r="C165" i="17"/>
  <c r="H164" i="17"/>
  <c r="B201" i="17" s="1"/>
  <c r="B202" i="17" s="1"/>
  <c r="B232" i="17" s="1"/>
  <c r="G164" i="17"/>
  <c r="F164" i="17"/>
  <c r="E164" i="17"/>
  <c r="D164" i="17"/>
  <c r="C164" i="17"/>
  <c r="B145" i="17"/>
  <c r="B147" i="17" s="1"/>
  <c r="B146" i="17" s="1"/>
  <c r="B68" i="17"/>
  <c r="B67" i="17" s="1"/>
  <c r="J28" i="17"/>
  <c r="B22" i="17"/>
  <c r="B21" i="17"/>
  <c r="V12" i="17"/>
  <c r="V11" i="17"/>
  <c r="V10" i="17"/>
  <c r="V9" i="17"/>
  <c r="V8" i="17"/>
  <c r="V7" i="17"/>
  <c r="AP48" i="6"/>
  <c r="AP50" i="6" s="1"/>
  <c r="AP49" i="6" s="1"/>
  <c r="AP43" i="6"/>
  <c r="AP47" i="6" s="1"/>
  <c r="AP42" i="6"/>
  <c r="AP46" i="6" s="1"/>
  <c r="AP35" i="6"/>
  <c r="AP34" i="6"/>
  <c r="AP30" i="6"/>
  <c r="AP28" i="6"/>
  <c r="AP27" i="6"/>
  <c r="AP26" i="6"/>
  <c r="AP33" i="6" s="1"/>
  <c r="AP24" i="6"/>
  <c r="AP23" i="6"/>
  <c r="AP20" i="6"/>
  <c r="AP19" i="6"/>
  <c r="AP9" i="6"/>
  <c r="AP7" i="6"/>
  <c r="AP17" i="6" s="1"/>
  <c r="AP6" i="6"/>
  <c r="AP16" i="6" s="1"/>
  <c r="AP5" i="6"/>
  <c r="AP15" i="6" s="1"/>
  <c r="AP4" i="6"/>
  <c r="AP14" i="6" s="1"/>
  <c r="K33" i="18" l="1"/>
  <c r="K108" i="18"/>
  <c r="K108" i="17"/>
  <c r="K34" i="18"/>
  <c r="F13" i="18"/>
  <c r="F17" i="18"/>
  <c r="F16" i="18"/>
  <c r="C17" i="18"/>
  <c r="B137" i="18"/>
  <c r="D12" i="18"/>
  <c r="E13" i="18"/>
  <c r="C15" i="18"/>
  <c r="D16" i="18"/>
  <c r="E17" i="18"/>
  <c r="C19" i="18"/>
  <c r="F12" i="18"/>
  <c r="C13" i="18"/>
  <c r="C12" i="18"/>
  <c r="D13" i="18"/>
  <c r="C16" i="18"/>
  <c r="D17" i="18"/>
  <c r="G58" i="18"/>
  <c r="B60" i="18"/>
  <c r="B61" i="18" s="1"/>
  <c r="G137" i="18"/>
  <c r="B139" i="18"/>
  <c r="B140" i="18" s="1"/>
  <c r="B612" i="18"/>
  <c r="B613" i="18" s="1"/>
  <c r="G610" i="18"/>
  <c r="B674" i="18"/>
  <c r="B704" i="18" s="1"/>
  <c r="B703" i="18"/>
  <c r="B360" i="18"/>
  <c r="B390" i="18" s="1"/>
  <c r="B389" i="18"/>
  <c r="B202" i="18"/>
  <c r="B232" i="18" s="1"/>
  <c r="B231" i="18"/>
  <c r="B438" i="18"/>
  <c r="B468" i="18" s="1"/>
  <c r="B467" i="18"/>
  <c r="K503" i="18"/>
  <c r="N573" i="18"/>
  <c r="H573" i="18" s="1"/>
  <c r="L28" i="18"/>
  <c r="B280" i="18"/>
  <c r="K346" i="18"/>
  <c r="K349" i="18"/>
  <c r="K427" i="18"/>
  <c r="B455" i="18"/>
  <c r="B456" i="18" s="1"/>
  <c r="B533" i="18"/>
  <c r="B534" i="18" s="1"/>
  <c r="B595" i="18"/>
  <c r="B625" i="18" s="1"/>
  <c r="K660" i="18"/>
  <c r="K740" i="18"/>
  <c r="K743" i="18"/>
  <c r="K747" i="18"/>
  <c r="G217" i="18"/>
  <c r="B219" i="18"/>
  <c r="B220" i="18" s="1"/>
  <c r="G375" i="18"/>
  <c r="B377" i="18"/>
  <c r="B378" i="18" s="1"/>
  <c r="B545" i="18"/>
  <c r="B516" i="18"/>
  <c r="B546" i="18" s="1"/>
  <c r="B298" i="18"/>
  <c r="B299" i="18" s="1"/>
  <c r="N652" i="18"/>
  <c r="H652" i="18" s="1"/>
  <c r="G689" i="18"/>
  <c r="B691" i="18"/>
  <c r="B692" i="18" s="1"/>
  <c r="B752" i="18"/>
  <c r="K109" i="17"/>
  <c r="K34" i="17"/>
  <c r="F12" i="17"/>
  <c r="C13" i="17"/>
  <c r="B137" i="17"/>
  <c r="G137" i="17" s="1"/>
  <c r="D12" i="17"/>
  <c r="E13" i="17"/>
  <c r="C15" i="17"/>
  <c r="D16" i="17"/>
  <c r="E17" i="17"/>
  <c r="C19" i="17"/>
  <c r="F13" i="17"/>
  <c r="F17" i="17"/>
  <c r="F16" i="17"/>
  <c r="C17" i="17"/>
  <c r="C12" i="17"/>
  <c r="D13" i="17"/>
  <c r="C16" i="17"/>
  <c r="D17" i="17"/>
  <c r="B360" i="17"/>
  <c r="B390" i="17" s="1"/>
  <c r="B389" i="17"/>
  <c r="K427" i="17"/>
  <c r="B516" i="17"/>
  <c r="B546" i="17" s="1"/>
  <c r="K502" i="17"/>
  <c r="K660" i="17"/>
  <c r="B231" i="17"/>
  <c r="B438" i="17"/>
  <c r="B468" i="17" s="1"/>
  <c r="B467" i="17"/>
  <c r="B753" i="17"/>
  <c r="B783" i="17" s="1"/>
  <c r="B595" i="17"/>
  <c r="B625" i="17" s="1"/>
  <c r="B612" i="17"/>
  <c r="B613" i="17" s="1"/>
  <c r="G610" i="17"/>
  <c r="N731" i="17"/>
  <c r="H731" i="17" s="1"/>
  <c r="K33" i="17"/>
  <c r="B60" i="17"/>
  <c r="B61" i="17" s="1"/>
  <c r="K188" i="17"/>
  <c r="G296" i="17"/>
  <c r="K349" i="17"/>
  <c r="B377" i="17"/>
  <c r="B378" i="17" s="1"/>
  <c r="K739" i="17"/>
  <c r="K742" i="17"/>
  <c r="K747" i="17"/>
  <c r="K750" i="17"/>
  <c r="L28" i="17"/>
  <c r="N180" i="17"/>
  <c r="H180" i="17" s="1"/>
  <c r="G531" i="17"/>
  <c r="N652" i="17"/>
  <c r="H652" i="17" s="1"/>
  <c r="B281" i="17"/>
  <c r="B311" i="17" s="1"/>
  <c r="K426" i="17"/>
  <c r="K504" i="17"/>
  <c r="K582" i="17"/>
  <c r="B674" i="17"/>
  <c r="B704" i="17" s="1"/>
  <c r="DL59" i="16"/>
  <c r="DL58" i="16"/>
  <c r="DL57" i="16"/>
  <c r="DL56" i="16"/>
  <c r="DL55" i="16"/>
  <c r="DL54" i="16"/>
  <c r="DL53" i="16"/>
  <c r="DL52" i="16"/>
  <c r="DL51" i="16"/>
  <c r="DL50" i="16"/>
  <c r="DL49" i="16"/>
  <c r="DL48" i="16"/>
  <c r="DL47" i="16"/>
  <c r="DL46" i="16"/>
  <c r="DL45" i="16"/>
  <c r="DL44" i="16"/>
  <c r="DL42" i="16"/>
  <c r="DL41" i="16"/>
  <c r="DL40" i="16"/>
  <c r="DL39" i="16"/>
  <c r="DL38" i="16"/>
  <c r="DL37" i="16"/>
  <c r="DL36" i="16"/>
  <c r="DL34" i="16"/>
  <c r="DL33" i="16"/>
  <c r="DL32" i="16"/>
  <c r="DL28" i="16"/>
  <c r="DL24" i="16"/>
  <c r="DL23" i="16"/>
  <c r="DL22" i="16"/>
  <c r="DL21" i="16"/>
  <c r="DL20" i="16"/>
  <c r="DL19" i="16"/>
  <c r="DL18" i="16"/>
  <c r="DL17" i="16"/>
  <c r="DL16" i="16"/>
  <c r="DL15" i="16"/>
  <c r="DL14" i="16"/>
  <c r="DL13" i="16"/>
  <c r="DL12" i="16"/>
  <c r="DL11" i="16"/>
  <c r="DL10" i="16"/>
  <c r="DL9" i="16"/>
  <c r="DL8" i="16"/>
  <c r="DL7" i="16"/>
  <c r="DL6" i="16"/>
  <c r="DL5" i="16"/>
  <c r="DL59" i="15"/>
  <c r="DL58" i="15"/>
  <c r="DL57" i="15"/>
  <c r="DL56" i="15"/>
  <c r="DL55" i="15"/>
  <c r="DL54" i="15"/>
  <c r="DL53" i="15"/>
  <c r="DL52" i="15"/>
  <c r="DL51" i="15"/>
  <c r="DL50" i="15"/>
  <c r="DL49" i="15"/>
  <c r="DL48" i="15"/>
  <c r="DL47" i="15"/>
  <c r="DL46" i="15"/>
  <c r="DL45" i="15"/>
  <c r="DL44" i="15"/>
  <c r="DL42" i="15"/>
  <c r="DL41" i="15"/>
  <c r="DL40" i="15"/>
  <c r="DL39" i="15"/>
  <c r="DL38" i="15"/>
  <c r="DL37" i="15"/>
  <c r="DL34" i="15"/>
  <c r="DL33" i="15"/>
  <c r="DL32" i="15"/>
  <c r="DL28" i="15"/>
  <c r="DL24" i="15"/>
  <c r="DL23" i="15"/>
  <c r="DL22" i="15"/>
  <c r="DL21" i="15"/>
  <c r="DL20" i="15"/>
  <c r="DL19" i="15"/>
  <c r="DL18" i="15"/>
  <c r="DL17" i="15"/>
  <c r="DL16" i="15"/>
  <c r="DL15" i="15"/>
  <c r="DL14" i="15"/>
  <c r="DL13" i="15"/>
  <c r="DL12" i="15"/>
  <c r="DL11" i="15"/>
  <c r="DL10" i="15"/>
  <c r="DL9" i="15"/>
  <c r="DL8" i="15"/>
  <c r="DL7" i="15"/>
  <c r="DL6" i="15"/>
  <c r="DL5" i="15"/>
  <c r="DL5" i="6"/>
  <c r="DL59" i="6"/>
  <c r="DL58" i="6"/>
  <c r="DL57" i="6"/>
  <c r="DL56" i="6"/>
  <c r="DL55" i="6"/>
  <c r="DL54" i="6"/>
  <c r="DL53" i="6"/>
  <c r="DL52" i="6"/>
  <c r="DL51" i="6"/>
  <c r="DL50" i="6"/>
  <c r="DL49" i="6"/>
  <c r="DL48" i="6"/>
  <c r="DL47" i="6"/>
  <c r="DL46" i="6"/>
  <c r="DL45" i="6"/>
  <c r="DL44" i="6"/>
  <c r="DL42" i="6"/>
  <c r="DL41" i="6"/>
  <c r="DL40" i="6"/>
  <c r="DL39" i="6"/>
  <c r="DL38" i="6"/>
  <c r="DL37" i="6"/>
  <c r="DL36" i="6"/>
  <c r="DL33" i="6"/>
  <c r="DL32" i="6"/>
  <c r="DL28" i="6"/>
  <c r="DL24" i="6"/>
  <c r="DL23" i="6"/>
  <c r="DL22" i="6"/>
  <c r="DL21" i="6"/>
  <c r="DL20" i="6"/>
  <c r="DL19" i="6"/>
  <c r="DL18" i="6"/>
  <c r="DL17" i="6"/>
  <c r="DL16" i="6"/>
  <c r="DL15" i="6"/>
  <c r="DL14" i="6"/>
  <c r="DL13" i="6"/>
  <c r="DL12" i="6"/>
  <c r="DL11" i="6"/>
  <c r="DL10" i="6"/>
  <c r="DL9" i="6"/>
  <c r="DL8" i="6"/>
  <c r="DL7" i="6"/>
  <c r="DL6" i="6"/>
  <c r="B281" i="18" l="1"/>
  <c r="B311" i="18" s="1"/>
  <c r="B310" i="18"/>
  <c r="B782" i="18"/>
  <c r="B753" i="18"/>
  <c r="B783" i="18" s="1"/>
  <c r="B140" i="17"/>
  <c r="AE56" i="16"/>
  <c r="AD56" i="16"/>
  <c r="AE55" i="16"/>
  <c r="AD55" i="16"/>
  <c r="AE54" i="16"/>
  <c r="AD54" i="16"/>
  <c r="AE52" i="16"/>
  <c r="AG49" i="16" s="1"/>
  <c r="U16" i="16" s="1"/>
  <c r="AD50" i="16"/>
  <c r="AE49" i="16"/>
  <c r="AE46" i="16"/>
  <c r="AD46" i="16"/>
  <c r="AE45" i="16"/>
  <c r="AD45" i="16"/>
  <c r="AE44" i="16"/>
  <c r="AD44" i="16"/>
  <c r="AE43" i="16"/>
  <c r="AD43" i="16"/>
  <c r="AE42" i="16"/>
  <c r="AD42" i="16"/>
  <c r="AA40" i="16" s="1"/>
  <c r="AG40" i="16"/>
  <c r="AE40" i="16"/>
  <c r="AD36" i="16"/>
  <c r="AG35" i="16"/>
  <c r="AE35" i="16"/>
  <c r="AE32" i="16"/>
  <c r="AD32" i="16"/>
  <c r="AE31" i="16"/>
  <c r="AD31" i="16"/>
  <c r="AE30" i="16"/>
  <c r="AD30" i="16"/>
  <c r="AE29" i="16"/>
  <c r="AD29" i="16"/>
  <c r="AG27" i="16"/>
  <c r="AE27" i="16"/>
  <c r="AE25" i="16"/>
  <c r="AD25" i="16"/>
  <c r="AE24" i="16"/>
  <c r="AD24" i="16"/>
  <c r="AE23" i="16"/>
  <c r="AE21" i="16" s="1"/>
  <c r="AD23" i="16"/>
  <c r="AE19" i="16"/>
  <c r="AD19" i="16"/>
  <c r="AE18" i="16"/>
  <c r="AD18" i="16"/>
  <c r="AE17" i="16"/>
  <c r="AD17" i="16"/>
  <c r="AE16" i="16"/>
  <c r="AE15" i="16"/>
  <c r="AE13" i="16" s="1"/>
  <c r="S20" i="16" s="1"/>
  <c r="T20" i="16" s="1"/>
  <c r="AD15" i="16"/>
  <c r="AG13" i="16"/>
  <c r="U9" i="16" s="1"/>
  <c r="AA13" i="16"/>
  <c r="AE10" i="16"/>
  <c r="AD10" i="16"/>
  <c r="AE9" i="16"/>
  <c r="AD9" i="16"/>
  <c r="AA5" i="16" s="1"/>
  <c r="Q25" i="16" s="1"/>
  <c r="AE8" i="16"/>
  <c r="AA8" i="16"/>
  <c r="AE7" i="16"/>
  <c r="AD7" i="16"/>
  <c r="AG5" i="16"/>
  <c r="AE5" i="16"/>
  <c r="S15" i="16" s="1"/>
  <c r="T15" i="16" s="1"/>
  <c r="DF79" i="16"/>
  <c r="DF78" i="16"/>
  <c r="DF77" i="16"/>
  <c r="DF76" i="16"/>
  <c r="DF75" i="16"/>
  <c r="DF73" i="16"/>
  <c r="DF72" i="16"/>
  <c r="DF71" i="16"/>
  <c r="DF70" i="16"/>
  <c r="DF68" i="16"/>
  <c r="DF67" i="16"/>
  <c r="DF66" i="16"/>
  <c r="DF65" i="16"/>
  <c r="DF63" i="16"/>
  <c r="DF62" i="16"/>
  <c r="DF61" i="16"/>
  <c r="DF59" i="16"/>
  <c r="DF58" i="16"/>
  <c r="DF57" i="16"/>
  <c r="DF56" i="16"/>
  <c r="DF55" i="16"/>
  <c r="DF54" i="16"/>
  <c r="DF53" i="16"/>
  <c r="DF52" i="16"/>
  <c r="CC52" i="16"/>
  <c r="CR49" i="16" s="1"/>
  <c r="DF51" i="16"/>
  <c r="CC51" i="16"/>
  <c r="DF50" i="16"/>
  <c r="CC50" i="16"/>
  <c r="BN50" i="16"/>
  <c r="DF49" i="16"/>
  <c r="CQ49" i="16"/>
  <c r="CC49" i="16"/>
  <c r="BN49" i="16"/>
  <c r="DF48" i="16"/>
  <c r="CR48" i="16"/>
  <c r="CQ48" i="16"/>
  <c r="CC48" i="16"/>
  <c r="CR45" i="16" s="1"/>
  <c r="BN48" i="16"/>
  <c r="CQ47" i="16" s="1"/>
  <c r="DF47" i="16"/>
  <c r="CR47" i="16"/>
  <c r="CC47" i="16"/>
  <c r="BN47" i="16"/>
  <c r="CQ46" i="16" s="1"/>
  <c r="DF46" i="16"/>
  <c r="CR46" i="16"/>
  <c r="CC46" i="16"/>
  <c r="CR43" i="16" s="1"/>
  <c r="BN46" i="16"/>
  <c r="CQ45" i="16" s="1"/>
  <c r="DF45" i="16"/>
  <c r="CC45" i="16"/>
  <c r="BN45" i="16"/>
  <c r="DF44" i="16"/>
  <c r="CR44" i="16"/>
  <c r="CQ44" i="16"/>
  <c r="CC44" i="16"/>
  <c r="BN44" i="16"/>
  <c r="CQ43" i="16" s="1"/>
  <c r="BN43" i="16"/>
  <c r="DF42" i="16"/>
  <c r="CR42" i="16"/>
  <c r="CQ42" i="16"/>
  <c r="CC42" i="16"/>
  <c r="BN42" i="16"/>
  <c r="CQ41" i="16" s="1"/>
  <c r="C42" i="16"/>
  <c r="DF41" i="16"/>
  <c r="CR41" i="16"/>
  <c r="CC41" i="16"/>
  <c r="DF40" i="16"/>
  <c r="CC40" i="16"/>
  <c r="BN40" i="16"/>
  <c r="CQ39" i="16" s="1"/>
  <c r="AR40" i="16"/>
  <c r="DF39" i="16"/>
  <c r="CR39" i="16"/>
  <c r="CC39" i="16"/>
  <c r="BN39" i="16"/>
  <c r="DF38" i="16"/>
  <c r="CR38" i="16"/>
  <c r="CQ38" i="16"/>
  <c r="BN38" i="16"/>
  <c r="DF37" i="16"/>
  <c r="CR37" i="16"/>
  <c r="CQ37" i="16"/>
  <c r="CC37" i="16"/>
  <c r="BN37" i="16"/>
  <c r="O37" i="16"/>
  <c r="DF36" i="16"/>
  <c r="CR36" i="16"/>
  <c r="CQ36" i="16"/>
  <c r="CC36" i="16"/>
  <c r="G36" i="16"/>
  <c r="B36" i="16" s="1"/>
  <c r="DF35" i="16"/>
  <c r="CC35" i="16"/>
  <c r="CR32" i="16" s="1"/>
  <c r="BN35" i="16"/>
  <c r="U10" i="16"/>
  <c r="DF34" i="16"/>
  <c r="CR34" i="16"/>
  <c r="CQ34" i="16"/>
  <c r="CC34" i="16"/>
  <c r="BN34" i="16"/>
  <c r="DF33" i="16"/>
  <c r="CR33" i="16"/>
  <c r="CQ33" i="16"/>
  <c r="CC33" i="16"/>
  <c r="CR30" i="16" s="1"/>
  <c r="BN33" i="16"/>
  <c r="DF32" i="16"/>
  <c r="CQ32" i="16"/>
  <c r="CC32" i="16"/>
  <c r="BN32" i="16"/>
  <c r="CR31" i="16"/>
  <c r="CQ31" i="16"/>
  <c r="BN31" i="16"/>
  <c r="DF30" i="16"/>
  <c r="CQ30" i="16"/>
  <c r="CC30" i="16"/>
  <c r="BN30" i="16"/>
  <c r="AZ30" i="16"/>
  <c r="DF29" i="16"/>
  <c r="CR29" i="16"/>
  <c r="CQ29" i="16"/>
  <c r="CP29" i="16"/>
  <c r="CC29" i="16"/>
  <c r="U29" i="16"/>
  <c r="DF28" i="16"/>
  <c r="CC28" i="16"/>
  <c r="BN28" i="16"/>
  <c r="CQ27" i="16" s="1"/>
  <c r="DF27" i="16"/>
  <c r="CR27" i="16"/>
  <c r="BN27" i="16"/>
  <c r="CQ26" i="16" s="1"/>
  <c r="CR26" i="16"/>
  <c r="CC26" i="16"/>
  <c r="CR23" i="16" s="1"/>
  <c r="BN26" i="16"/>
  <c r="U26" i="16"/>
  <c r="O26" i="16"/>
  <c r="B26" i="16"/>
  <c r="CR25" i="16"/>
  <c r="CQ25" i="16"/>
  <c r="CC25" i="16"/>
  <c r="CE25" i="16" s="1"/>
  <c r="O25" i="16"/>
  <c r="DF24" i="16"/>
  <c r="CE24" i="16"/>
  <c r="CC24" i="16"/>
  <c r="BN24" i="16"/>
  <c r="CQ23" i="16" s="1"/>
  <c r="Q24" i="16"/>
  <c r="G91" i="18" s="1"/>
  <c r="DF23" i="16"/>
  <c r="CE23" i="16"/>
  <c r="CC23" i="16"/>
  <c r="BN23" i="16"/>
  <c r="CQ22" i="16" s="1"/>
  <c r="AR23" i="16"/>
  <c r="Q23" i="16"/>
  <c r="G90" i="18" s="1"/>
  <c r="DF22" i="16"/>
  <c r="CR22" i="16"/>
  <c r="CE22" i="16"/>
  <c r="CC22" i="16"/>
  <c r="CR19" i="16" s="1"/>
  <c r="BN22" i="16"/>
  <c r="U22" i="16"/>
  <c r="Q22" i="16"/>
  <c r="G89" i="18" s="1"/>
  <c r="DF21" i="16"/>
  <c r="CR21" i="16"/>
  <c r="CQ21" i="16"/>
  <c r="CE21" i="16"/>
  <c r="CC21" i="16"/>
  <c r="CR18" i="16" s="1"/>
  <c r="BN21" i="16"/>
  <c r="Q21" i="16"/>
  <c r="G88" i="18" s="1"/>
  <c r="DF20" i="16"/>
  <c r="CR20" i="16"/>
  <c r="CQ20" i="16"/>
  <c r="BN20" i="16"/>
  <c r="DF19" i="16"/>
  <c r="CQ19" i="16"/>
  <c r="CC19" i="16"/>
  <c r="CR16" i="16" s="1"/>
  <c r="BN19" i="16"/>
  <c r="CQ18" i="16" s="1"/>
  <c r="B19" i="16"/>
  <c r="DF18" i="16"/>
  <c r="CC18" i="16"/>
  <c r="DF17" i="16"/>
  <c r="CC17" i="16"/>
  <c r="BN17" i="16"/>
  <c r="CQ16" i="16" s="1"/>
  <c r="DF16" i="16"/>
  <c r="CC16" i="16"/>
  <c r="BN16" i="16"/>
  <c r="CQ15" i="16" s="1"/>
  <c r="S16" i="16"/>
  <c r="T16" i="16" s="1"/>
  <c r="Q16" i="16"/>
  <c r="O16" i="16"/>
  <c r="F16" i="16"/>
  <c r="DF15" i="16"/>
  <c r="CR15" i="16"/>
  <c r="BN15" i="16"/>
  <c r="CQ14" i="16" s="1"/>
  <c r="DF14" i="16"/>
  <c r="CR14" i="16"/>
  <c r="BN14" i="16"/>
  <c r="DF13" i="16"/>
  <c r="CR13" i="16"/>
  <c r="CQ13" i="16"/>
  <c r="CC13" i="16"/>
  <c r="U20" i="16"/>
  <c r="Q13" i="16"/>
  <c r="G19" i="18" s="1"/>
  <c r="H13" i="16"/>
  <c r="DF12" i="16"/>
  <c r="CC12" i="16"/>
  <c r="CR9" i="16" s="1"/>
  <c r="BN12" i="16"/>
  <c r="CQ11" i="16" s="1"/>
  <c r="Q12" i="16"/>
  <c r="G18" i="18" s="1"/>
  <c r="H12" i="16"/>
  <c r="O23" i="16" s="1"/>
  <c r="S23" i="16" s="1"/>
  <c r="T23" i="16" s="1"/>
  <c r="DF11" i="16"/>
  <c r="CR11" i="16"/>
  <c r="CC11" i="16"/>
  <c r="BN11" i="16"/>
  <c r="CQ10" i="16" s="1"/>
  <c r="Q11" i="16"/>
  <c r="G17" i="18" s="1"/>
  <c r="H11" i="16"/>
  <c r="O22" i="16" s="1"/>
  <c r="S22" i="16" s="1"/>
  <c r="T22" i="16" s="1"/>
  <c r="DF10" i="16"/>
  <c r="CR10" i="16"/>
  <c r="BN10" i="16"/>
  <c r="CQ9" i="16" s="1"/>
  <c r="U15" i="16"/>
  <c r="Q10" i="16"/>
  <c r="H10" i="16"/>
  <c r="O21" i="16" s="1"/>
  <c r="DF9" i="16"/>
  <c r="CC9" i="16"/>
  <c r="BN9" i="16"/>
  <c r="H9" i="16"/>
  <c r="O13" i="16" s="1"/>
  <c r="DF8" i="16"/>
  <c r="CR8" i="16"/>
  <c r="CQ8" i="16"/>
  <c r="CC8" i="16"/>
  <c r="H8" i="16"/>
  <c r="F8" i="16" s="1"/>
  <c r="DF7" i="16"/>
  <c r="CC7" i="16"/>
  <c r="CR4" i="16" s="1"/>
  <c r="BN7" i="16"/>
  <c r="H7" i="16"/>
  <c r="F7" i="16" s="1"/>
  <c r="B7" i="16"/>
  <c r="DF6" i="16"/>
  <c r="CR6" i="16"/>
  <c r="CQ6" i="16"/>
  <c r="CC6" i="16"/>
  <c r="BN6" i="16"/>
  <c r="CQ5" i="16" s="1"/>
  <c r="H6" i="16"/>
  <c r="O10" i="16" s="1"/>
  <c r="S10" i="16" s="1"/>
  <c r="T10" i="16" s="1"/>
  <c r="B6" i="16"/>
  <c r="DF5" i="16"/>
  <c r="CR5" i="16"/>
  <c r="BN5" i="16"/>
  <c r="CQ4" i="16" s="1"/>
  <c r="BN4" i="16"/>
  <c r="G4" i="16"/>
  <c r="F11" i="16" s="1"/>
  <c r="B4" i="16"/>
  <c r="O39" i="16" s="1"/>
  <c r="CR3" i="16"/>
  <c r="CQ3" i="16"/>
  <c r="AD36" i="15"/>
  <c r="AG35" i="15"/>
  <c r="AE35" i="15"/>
  <c r="AE10" i="15"/>
  <c r="AG5" i="15" s="1"/>
  <c r="U15" i="15" s="1"/>
  <c r="AD10" i="15"/>
  <c r="AE9" i="15"/>
  <c r="AD9" i="15"/>
  <c r="AA5" i="15" s="1"/>
  <c r="AE8" i="15"/>
  <c r="AE5" i="15" s="1"/>
  <c r="S15" i="15" s="1"/>
  <c r="T15" i="15" s="1"/>
  <c r="AA8" i="15"/>
  <c r="AE7" i="15"/>
  <c r="AD7" i="15"/>
  <c r="DF76" i="15"/>
  <c r="DF75" i="15"/>
  <c r="DF73" i="15"/>
  <c r="DF72" i="15"/>
  <c r="DF71" i="15"/>
  <c r="DF70" i="15"/>
  <c r="DF68" i="15"/>
  <c r="DF67" i="15"/>
  <c r="DF66" i="15"/>
  <c r="DF65" i="15"/>
  <c r="DF63" i="15"/>
  <c r="DF62" i="15"/>
  <c r="DF61" i="15"/>
  <c r="DF59" i="15"/>
  <c r="DF58" i="15"/>
  <c r="DF57" i="15"/>
  <c r="AE57" i="15"/>
  <c r="AD57" i="15"/>
  <c r="DF56" i="15"/>
  <c r="AE56" i="15"/>
  <c r="AD56" i="15"/>
  <c r="DF55" i="15"/>
  <c r="AE55" i="15"/>
  <c r="AD55" i="15"/>
  <c r="DF54" i="15"/>
  <c r="DF53" i="15"/>
  <c r="DF52" i="15"/>
  <c r="CC52" i="15"/>
  <c r="DF51" i="15"/>
  <c r="CC51" i="15"/>
  <c r="DF50" i="15"/>
  <c r="CC50" i="15"/>
  <c r="BN50" i="15"/>
  <c r="AD50" i="15"/>
  <c r="DF49" i="15"/>
  <c r="CR49" i="15"/>
  <c r="CQ49" i="15"/>
  <c r="CC49" i="15"/>
  <c r="BN49" i="15"/>
  <c r="CQ48" i="15" s="1"/>
  <c r="AG49" i="15"/>
  <c r="AE49" i="15"/>
  <c r="DF48" i="15"/>
  <c r="CR48" i="15"/>
  <c r="CC48" i="15"/>
  <c r="BN48" i="15"/>
  <c r="CQ47" i="15" s="1"/>
  <c r="DF47" i="15"/>
  <c r="CR47" i="15"/>
  <c r="CC47" i="15"/>
  <c r="BN47" i="15"/>
  <c r="CQ46" i="15" s="1"/>
  <c r="DF46" i="15"/>
  <c r="CR46" i="15"/>
  <c r="CC46" i="15"/>
  <c r="CR43" i="15" s="1"/>
  <c r="BN46" i="15"/>
  <c r="CQ45" i="15" s="1"/>
  <c r="AE46" i="15"/>
  <c r="AD46" i="15"/>
  <c r="DF45" i="15"/>
  <c r="CR45" i="15"/>
  <c r="CC45" i="15"/>
  <c r="BN45" i="15"/>
  <c r="CQ44" i="15" s="1"/>
  <c r="AE45" i="15"/>
  <c r="AD45" i="15"/>
  <c r="DF44" i="15"/>
  <c r="CR44" i="15"/>
  <c r="CC44" i="15"/>
  <c r="BN44" i="15"/>
  <c r="AE44" i="15"/>
  <c r="AD44" i="15"/>
  <c r="CQ43" i="15"/>
  <c r="BN43" i="15"/>
  <c r="CQ42" i="15" s="1"/>
  <c r="AE43" i="15"/>
  <c r="AD43" i="15"/>
  <c r="AA40" i="15" s="1"/>
  <c r="Q14" i="15" s="1"/>
  <c r="F28" i="17" s="1"/>
  <c r="M28" i="17" s="1"/>
  <c r="N28" i="17" s="1"/>
  <c r="H28" i="17" s="1"/>
  <c r="DL36" i="15" s="1"/>
  <c r="DF42" i="15"/>
  <c r="CR42" i="15"/>
  <c r="CC42" i="15"/>
  <c r="BN42" i="15"/>
  <c r="CQ41" i="15" s="1"/>
  <c r="AE42" i="15"/>
  <c r="AE40" i="15" s="1"/>
  <c r="AD42" i="15"/>
  <c r="C42" i="15"/>
  <c r="DF41" i="15"/>
  <c r="CR41" i="15"/>
  <c r="CC41" i="15"/>
  <c r="DF40" i="15"/>
  <c r="CC40" i="15"/>
  <c r="BN40" i="15"/>
  <c r="CQ39" i="15" s="1"/>
  <c r="AR40" i="15"/>
  <c r="AG40" i="15"/>
  <c r="DF39" i="15"/>
  <c r="CR39" i="15"/>
  <c r="CC39" i="15"/>
  <c r="BN39" i="15"/>
  <c r="DF38" i="15"/>
  <c r="CR38" i="15"/>
  <c r="CQ38" i="15"/>
  <c r="BN38" i="15"/>
  <c r="CQ37" i="15" s="1"/>
  <c r="DF37" i="15"/>
  <c r="CR37" i="15"/>
  <c r="CC37" i="15"/>
  <c r="BN37" i="15"/>
  <c r="CQ36" i="15" s="1"/>
  <c r="O37" i="15"/>
  <c r="DF36" i="15"/>
  <c r="CR36" i="15"/>
  <c r="CC36" i="15"/>
  <c r="CR33" i="15" s="1"/>
  <c r="G36" i="15"/>
  <c r="B36" i="15"/>
  <c r="DF35" i="15"/>
  <c r="CC35" i="15"/>
  <c r="CR32" i="15" s="1"/>
  <c r="BN35" i="15"/>
  <c r="DF34" i="15"/>
  <c r="CR34" i="15"/>
  <c r="CQ34" i="15"/>
  <c r="CC34" i="15"/>
  <c r="BN34" i="15"/>
  <c r="DF33" i="15"/>
  <c r="CQ33" i="15"/>
  <c r="CC33" i="15"/>
  <c r="BN33" i="15"/>
  <c r="DF32" i="15"/>
  <c r="CQ32" i="15"/>
  <c r="CC32" i="15"/>
  <c r="BN32" i="15"/>
  <c r="CQ31" i="15" s="1"/>
  <c r="AE32" i="15"/>
  <c r="AD32" i="15"/>
  <c r="CR31" i="15"/>
  <c r="BN31" i="15"/>
  <c r="CQ30" i="15" s="1"/>
  <c r="AE31" i="15"/>
  <c r="AD31" i="15"/>
  <c r="DF30" i="15"/>
  <c r="CR30" i="15"/>
  <c r="CC30" i="15"/>
  <c r="BN30" i="15"/>
  <c r="CQ29" i="15" s="1"/>
  <c r="AZ30" i="15"/>
  <c r="AE30" i="15"/>
  <c r="AD30" i="15"/>
  <c r="DF29" i="15"/>
  <c r="CR29" i="15"/>
  <c r="CP29" i="15"/>
  <c r="CC29" i="15"/>
  <c r="AE29" i="15"/>
  <c r="AG27" i="15" s="1"/>
  <c r="U26" i="15" s="1"/>
  <c r="AD29" i="15"/>
  <c r="U29" i="15"/>
  <c r="DF28" i="15"/>
  <c r="CC28" i="15"/>
  <c r="CR25" i="15" s="1"/>
  <c r="BN28" i="15"/>
  <c r="DF27" i="15"/>
  <c r="CR27" i="15"/>
  <c r="CQ27" i="15"/>
  <c r="BN27" i="15"/>
  <c r="CR26" i="15"/>
  <c r="CQ26" i="15"/>
  <c r="CC26" i="15"/>
  <c r="CR23" i="15" s="1"/>
  <c r="BN26" i="15"/>
  <c r="O26" i="15"/>
  <c r="B26" i="15"/>
  <c r="CQ25" i="15"/>
  <c r="CE25" i="15"/>
  <c r="CC25" i="15"/>
  <c r="AE25" i="15"/>
  <c r="AD25" i="15"/>
  <c r="O25" i="15"/>
  <c r="DF24" i="15"/>
  <c r="CE24" i="15"/>
  <c r="CC24" i="15"/>
  <c r="BN24" i="15"/>
  <c r="AE24" i="15"/>
  <c r="AD24" i="15"/>
  <c r="U24" i="15"/>
  <c r="Q24" i="15"/>
  <c r="DF23" i="15"/>
  <c r="CQ23" i="15"/>
  <c r="CE23" i="15"/>
  <c r="CC23" i="15"/>
  <c r="BN23" i="15"/>
  <c r="CQ22" i="15" s="1"/>
  <c r="AR23" i="15"/>
  <c r="AE23" i="15"/>
  <c r="AE21" i="15" s="1"/>
  <c r="AD23" i="15"/>
  <c r="Q23" i="15"/>
  <c r="G90" i="17" s="1"/>
  <c r="DF22" i="15"/>
  <c r="CR22" i="15"/>
  <c r="CE22" i="15"/>
  <c r="CC22" i="15"/>
  <c r="BN22" i="15"/>
  <c r="Q22" i="15"/>
  <c r="G89" i="17" s="1"/>
  <c r="DF21" i="15"/>
  <c r="CR21" i="15"/>
  <c r="CQ21" i="15"/>
  <c r="CE21" i="15"/>
  <c r="CC21" i="15"/>
  <c r="CR18" i="15" s="1"/>
  <c r="BN21" i="15"/>
  <c r="Q21" i="15"/>
  <c r="O21" i="15"/>
  <c r="DF20" i="15"/>
  <c r="CR20" i="15"/>
  <c r="CQ20" i="15"/>
  <c r="BN20" i="15"/>
  <c r="CQ19" i="15" s="1"/>
  <c r="DF19" i="15"/>
  <c r="CR19" i="15"/>
  <c r="CC19" i="15"/>
  <c r="BN19" i="15"/>
  <c r="AE19" i="15"/>
  <c r="AD19" i="15"/>
  <c r="B19" i="15"/>
  <c r="DF18" i="15"/>
  <c r="CQ18" i="15"/>
  <c r="CC18" i="15"/>
  <c r="CR15" i="15" s="1"/>
  <c r="AE18" i="15"/>
  <c r="AD18" i="15"/>
  <c r="DF17" i="15"/>
  <c r="CC17" i="15"/>
  <c r="BN17" i="15"/>
  <c r="AE17" i="15"/>
  <c r="AD17" i="15"/>
  <c r="DF16" i="15"/>
  <c r="CR16" i="15"/>
  <c r="CQ16" i="15"/>
  <c r="CC16" i="15"/>
  <c r="BN16" i="15"/>
  <c r="AE16" i="15"/>
  <c r="AE13" i="15" s="1"/>
  <c r="Q16" i="15"/>
  <c r="O16" i="15"/>
  <c r="DF15" i="15"/>
  <c r="CQ15" i="15"/>
  <c r="BN15" i="15"/>
  <c r="AE15" i="15"/>
  <c r="AD15" i="15"/>
  <c r="DF14" i="15"/>
  <c r="CR14" i="15"/>
  <c r="CQ14" i="15"/>
  <c r="BN14" i="15"/>
  <c r="CQ13" i="15" s="1"/>
  <c r="DF13" i="15"/>
  <c r="CR13" i="15"/>
  <c r="CC13" i="15"/>
  <c r="AG13" i="15"/>
  <c r="AA13" i="15"/>
  <c r="Q13" i="15"/>
  <c r="G19" i="17" s="1"/>
  <c r="H13" i="15"/>
  <c r="O24" i="15" s="1"/>
  <c r="S24" i="15" s="1"/>
  <c r="T24" i="15" s="1"/>
  <c r="DF12" i="15"/>
  <c r="CC12" i="15"/>
  <c r="CR9" i="15" s="1"/>
  <c r="BN12" i="15"/>
  <c r="U12" i="15"/>
  <c r="S12" i="15"/>
  <c r="T12" i="15" s="1"/>
  <c r="Q12" i="15"/>
  <c r="G18" i="17" s="1"/>
  <c r="H12" i="15"/>
  <c r="DF11" i="15"/>
  <c r="CR11" i="15"/>
  <c r="CQ11" i="15"/>
  <c r="CC11" i="15"/>
  <c r="CR8" i="15" s="1"/>
  <c r="BN11" i="15"/>
  <c r="Q11" i="15"/>
  <c r="G17" i="17" s="1"/>
  <c r="H11" i="15"/>
  <c r="DF10" i="15"/>
  <c r="CR10" i="15"/>
  <c r="CQ10" i="15"/>
  <c r="BN10" i="15"/>
  <c r="CQ9" i="15" s="1"/>
  <c r="Q10" i="15"/>
  <c r="G16" i="17" s="1"/>
  <c r="O10" i="15"/>
  <c r="H10" i="15"/>
  <c r="DF9" i="15"/>
  <c r="CC9" i="15"/>
  <c r="BN9" i="15"/>
  <c r="H9" i="15"/>
  <c r="DF8" i="15"/>
  <c r="CQ8" i="15"/>
  <c r="CC8" i="15"/>
  <c r="CR5" i="15" s="1"/>
  <c r="H8" i="15"/>
  <c r="O12" i="15" s="1"/>
  <c r="DF7" i="15"/>
  <c r="CC7" i="15"/>
  <c r="BN7" i="15"/>
  <c r="CQ6" i="15" s="1"/>
  <c r="H7" i="15"/>
  <c r="O11" i="15" s="1"/>
  <c r="U11" i="15" s="1"/>
  <c r="B7" i="15"/>
  <c r="DF6" i="15"/>
  <c r="CR6" i="15"/>
  <c r="CC6" i="15"/>
  <c r="BN6" i="15"/>
  <c r="CQ5" i="15" s="1"/>
  <c r="H6" i="15"/>
  <c r="B6" i="15"/>
  <c r="B8" i="15" s="1"/>
  <c r="DF5" i="15"/>
  <c r="BN5" i="15"/>
  <c r="CQ4" i="15" s="1"/>
  <c r="CR4" i="15"/>
  <c r="BN4" i="15"/>
  <c r="G4" i="15"/>
  <c r="F10" i="15" s="1"/>
  <c r="B4" i="15"/>
  <c r="CR3" i="15"/>
  <c r="CQ3" i="15"/>
  <c r="R10" i="16" l="1"/>
  <c r="G16" i="18"/>
  <c r="AZ44" i="16"/>
  <c r="CP43" i="16" s="1"/>
  <c r="AP45" i="16"/>
  <c r="DL76" i="16" s="1"/>
  <c r="AP44" i="16"/>
  <c r="DL75" i="16" s="1"/>
  <c r="R25" i="16"/>
  <c r="H92" i="18" s="1"/>
  <c r="G92" i="18"/>
  <c r="R16" i="16"/>
  <c r="H22" i="18" s="1"/>
  <c r="G22" i="18"/>
  <c r="R21" i="15"/>
  <c r="G88" i="17"/>
  <c r="R24" i="15"/>
  <c r="H91" i="17" s="1"/>
  <c r="G91" i="17"/>
  <c r="R16" i="15"/>
  <c r="H22" i="17" s="1"/>
  <c r="G22" i="17"/>
  <c r="AP45" i="15"/>
  <c r="DL76" i="15" s="1"/>
  <c r="AP44" i="15"/>
  <c r="DL75" i="15" s="1"/>
  <c r="AG21" i="16"/>
  <c r="U13" i="16"/>
  <c r="S13" i="16"/>
  <c r="T13" i="16" s="1"/>
  <c r="S21" i="16"/>
  <c r="T21" i="16" s="1"/>
  <c r="U21" i="16"/>
  <c r="R13" i="16"/>
  <c r="H19" i="18" s="1"/>
  <c r="S29" i="16"/>
  <c r="T29" i="16" s="1"/>
  <c r="S26" i="16"/>
  <c r="F18" i="16"/>
  <c r="B23" i="16"/>
  <c r="S9" i="16"/>
  <c r="T9" i="16" s="1"/>
  <c r="F10" i="16"/>
  <c r="O12" i="16"/>
  <c r="Q15" i="16"/>
  <c r="S25" i="16"/>
  <c r="T25" i="16" s="1"/>
  <c r="Q26" i="16"/>
  <c r="Q31" i="16"/>
  <c r="Q30" i="16"/>
  <c r="O11" i="16"/>
  <c r="Q28" i="16"/>
  <c r="I109" i="18" s="1"/>
  <c r="Q27" i="16"/>
  <c r="I34" i="18" s="1"/>
  <c r="AZ48" i="16"/>
  <c r="CP47" i="16" s="1"/>
  <c r="F6" i="16"/>
  <c r="C43" i="16"/>
  <c r="G34" i="16"/>
  <c r="O14" i="16"/>
  <c r="B34" i="16"/>
  <c r="AZ9" i="16" s="1"/>
  <c r="CP8" i="16" s="1"/>
  <c r="B8" i="16"/>
  <c r="F9" i="16"/>
  <c r="O24" i="16"/>
  <c r="F13" i="16"/>
  <c r="R21" i="16"/>
  <c r="R23" i="16"/>
  <c r="H90" i="18" s="1"/>
  <c r="Q29" i="16"/>
  <c r="R29" i="16" s="1"/>
  <c r="B35" i="16"/>
  <c r="R34" i="16"/>
  <c r="F21" i="16"/>
  <c r="F22" i="16"/>
  <c r="F20" i="16"/>
  <c r="U25" i="16"/>
  <c r="F12" i="16"/>
  <c r="R22" i="16"/>
  <c r="H89" i="18" s="1"/>
  <c r="U23" i="16"/>
  <c r="Q14" i="16"/>
  <c r="F28" i="18" s="1"/>
  <c r="M28" i="18" s="1"/>
  <c r="N28" i="18" s="1"/>
  <c r="H28" i="18" s="1"/>
  <c r="R10" i="15"/>
  <c r="R14" i="15"/>
  <c r="G28" i="17" s="1"/>
  <c r="G35" i="15"/>
  <c r="F24" i="15"/>
  <c r="Q15" i="15"/>
  <c r="Q25" i="15"/>
  <c r="Q20" i="15"/>
  <c r="Q19" i="15"/>
  <c r="G86" i="17" s="1"/>
  <c r="Q17" i="15"/>
  <c r="G84" i="17" s="1"/>
  <c r="Q8" i="15"/>
  <c r="G14" i="17" s="1"/>
  <c r="Q18" i="15"/>
  <c r="G85" i="17" s="1"/>
  <c r="Q9" i="15"/>
  <c r="F22" i="15"/>
  <c r="F6" i="15"/>
  <c r="C43" i="15"/>
  <c r="B34" i="15"/>
  <c r="Q7" i="15"/>
  <c r="G13" i="17" s="1"/>
  <c r="F8" i="15"/>
  <c r="S11" i="15"/>
  <c r="T11" i="15" s="1"/>
  <c r="O23" i="15"/>
  <c r="F12" i="15"/>
  <c r="F13" i="15"/>
  <c r="O14" i="15"/>
  <c r="U16" i="15"/>
  <c r="S16" i="15"/>
  <c r="T16" i="15" s="1"/>
  <c r="S9" i="15"/>
  <c r="T9" i="15" s="1"/>
  <c r="S20" i="15"/>
  <c r="T20" i="15" s="1"/>
  <c r="S21" i="15"/>
  <c r="T21" i="15" s="1"/>
  <c r="U21" i="15"/>
  <c r="Q27" i="15"/>
  <c r="I34" i="17" s="1"/>
  <c r="G34" i="15"/>
  <c r="O39" i="15"/>
  <c r="F16" i="15"/>
  <c r="F7" i="15"/>
  <c r="R12" i="15"/>
  <c r="H18" i="17" s="1"/>
  <c r="AG21" i="15"/>
  <c r="B23" i="15"/>
  <c r="B24" i="15" s="1"/>
  <c r="F18" i="15"/>
  <c r="F17" i="15"/>
  <c r="Q28" i="15"/>
  <c r="I109" i="17" s="1"/>
  <c r="R34" i="15"/>
  <c r="F21" i="15"/>
  <c r="F9" i="15"/>
  <c r="O22" i="15"/>
  <c r="F11" i="15"/>
  <c r="O13" i="15"/>
  <c r="R23" i="15"/>
  <c r="H90" i="17" s="1"/>
  <c r="S25" i="15"/>
  <c r="T25" i="15" s="1"/>
  <c r="Q6" i="15"/>
  <c r="G12" i="17" s="1"/>
  <c r="U10" i="15"/>
  <c r="S10" i="15"/>
  <c r="T10" i="15" s="1"/>
  <c r="R11" i="15"/>
  <c r="H17" i="17" s="1"/>
  <c r="U20" i="15"/>
  <c r="U9" i="15"/>
  <c r="R22" i="15"/>
  <c r="H89" i="17" s="1"/>
  <c r="U25" i="15"/>
  <c r="AE27" i="15"/>
  <c r="Q31" i="15"/>
  <c r="Q30" i="15"/>
  <c r="AE53" i="15"/>
  <c r="B48" i="7"/>
  <c r="B127" i="7"/>
  <c r="AC52" i="12"/>
  <c r="AF51" i="12"/>
  <c r="AD51" i="12"/>
  <c r="AD48" i="12"/>
  <c r="AC48" i="12"/>
  <c r="AD47" i="12"/>
  <c r="AC47" i="12"/>
  <c r="AD46" i="12"/>
  <c r="AC46" i="12"/>
  <c r="AD45" i="12"/>
  <c r="AC45" i="12"/>
  <c r="AD44" i="12"/>
  <c r="AF42" i="12" s="1"/>
  <c r="AC44" i="12"/>
  <c r="Z42" i="12"/>
  <c r="AC38" i="12"/>
  <c r="AF37" i="12"/>
  <c r="AD37" i="12"/>
  <c r="AD34" i="12"/>
  <c r="AC34" i="12"/>
  <c r="AD33" i="12"/>
  <c r="AC33" i="12"/>
  <c r="AD32" i="12"/>
  <c r="AF29" i="12" s="1"/>
  <c r="AC32" i="12"/>
  <c r="AD31" i="12"/>
  <c r="AD29" i="12" s="1"/>
  <c r="AC31" i="12"/>
  <c r="Z29" i="12" s="1"/>
  <c r="AD27" i="12"/>
  <c r="AC27" i="12"/>
  <c r="AD26" i="12"/>
  <c r="AC26" i="12"/>
  <c r="AD25" i="12"/>
  <c r="AF23" i="12" s="1"/>
  <c r="AC25" i="12"/>
  <c r="Z23" i="12" s="1"/>
  <c r="AD21" i="12"/>
  <c r="AC21" i="12"/>
  <c r="AD20" i="12"/>
  <c r="AC20" i="12"/>
  <c r="AD19" i="12"/>
  <c r="AD13" i="12" s="1"/>
  <c r="AC19" i="12"/>
  <c r="AD17" i="12"/>
  <c r="AC17" i="12"/>
  <c r="AD16" i="12"/>
  <c r="AC16" i="12"/>
  <c r="AD15" i="12"/>
  <c r="AC15" i="12"/>
  <c r="Z13" i="12" s="1"/>
  <c r="AF13" i="12"/>
  <c r="AD10" i="12"/>
  <c r="AC10" i="12"/>
  <c r="Z5" i="12" s="1"/>
  <c r="AD9" i="12"/>
  <c r="AC9" i="12"/>
  <c r="AD8" i="12"/>
  <c r="Z8" i="12"/>
  <c r="AD7" i="12"/>
  <c r="AC7" i="12"/>
  <c r="AF5" i="12"/>
  <c r="AD5" i="12"/>
  <c r="AC50" i="11"/>
  <c r="AF49" i="11"/>
  <c r="AD49" i="11"/>
  <c r="AD46" i="11"/>
  <c r="AC46" i="11"/>
  <c r="AD45" i="11"/>
  <c r="AC45" i="11"/>
  <c r="AD44" i="11"/>
  <c r="AC44" i="11"/>
  <c r="AD43" i="11"/>
  <c r="AC43" i="11"/>
  <c r="AD42" i="11"/>
  <c r="AF40" i="11" s="1"/>
  <c r="AC42" i="11"/>
  <c r="Z40" i="11"/>
  <c r="AC36" i="11"/>
  <c r="AF35" i="11"/>
  <c r="AD35" i="11"/>
  <c r="AD32" i="11"/>
  <c r="AC32" i="11"/>
  <c r="AD31" i="11"/>
  <c r="AC31" i="11"/>
  <c r="AD30" i="11"/>
  <c r="AF27" i="11" s="1"/>
  <c r="AC30" i="11"/>
  <c r="AD29" i="11"/>
  <c r="AD27" i="11" s="1"/>
  <c r="AC29" i="11"/>
  <c r="Z27" i="11"/>
  <c r="AD25" i="11"/>
  <c r="AC25" i="11"/>
  <c r="AD24" i="11"/>
  <c r="AC24" i="11"/>
  <c r="AD23" i="11"/>
  <c r="AF21" i="11" s="1"/>
  <c r="AC23" i="11"/>
  <c r="Z21" i="11" s="1"/>
  <c r="AD21" i="11"/>
  <c r="AD19" i="11"/>
  <c r="AC19" i="11"/>
  <c r="AD18" i="11"/>
  <c r="AF13" i="11" s="1"/>
  <c r="AC18" i="11"/>
  <c r="AD17" i="11"/>
  <c r="AD13" i="11" s="1"/>
  <c r="AC17" i="11"/>
  <c r="AD16" i="11"/>
  <c r="AD15" i="11"/>
  <c r="AC15" i="11"/>
  <c r="Z13" i="11" s="1"/>
  <c r="AD10" i="11"/>
  <c r="AC10" i="11"/>
  <c r="AD9" i="11"/>
  <c r="AC9" i="11"/>
  <c r="AD8" i="11"/>
  <c r="Z8" i="11"/>
  <c r="AD7" i="11"/>
  <c r="AD5" i="11" s="1"/>
  <c r="AC7" i="11"/>
  <c r="AF5" i="11"/>
  <c r="Z5" i="11"/>
  <c r="AZ45" i="16" l="1"/>
  <c r="CP44" i="16" s="1"/>
  <c r="H88" i="18"/>
  <c r="R26" i="16"/>
  <c r="I33" i="18"/>
  <c r="I108" i="18"/>
  <c r="R15" i="16"/>
  <c r="H21" i="18" s="1"/>
  <c r="G21" i="18"/>
  <c r="H16" i="18"/>
  <c r="AZ44" i="15"/>
  <c r="CP43" i="15" s="1"/>
  <c r="R20" i="15"/>
  <c r="H87" i="17" s="1"/>
  <c r="G87" i="17"/>
  <c r="R15" i="15"/>
  <c r="H21" i="17" s="1"/>
  <c r="G21" i="17"/>
  <c r="H16" i="17"/>
  <c r="AZ45" i="15"/>
  <c r="CP44" i="15" s="1"/>
  <c r="R9" i="15"/>
  <c r="H15" i="17" s="1"/>
  <c r="G15" i="17"/>
  <c r="R25" i="15"/>
  <c r="H92" i="17" s="1"/>
  <c r="G92" i="17"/>
  <c r="AP39" i="15"/>
  <c r="H88" i="17"/>
  <c r="S24" i="16"/>
  <c r="T24" i="16" s="1"/>
  <c r="U24" i="16"/>
  <c r="AZ50" i="16"/>
  <c r="CP49" i="16" s="1"/>
  <c r="AZ49" i="16"/>
  <c r="CP48" i="16" s="1"/>
  <c r="R24" i="16"/>
  <c r="H91" i="18" s="1"/>
  <c r="S11" i="16"/>
  <c r="T11" i="16" s="1"/>
  <c r="R11" i="16"/>
  <c r="H17" i="18" s="1"/>
  <c r="U11" i="16"/>
  <c r="B24" i="16"/>
  <c r="F17" i="16"/>
  <c r="AZ24" i="16"/>
  <c r="CP23" i="16" s="1"/>
  <c r="AZ20" i="16"/>
  <c r="CP19" i="16" s="1"/>
  <c r="S14" i="16"/>
  <c r="U14" i="16"/>
  <c r="AP12" i="16" s="1"/>
  <c r="DL27" i="16" s="1"/>
  <c r="F24" i="16"/>
  <c r="G35" i="16"/>
  <c r="O17" i="16"/>
  <c r="O18" i="16"/>
  <c r="O7" i="16"/>
  <c r="O6" i="16"/>
  <c r="S12" i="16"/>
  <c r="T12" i="16" s="1"/>
  <c r="U12" i="16"/>
  <c r="Q20" i="16"/>
  <c r="Q19" i="16"/>
  <c r="G86" i="18" s="1"/>
  <c r="Q17" i="16"/>
  <c r="G84" i="18" s="1"/>
  <c r="Q8" i="16"/>
  <c r="G14" i="18" s="1"/>
  <c r="Q7" i="16"/>
  <c r="Q9" i="16"/>
  <c r="Q18" i="16"/>
  <c r="G85" i="18" s="1"/>
  <c r="Q6" i="16"/>
  <c r="R14" i="16"/>
  <c r="G28" i="18" s="1"/>
  <c r="T26" i="16"/>
  <c r="R12" i="16"/>
  <c r="H18" i="18" s="1"/>
  <c r="S29" i="15"/>
  <c r="T29" i="15" s="1"/>
  <c r="S26" i="15"/>
  <c r="F20" i="15"/>
  <c r="S23" i="15"/>
  <c r="T23" i="15" s="1"/>
  <c r="U23" i="15"/>
  <c r="AZ9" i="15"/>
  <c r="CP8" i="15" s="1"/>
  <c r="B35" i="15"/>
  <c r="U22" i="15"/>
  <c r="S22" i="15"/>
  <c r="T22" i="15" s="1"/>
  <c r="AZ24" i="15"/>
  <c r="CP23" i="15" s="1"/>
  <c r="U14" i="15"/>
  <c r="AP12" i="15" s="1"/>
  <c r="DL27" i="15" s="1"/>
  <c r="S14" i="15"/>
  <c r="AZ20" i="15"/>
  <c r="CP19" i="15" s="1"/>
  <c r="O17" i="15"/>
  <c r="O7" i="15"/>
  <c r="O6" i="15"/>
  <c r="O18" i="15"/>
  <c r="Q26" i="15"/>
  <c r="Q29" i="15"/>
  <c r="R29" i="15" s="1"/>
  <c r="S13" i="15"/>
  <c r="T13" i="15" s="1"/>
  <c r="U13" i="15"/>
  <c r="R13" i="15"/>
  <c r="AP22" i="15" s="1"/>
  <c r="DL35" i="15" s="1"/>
  <c r="R7" i="15"/>
  <c r="H13" i="17" s="1"/>
  <c r="R17" i="15"/>
  <c r="H84" i="17" s="1"/>
  <c r="AD42" i="12"/>
  <c r="AD23" i="12"/>
  <c r="AD40" i="11"/>
  <c r="R7" i="16" l="1"/>
  <c r="H13" i="18" s="1"/>
  <c r="G13" i="18"/>
  <c r="R20" i="16"/>
  <c r="H87" i="18" s="1"/>
  <c r="G87" i="18"/>
  <c r="AP39" i="16"/>
  <c r="R9" i="16"/>
  <c r="H15" i="18" s="1"/>
  <c r="G15" i="18"/>
  <c r="R6" i="16"/>
  <c r="H12" i="18" s="1"/>
  <c r="G12" i="18"/>
  <c r="DL35" i="16"/>
  <c r="J108" i="18"/>
  <c r="J33" i="18"/>
  <c r="R26" i="15"/>
  <c r="I108" i="17"/>
  <c r="I33" i="17"/>
  <c r="O36" i="15"/>
  <c r="H19" i="17"/>
  <c r="S18" i="16"/>
  <c r="T18" i="16" s="1"/>
  <c r="U18" i="16"/>
  <c r="O31" i="16"/>
  <c r="U17" i="16"/>
  <c r="O19" i="16"/>
  <c r="O28" i="16" s="1"/>
  <c r="S17" i="16"/>
  <c r="T17" i="16" s="1"/>
  <c r="AZ37" i="16"/>
  <c r="CP36" i="16" s="1"/>
  <c r="AZ40" i="16"/>
  <c r="CP39" i="16" s="1"/>
  <c r="Q42" i="16"/>
  <c r="AZ12" i="16"/>
  <c r="CP11" i="16" s="1"/>
  <c r="AZ22" i="16"/>
  <c r="CP21" i="16" s="1"/>
  <c r="O36" i="16"/>
  <c r="S6" i="16"/>
  <c r="O8" i="16"/>
  <c r="U6" i="16"/>
  <c r="O42" i="16"/>
  <c r="T14" i="16"/>
  <c r="R18" i="16"/>
  <c r="H85" i="18" s="1"/>
  <c r="R17" i="16"/>
  <c r="H84" i="18" s="1"/>
  <c r="O30" i="16"/>
  <c r="S7" i="16"/>
  <c r="T7" i="16" s="1"/>
  <c r="U7" i="16"/>
  <c r="AZ23" i="15"/>
  <c r="CP22" i="15" s="1"/>
  <c r="U6" i="15"/>
  <c r="AZ19" i="15"/>
  <c r="CP18" i="15" s="1"/>
  <c r="S6" i="15"/>
  <c r="O8" i="15"/>
  <c r="O42" i="15"/>
  <c r="T14" i="15"/>
  <c r="S18" i="15"/>
  <c r="T18" i="15" s="1"/>
  <c r="U18" i="15"/>
  <c r="O31" i="15"/>
  <c r="T26" i="15"/>
  <c r="AZ22" i="15"/>
  <c r="CP21" i="15" s="1"/>
  <c r="AZ48" i="15"/>
  <c r="CP47" i="15" s="1"/>
  <c r="S7" i="15"/>
  <c r="T7" i="15" s="1"/>
  <c r="U7" i="15"/>
  <c r="O30" i="15"/>
  <c r="AZ12" i="15"/>
  <c r="CP11" i="15" s="1"/>
  <c r="Q42" i="15"/>
  <c r="R18" i="15"/>
  <c r="H85" i="17" s="1"/>
  <c r="U17" i="15"/>
  <c r="O28" i="15"/>
  <c r="S17" i="15"/>
  <c r="T17" i="15" s="1"/>
  <c r="O19" i="15"/>
  <c r="AZ40" i="15"/>
  <c r="CP39" i="15" s="1"/>
  <c r="R6" i="15"/>
  <c r="H12" i="17" s="1"/>
  <c r="C43" i="12"/>
  <c r="C43" i="11"/>
  <c r="J108" i="17" l="1"/>
  <c r="J33" i="17"/>
  <c r="U28" i="16"/>
  <c r="S28" i="16"/>
  <c r="T28" i="16" s="1"/>
  <c r="R28" i="16"/>
  <c r="J109" i="18" s="1"/>
  <c r="S30" i="16"/>
  <c r="T30" i="16" s="1"/>
  <c r="U30" i="16"/>
  <c r="R30" i="16"/>
  <c r="U8" i="16"/>
  <c r="Q40" i="16" s="1"/>
  <c r="S8" i="16"/>
  <c r="T8" i="16" s="1"/>
  <c r="B27" i="16"/>
  <c r="AZ23" i="16"/>
  <c r="CP22" i="16" s="1"/>
  <c r="S31" i="16"/>
  <c r="T31" i="16" s="1"/>
  <c r="U31" i="16"/>
  <c r="R31" i="16"/>
  <c r="AZ38" i="16" s="1"/>
  <c r="CP37" i="16" s="1"/>
  <c r="AZ19" i="16"/>
  <c r="CP18" i="16" s="1"/>
  <c r="T6" i="16"/>
  <c r="O40" i="16"/>
  <c r="R8" i="16"/>
  <c r="H14" i="18" s="1"/>
  <c r="O27" i="16"/>
  <c r="U19" i="16"/>
  <c r="S19" i="16"/>
  <c r="T19" i="16" s="1"/>
  <c r="R19" i="16"/>
  <c r="H86" i="18" s="1"/>
  <c r="B121" i="18" s="1"/>
  <c r="U28" i="15"/>
  <c r="S28" i="15"/>
  <c r="T28" i="15" s="1"/>
  <c r="R28" i="15"/>
  <c r="J109" i="17" s="1"/>
  <c r="S30" i="15"/>
  <c r="T30" i="15" s="1"/>
  <c r="U30" i="15"/>
  <c r="R30" i="15"/>
  <c r="S31" i="15"/>
  <c r="T31" i="15" s="1"/>
  <c r="U31" i="15"/>
  <c r="R31" i="15"/>
  <c r="AZ38" i="15" s="1"/>
  <c r="CP37" i="15" s="1"/>
  <c r="AZ50" i="15"/>
  <c r="CP49" i="15" s="1"/>
  <c r="AZ49" i="15"/>
  <c r="CP48" i="15" s="1"/>
  <c r="U19" i="15"/>
  <c r="AP31" i="15" s="1"/>
  <c r="DL62" i="15" s="1"/>
  <c r="S19" i="15"/>
  <c r="T19" i="15" s="1"/>
  <c r="R19" i="15"/>
  <c r="H86" i="17" s="1"/>
  <c r="AZ37" i="15"/>
  <c r="CP36" i="15" s="1"/>
  <c r="U8" i="15"/>
  <c r="Q40" i="15" s="1"/>
  <c r="S8" i="15"/>
  <c r="T8" i="15" s="1"/>
  <c r="R8" i="15"/>
  <c r="B27" i="15"/>
  <c r="T6" i="15"/>
  <c r="O27" i="15"/>
  <c r="P29" i="12"/>
  <c r="Q29" i="12" s="1"/>
  <c r="R29" i="12"/>
  <c r="S29" i="12"/>
  <c r="T29" i="12"/>
  <c r="P30" i="12"/>
  <c r="P31" i="12"/>
  <c r="N26" i="12"/>
  <c r="N25" i="12"/>
  <c r="N18" i="12"/>
  <c r="N31" i="12" s="1"/>
  <c r="N17" i="12"/>
  <c r="N16" i="12"/>
  <c r="N14" i="12"/>
  <c r="N8" i="12"/>
  <c r="N7" i="12"/>
  <c r="N30" i="12" s="1"/>
  <c r="N6" i="12"/>
  <c r="AD58" i="12"/>
  <c r="AC58" i="12"/>
  <c r="AD57" i="12"/>
  <c r="AC57" i="12"/>
  <c r="AD56" i="12"/>
  <c r="AD54" i="12" s="1"/>
  <c r="AC56" i="12"/>
  <c r="Z54" i="12" s="1"/>
  <c r="AD56" i="11"/>
  <c r="AC56" i="11"/>
  <c r="AD55" i="11"/>
  <c r="AC55" i="11"/>
  <c r="AD54" i="11"/>
  <c r="AC54" i="11"/>
  <c r="Z52" i="11" s="1"/>
  <c r="AD52" i="11"/>
  <c r="P29" i="11"/>
  <c r="Q29" i="11" s="1"/>
  <c r="R29" i="11"/>
  <c r="S29" i="11" s="1"/>
  <c r="T29" i="11"/>
  <c r="T30" i="11"/>
  <c r="N30" i="11"/>
  <c r="R30" i="11" s="1"/>
  <c r="S30" i="11" s="1"/>
  <c r="N26" i="11"/>
  <c r="N25" i="11"/>
  <c r="N18" i="11"/>
  <c r="N31" i="11" s="1"/>
  <c r="R31" i="11" s="1"/>
  <c r="S31" i="11" s="1"/>
  <c r="N17" i="11"/>
  <c r="N16" i="11"/>
  <c r="N14" i="11"/>
  <c r="N7" i="11"/>
  <c r="N6" i="11"/>
  <c r="AE56" i="6"/>
  <c r="AD56" i="6"/>
  <c r="AE57" i="6"/>
  <c r="AD57" i="6"/>
  <c r="AE55" i="6"/>
  <c r="AD55" i="6"/>
  <c r="AA53" i="6" s="1"/>
  <c r="O26" i="6"/>
  <c r="O25" i="6"/>
  <c r="O16" i="6"/>
  <c r="E5" i="3"/>
  <c r="B16" i="3" s="1"/>
  <c r="AP32" i="16" l="1"/>
  <c r="DL63" i="16" s="1"/>
  <c r="DL29" i="16"/>
  <c r="B122" i="18"/>
  <c r="B152" i="18" s="1"/>
  <c r="W8" i="18" s="1"/>
  <c r="B151" i="18"/>
  <c r="AP31" i="16"/>
  <c r="DL62" i="16" s="1"/>
  <c r="AP32" i="15"/>
  <c r="DL63" i="15" s="1"/>
  <c r="B121" i="17"/>
  <c r="B122" i="17" s="1"/>
  <c r="B152" i="17" s="1"/>
  <c r="W8" i="17" s="1"/>
  <c r="AP10" i="15"/>
  <c r="R33" i="15"/>
  <c r="H14" i="17"/>
  <c r="AZ31" i="15"/>
  <c r="CP30" i="15" s="1"/>
  <c r="AE53" i="6"/>
  <c r="AZ10" i="16"/>
  <c r="CP9" i="16" s="1"/>
  <c r="AZ32" i="16"/>
  <c r="CP31" i="16" s="1"/>
  <c r="R33" i="16"/>
  <c r="O35" i="16"/>
  <c r="AZ43" i="16"/>
  <c r="CP42" i="16" s="1"/>
  <c r="AP55" i="16"/>
  <c r="AZ27" i="16"/>
  <c r="CP26" i="16" s="1"/>
  <c r="AZ34" i="16"/>
  <c r="CP33" i="16" s="1"/>
  <c r="U27" i="16"/>
  <c r="DL30" i="16" s="1"/>
  <c r="S27" i="16"/>
  <c r="AZ21" i="16"/>
  <c r="CP20" i="16" s="1"/>
  <c r="R27" i="16"/>
  <c r="J34" i="18" s="1"/>
  <c r="B42" i="18" s="1"/>
  <c r="AZ26" i="16"/>
  <c r="CP25" i="16" s="1"/>
  <c r="AZ33" i="16"/>
  <c r="CP32" i="16" s="1"/>
  <c r="AZ35" i="16"/>
  <c r="CP34" i="16" s="1"/>
  <c r="AZ28" i="16"/>
  <c r="CP27" i="16" s="1"/>
  <c r="AZ32" i="15"/>
  <c r="CP31" i="15" s="1"/>
  <c r="O35" i="15"/>
  <c r="AZ35" i="15"/>
  <c r="CP34" i="15" s="1"/>
  <c r="AZ28" i="15"/>
  <c r="CP27" i="15" s="1"/>
  <c r="U27" i="15"/>
  <c r="AP11" i="15" s="1"/>
  <c r="DL30" i="15" s="1"/>
  <c r="S27" i="15"/>
  <c r="AZ21" i="15"/>
  <c r="CP20" i="15" s="1"/>
  <c r="R27" i="15"/>
  <c r="J34" i="17" s="1"/>
  <c r="AZ43" i="15"/>
  <c r="CP42" i="15" s="1"/>
  <c r="AP55" i="15"/>
  <c r="O40" i="15"/>
  <c r="AZ27" i="15"/>
  <c r="CP26" i="15" s="1"/>
  <c r="AZ34" i="15"/>
  <c r="CP33" i="15" s="1"/>
  <c r="AZ33" i="15"/>
  <c r="CP32" i="15" s="1"/>
  <c r="AZ26" i="15"/>
  <c r="CP25" i="15" s="1"/>
  <c r="Q31" i="12"/>
  <c r="Q30" i="12"/>
  <c r="R30" i="12"/>
  <c r="S30" i="12" s="1"/>
  <c r="T30" i="12"/>
  <c r="T31" i="12"/>
  <c r="R31" i="12"/>
  <c r="S31" i="12" s="1"/>
  <c r="N27" i="12"/>
  <c r="T31" i="11"/>
  <c r="N19" i="12"/>
  <c r="N28" i="12" s="1"/>
  <c r="P30" i="11"/>
  <c r="Q30" i="11" s="1"/>
  <c r="P31" i="11"/>
  <c r="Q31" i="11" s="1"/>
  <c r="N8" i="11"/>
  <c r="N27" i="11" s="1"/>
  <c r="N19" i="11"/>
  <c r="N28" i="11" s="1"/>
  <c r="Q30" i="6"/>
  <c r="Q31" i="6"/>
  <c r="E109" i="14"/>
  <c r="D109" i="14"/>
  <c r="H109" i="14" s="1"/>
  <c r="C109" i="14"/>
  <c r="G109" i="14" s="1"/>
  <c r="E108" i="14"/>
  <c r="D108" i="14"/>
  <c r="H108" i="14" s="1"/>
  <c r="C108" i="14"/>
  <c r="G108" i="14" s="1"/>
  <c r="F92" i="14"/>
  <c r="D92" i="14"/>
  <c r="C92" i="14"/>
  <c r="F91" i="14"/>
  <c r="D91" i="14"/>
  <c r="C91" i="14"/>
  <c r="F90" i="14"/>
  <c r="D90" i="14"/>
  <c r="C90" i="14"/>
  <c r="F89" i="14"/>
  <c r="D89" i="14"/>
  <c r="C89" i="14"/>
  <c r="F88" i="14"/>
  <c r="D88" i="14"/>
  <c r="C88" i="14"/>
  <c r="F87" i="14"/>
  <c r="D87" i="14"/>
  <c r="C87" i="14"/>
  <c r="F86" i="14"/>
  <c r="D86" i="14"/>
  <c r="C86" i="14"/>
  <c r="F85" i="14"/>
  <c r="D85" i="14"/>
  <c r="C85" i="14"/>
  <c r="F84" i="14"/>
  <c r="D84" i="14"/>
  <c r="C84" i="14"/>
  <c r="E34" i="14"/>
  <c r="D34" i="14"/>
  <c r="H34" i="14" s="1"/>
  <c r="C34" i="14"/>
  <c r="G34" i="14" s="1"/>
  <c r="E33" i="14"/>
  <c r="D33" i="14"/>
  <c r="H33" i="14" s="1"/>
  <c r="C33" i="14"/>
  <c r="G33" i="14" s="1"/>
  <c r="K28" i="14"/>
  <c r="D28" i="14"/>
  <c r="C28" i="14"/>
  <c r="F21" i="14"/>
  <c r="E21" i="14"/>
  <c r="B19" i="14"/>
  <c r="F19" i="14" s="1"/>
  <c r="B18" i="14"/>
  <c r="C18" i="14" s="1"/>
  <c r="B17" i="14"/>
  <c r="D16" i="14"/>
  <c r="B16" i="14"/>
  <c r="B15" i="14"/>
  <c r="F15" i="14" s="1"/>
  <c r="B14" i="14"/>
  <c r="C14" i="14" s="1"/>
  <c r="B13" i="14"/>
  <c r="D12" i="14"/>
  <c r="B12" i="14"/>
  <c r="B778" i="14"/>
  <c r="B777" i="14"/>
  <c r="B776" i="14"/>
  <c r="B764" i="14"/>
  <c r="B761" i="14"/>
  <c r="B768" i="14" s="1"/>
  <c r="B770" i="14" s="1"/>
  <c r="B771" i="14" s="1"/>
  <c r="J750" i="14"/>
  <c r="I750" i="14"/>
  <c r="F750" i="14"/>
  <c r="E750" i="14"/>
  <c r="D750" i="14"/>
  <c r="H750" i="14" s="1"/>
  <c r="C750" i="14"/>
  <c r="G750" i="14" s="1"/>
  <c r="K750" i="14" s="1"/>
  <c r="J749" i="14"/>
  <c r="I749" i="14"/>
  <c r="F749" i="14"/>
  <c r="E749" i="14"/>
  <c r="D749" i="14"/>
  <c r="H749" i="14" s="1"/>
  <c r="C749" i="14"/>
  <c r="G749" i="14" s="1"/>
  <c r="K749" i="14" s="1"/>
  <c r="J748" i="14"/>
  <c r="I748" i="14"/>
  <c r="F748" i="14"/>
  <c r="E748" i="14"/>
  <c r="D748" i="14"/>
  <c r="H748" i="14" s="1"/>
  <c r="C748" i="14"/>
  <c r="G748" i="14" s="1"/>
  <c r="K748" i="14" s="1"/>
  <c r="J747" i="14"/>
  <c r="I747" i="14"/>
  <c r="F747" i="14"/>
  <c r="E747" i="14"/>
  <c r="D747" i="14"/>
  <c r="H747" i="14" s="1"/>
  <c r="C747" i="14"/>
  <c r="G747" i="14" s="1"/>
  <c r="J746" i="14"/>
  <c r="I746" i="14"/>
  <c r="F746" i="14"/>
  <c r="E746" i="14"/>
  <c r="D746" i="14"/>
  <c r="H746" i="14" s="1"/>
  <c r="C746" i="14"/>
  <c r="G746" i="14" s="1"/>
  <c r="J745" i="14"/>
  <c r="I745" i="14"/>
  <c r="F745" i="14"/>
  <c r="E745" i="14"/>
  <c r="D745" i="14"/>
  <c r="H745" i="14" s="1"/>
  <c r="C745" i="14"/>
  <c r="G745" i="14" s="1"/>
  <c r="K745" i="14" s="1"/>
  <c r="J744" i="14"/>
  <c r="I744" i="14"/>
  <c r="F744" i="14"/>
  <c r="E744" i="14"/>
  <c r="D744" i="14"/>
  <c r="H744" i="14" s="1"/>
  <c r="C744" i="14"/>
  <c r="G744" i="14" s="1"/>
  <c r="K744" i="14" s="1"/>
  <c r="J743" i="14"/>
  <c r="I743" i="14"/>
  <c r="F743" i="14"/>
  <c r="E743" i="14"/>
  <c r="D743" i="14"/>
  <c r="H743" i="14" s="1"/>
  <c r="C743" i="14"/>
  <c r="G743" i="14" s="1"/>
  <c r="J742" i="14"/>
  <c r="I742" i="14"/>
  <c r="F742" i="14"/>
  <c r="E742" i="14"/>
  <c r="D742" i="14"/>
  <c r="H742" i="14" s="1"/>
  <c r="C742" i="14"/>
  <c r="G742" i="14" s="1"/>
  <c r="K742" i="14" s="1"/>
  <c r="J741" i="14"/>
  <c r="I741" i="14"/>
  <c r="F741" i="14"/>
  <c r="E741" i="14"/>
  <c r="D741" i="14"/>
  <c r="H741" i="14" s="1"/>
  <c r="C741" i="14"/>
  <c r="G741" i="14" s="1"/>
  <c r="K741" i="14" s="1"/>
  <c r="J740" i="14"/>
  <c r="I740" i="14"/>
  <c r="F740" i="14"/>
  <c r="E740" i="14"/>
  <c r="D740" i="14"/>
  <c r="H740" i="14" s="1"/>
  <c r="C740" i="14"/>
  <c r="G740" i="14" s="1"/>
  <c r="K740" i="14" s="1"/>
  <c r="J739" i="14"/>
  <c r="I739" i="14"/>
  <c r="F739" i="14"/>
  <c r="E739" i="14"/>
  <c r="D739" i="14"/>
  <c r="H739" i="14" s="1"/>
  <c r="C739" i="14"/>
  <c r="G739" i="14" s="1"/>
  <c r="G731" i="14"/>
  <c r="F731" i="14"/>
  <c r="M731" i="14" s="1"/>
  <c r="E731" i="14"/>
  <c r="D731" i="14"/>
  <c r="C731" i="14"/>
  <c r="I731" i="14" s="1"/>
  <c r="L731" i="14" s="1"/>
  <c r="H717" i="14"/>
  <c r="G717" i="14"/>
  <c r="F717" i="14"/>
  <c r="E717" i="14"/>
  <c r="D717" i="14"/>
  <c r="C717" i="14"/>
  <c r="H716" i="14"/>
  <c r="G716" i="14"/>
  <c r="F716" i="14"/>
  <c r="E716" i="14"/>
  <c r="D716" i="14"/>
  <c r="C716" i="14"/>
  <c r="H715" i="14"/>
  <c r="G715" i="14"/>
  <c r="F715" i="14"/>
  <c r="E715" i="14"/>
  <c r="D715" i="14"/>
  <c r="C715" i="14"/>
  <c r="B699" i="14"/>
  <c r="B698" i="14" s="1"/>
  <c r="B697" i="14"/>
  <c r="B691" i="14"/>
  <c r="B692" i="14" s="1"/>
  <c r="B685" i="14"/>
  <c r="B682" i="14"/>
  <c r="B689" i="14" s="1"/>
  <c r="G689" i="14" s="1"/>
  <c r="J661" i="14"/>
  <c r="I661" i="14"/>
  <c r="F661" i="14"/>
  <c r="E661" i="14"/>
  <c r="D661" i="14"/>
  <c r="H661" i="14" s="1"/>
  <c r="C661" i="14"/>
  <c r="G661" i="14" s="1"/>
  <c r="K661" i="14" s="1"/>
  <c r="J660" i="14"/>
  <c r="I660" i="14"/>
  <c r="F660" i="14"/>
  <c r="E660" i="14"/>
  <c r="D660" i="14"/>
  <c r="H660" i="14" s="1"/>
  <c r="C660" i="14"/>
  <c r="G660" i="14" s="1"/>
  <c r="K660" i="14" s="1"/>
  <c r="I652" i="14"/>
  <c r="L652" i="14" s="1"/>
  <c r="G652" i="14"/>
  <c r="F652" i="14"/>
  <c r="M652" i="14" s="1"/>
  <c r="N652" i="14" s="1"/>
  <c r="H652" i="14" s="1"/>
  <c r="E652" i="14"/>
  <c r="D652" i="14"/>
  <c r="C652" i="14"/>
  <c r="H637" i="14"/>
  <c r="G637" i="14"/>
  <c r="F637" i="14"/>
  <c r="E637" i="14"/>
  <c r="D637" i="14"/>
  <c r="C637" i="14"/>
  <c r="H636" i="14"/>
  <c r="B673" i="14" s="1"/>
  <c r="G636" i="14"/>
  <c r="F636" i="14"/>
  <c r="E636" i="14"/>
  <c r="D636" i="14"/>
  <c r="C636" i="14"/>
  <c r="B618" i="14"/>
  <c r="B620" i="14" s="1"/>
  <c r="B619" i="14" s="1"/>
  <c r="B610" i="14"/>
  <c r="B612" i="14" s="1"/>
  <c r="B613" i="14" s="1"/>
  <c r="B607" i="14"/>
  <c r="B606" i="14"/>
  <c r="B603" i="14"/>
  <c r="J583" i="14"/>
  <c r="I583" i="14"/>
  <c r="F583" i="14"/>
  <c r="E583" i="14"/>
  <c r="D583" i="14"/>
  <c r="H583" i="14" s="1"/>
  <c r="C583" i="14"/>
  <c r="G583" i="14" s="1"/>
  <c r="J582" i="14"/>
  <c r="I582" i="14"/>
  <c r="F582" i="14"/>
  <c r="E582" i="14"/>
  <c r="D582" i="14"/>
  <c r="H582" i="14" s="1"/>
  <c r="C582" i="14"/>
  <c r="G582" i="14" s="1"/>
  <c r="K582" i="14" s="1"/>
  <c r="J581" i="14"/>
  <c r="B594" i="14" s="1"/>
  <c r="I581" i="14"/>
  <c r="F581" i="14"/>
  <c r="E581" i="14"/>
  <c r="D581" i="14"/>
  <c r="H581" i="14" s="1"/>
  <c r="C581" i="14"/>
  <c r="G581" i="14" s="1"/>
  <c r="I573" i="14"/>
  <c r="L573" i="14" s="1"/>
  <c r="G573" i="14"/>
  <c r="F573" i="14"/>
  <c r="M573" i="14" s="1"/>
  <c r="N573" i="14" s="1"/>
  <c r="H573" i="14" s="1"/>
  <c r="E573" i="14"/>
  <c r="D573" i="14"/>
  <c r="C573" i="14"/>
  <c r="H559" i="14"/>
  <c r="G559" i="14"/>
  <c r="F559" i="14"/>
  <c r="E559" i="14"/>
  <c r="D559" i="14"/>
  <c r="C559" i="14"/>
  <c r="H558" i="14"/>
  <c r="G558" i="14"/>
  <c r="F558" i="14"/>
  <c r="E558" i="14"/>
  <c r="D558" i="14"/>
  <c r="C558" i="14"/>
  <c r="H557" i="14"/>
  <c r="G557" i="14"/>
  <c r="F557" i="14"/>
  <c r="E557" i="14"/>
  <c r="D557" i="14"/>
  <c r="C557" i="14"/>
  <c r="B539" i="14"/>
  <c r="B541" i="14" s="1"/>
  <c r="B540" i="14" s="1"/>
  <c r="B531" i="14"/>
  <c r="B527" i="14"/>
  <c r="B528" i="14" s="1"/>
  <c r="B524" i="14"/>
  <c r="J504" i="14"/>
  <c r="I504" i="14"/>
  <c r="F504" i="14"/>
  <c r="E504" i="14"/>
  <c r="D504" i="14"/>
  <c r="H504" i="14" s="1"/>
  <c r="C504" i="14"/>
  <c r="G504" i="14" s="1"/>
  <c r="K504" i="14" s="1"/>
  <c r="J503" i="14"/>
  <c r="I503" i="14"/>
  <c r="F503" i="14"/>
  <c r="E503" i="14"/>
  <c r="D503" i="14"/>
  <c r="H503" i="14" s="1"/>
  <c r="C503" i="14"/>
  <c r="G503" i="14" s="1"/>
  <c r="J502" i="14"/>
  <c r="I502" i="14"/>
  <c r="F502" i="14"/>
  <c r="E502" i="14"/>
  <c r="D502" i="14"/>
  <c r="H502" i="14" s="1"/>
  <c r="C502" i="14"/>
  <c r="G502" i="14" s="1"/>
  <c r="K502" i="14" s="1"/>
  <c r="H483" i="14"/>
  <c r="G483" i="14"/>
  <c r="F483" i="14"/>
  <c r="E483" i="14"/>
  <c r="D483" i="14"/>
  <c r="C483" i="14"/>
  <c r="H482" i="14"/>
  <c r="G482" i="14"/>
  <c r="F482" i="14"/>
  <c r="E482" i="14"/>
  <c r="D482" i="14"/>
  <c r="C482" i="14"/>
  <c r="H481" i="14"/>
  <c r="G481" i="14"/>
  <c r="F481" i="14"/>
  <c r="E481" i="14"/>
  <c r="D481" i="14"/>
  <c r="C481" i="14"/>
  <c r="H480" i="14"/>
  <c r="G480" i="14"/>
  <c r="F480" i="14"/>
  <c r="E480" i="14"/>
  <c r="D480" i="14"/>
  <c r="C480" i="14"/>
  <c r="H479" i="14"/>
  <c r="G479" i="14"/>
  <c r="F479" i="14"/>
  <c r="E479" i="14"/>
  <c r="D479" i="14"/>
  <c r="C479" i="14"/>
  <c r="H478" i="14"/>
  <c r="B515" i="14" s="1"/>
  <c r="B545" i="14" s="1"/>
  <c r="G478" i="14"/>
  <c r="F478" i="14"/>
  <c r="E478" i="14"/>
  <c r="D478" i="14"/>
  <c r="C478" i="14"/>
  <c r="B463" i="14"/>
  <c r="B462" i="14"/>
  <c r="B461" i="14"/>
  <c r="G453" i="14"/>
  <c r="B449" i="14"/>
  <c r="B450" i="14" s="1"/>
  <c r="B446" i="14"/>
  <c r="B453" i="14" s="1"/>
  <c r="B455" i="14" s="1"/>
  <c r="B456" i="14" s="1"/>
  <c r="J428" i="14"/>
  <c r="I428" i="14"/>
  <c r="F428" i="14"/>
  <c r="E428" i="14"/>
  <c r="D428" i="14"/>
  <c r="H428" i="14" s="1"/>
  <c r="C428" i="14"/>
  <c r="G428" i="14" s="1"/>
  <c r="J427" i="14"/>
  <c r="I427" i="14"/>
  <c r="F427" i="14"/>
  <c r="E427" i="14"/>
  <c r="D427" i="14"/>
  <c r="H427" i="14" s="1"/>
  <c r="C427" i="14"/>
  <c r="G427" i="14" s="1"/>
  <c r="K427" i="14" s="1"/>
  <c r="J426" i="14"/>
  <c r="I426" i="14"/>
  <c r="H426" i="14"/>
  <c r="F426" i="14"/>
  <c r="E426" i="14"/>
  <c r="D426" i="14"/>
  <c r="C426" i="14"/>
  <c r="G426" i="14" s="1"/>
  <c r="K426" i="14" s="1"/>
  <c r="J425" i="14"/>
  <c r="I425" i="14"/>
  <c r="F425" i="14"/>
  <c r="E425" i="14"/>
  <c r="D425" i="14"/>
  <c r="H425" i="14" s="1"/>
  <c r="C425" i="14"/>
  <c r="G425" i="14" s="1"/>
  <c r="J424" i="14"/>
  <c r="I424" i="14"/>
  <c r="F424" i="14"/>
  <c r="E424" i="14"/>
  <c r="D424" i="14"/>
  <c r="H424" i="14" s="1"/>
  <c r="C424" i="14"/>
  <c r="G424" i="14" s="1"/>
  <c r="K424" i="14" s="1"/>
  <c r="H402" i="14"/>
  <c r="G402" i="14"/>
  <c r="F402" i="14"/>
  <c r="E402" i="14"/>
  <c r="D402" i="14"/>
  <c r="C402" i="14"/>
  <c r="H401" i="14"/>
  <c r="G401" i="14"/>
  <c r="F401" i="14"/>
  <c r="E401" i="14"/>
  <c r="D401" i="14"/>
  <c r="C401" i="14"/>
  <c r="H400" i="14"/>
  <c r="B437" i="14" s="1"/>
  <c r="G400" i="14"/>
  <c r="F400" i="14"/>
  <c r="E400" i="14"/>
  <c r="D400" i="14"/>
  <c r="C400" i="14"/>
  <c r="B385" i="14"/>
  <c r="B384" i="14" s="1"/>
  <c r="B383" i="14"/>
  <c r="B377" i="14"/>
  <c r="B378" i="14" s="1"/>
  <c r="B372" i="14"/>
  <c r="B371" i="14"/>
  <c r="B368" i="14"/>
  <c r="B375" i="14" s="1"/>
  <c r="G375" i="14" s="1"/>
  <c r="B359" i="14"/>
  <c r="J350" i="14"/>
  <c r="I350" i="14"/>
  <c r="F350" i="14"/>
  <c r="E350" i="14"/>
  <c r="D350" i="14"/>
  <c r="H350" i="14" s="1"/>
  <c r="C350" i="14"/>
  <c r="G350" i="14" s="1"/>
  <c r="J349" i="14"/>
  <c r="I349" i="14"/>
  <c r="H349" i="14"/>
  <c r="F349" i="14"/>
  <c r="E349" i="14"/>
  <c r="D349" i="14"/>
  <c r="C349" i="14"/>
  <c r="G349" i="14" s="1"/>
  <c r="K349" i="14" s="1"/>
  <c r="J348" i="14"/>
  <c r="I348" i="14"/>
  <c r="F348" i="14"/>
  <c r="E348" i="14"/>
  <c r="D348" i="14"/>
  <c r="H348" i="14" s="1"/>
  <c r="C348" i="14"/>
  <c r="G348" i="14" s="1"/>
  <c r="J347" i="14"/>
  <c r="I347" i="14"/>
  <c r="F347" i="14"/>
  <c r="E347" i="14"/>
  <c r="D347" i="14"/>
  <c r="H347" i="14" s="1"/>
  <c r="C347" i="14"/>
  <c r="G347" i="14" s="1"/>
  <c r="K347" i="14" s="1"/>
  <c r="J346" i="14"/>
  <c r="I346" i="14"/>
  <c r="F346" i="14"/>
  <c r="E346" i="14"/>
  <c r="D346" i="14"/>
  <c r="H346" i="14" s="1"/>
  <c r="C346" i="14"/>
  <c r="G346" i="14" s="1"/>
  <c r="K346" i="14" s="1"/>
  <c r="H325" i="14"/>
  <c r="G325" i="14"/>
  <c r="F325" i="14"/>
  <c r="E325" i="14"/>
  <c r="D325" i="14"/>
  <c r="C325" i="14"/>
  <c r="H324" i="14"/>
  <c r="G324" i="14"/>
  <c r="F324" i="14"/>
  <c r="E324" i="14"/>
  <c r="D324" i="14"/>
  <c r="C324" i="14"/>
  <c r="H323" i="14"/>
  <c r="G323" i="14"/>
  <c r="F323" i="14"/>
  <c r="E323" i="14"/>
  <c r="D323" i="14"/>
  <c r="C323" i="14"/>
  <c r="H322" i="14"/>
  <c r="G322" i="14"/>
  <c r="F322" i="14"/>
  <c r="E322" i="14"/>
  <c r="D322" i="14"/>
  <c r="C322" i="14"/>
  <c r="B306" i="14"/>
  <c r="B305" i="14" s="1"/>
  <c r="B304" i="14"/>
  <c r="G296" i="14"/>
  <c r="B292" i="14"/>
  <c r="B289" i="14"/>
  <c r="B296" i="14" s="1"/>
  <c r="B298" i="14" s="1"/>
  <c r="B299" i="14" s="1"/>
  <c r="J270" i="14"/>
  <c r="I270" i="14"/>
  <c r="F270" i="14"/>
  <c r="E270" i="14"/>
  <c r="D270" i="14"/>
  <c r="H270" i="14" s="1"/>
  <c r="C270" i="14"/>
  <c r="G270" i="14" s="1"/>
  <c r="J269" i="14"/>
  <c r="I269" i="14"/>
  <c r="F269" i="14"/>
  <c r="E269" i="14"/>
  <c r="D269" i="14"/>
  <c r="H269" i="14" s="1"/>
  <c r="C269" i="14"/>
  <c r="G269" i="14" s="1"/>
  <c r="K269" i="14" s="1"/>
  <c r="J268" i="14"/>
  <c r="I268" i="14"/>
  <c r="F268" i="14"/>
  <c r="E268" i="14"/>
  <c r="D268" i="14"/>
  <c r="H268" i="14" s="1"/>
  <c r="C268" i="14"/>
  <c r="G268" i="14" s="1"/>
  <c r="J267" i="14"/>
  <c r="I267" i="14"/>
  <c r="F267" i="14"/>
  <c r="E267" i="14"/>
  <c r="D267" i="14"/>
  <c r="H267" i="14" s="1"/>
  <c r="C267" i="14"/>
  <c r="G267" i="14" s="1"/>
  <c r="H246" i="14"/>
  <c r="G246" i="14"/>
  <c r="F246" i="14"/>
  <c r="E246" i="14"/>
  <c r="D246" i="14"/>
  <c r="C246" i="14"/>
  <c r="H245" i="14"/>
  <c r="G245" i="14"/>
  <c r="F245" i="14"/>
  <c r="E245" i="14"/>
  <c r="D245" i="14"/>
  <c r="C245" i="14"/>
  <c r="H244" i="14"/>
  <c r="G244" i="14"/>
  <c r="F244" i="14"/>
  <c r="E244" i="14"/>
  <c r="D244" i="14"/>
  <c r="C244" i="14"/>
  <c r="H243" i="14"/>
  <c r="B280" i="14" s="1"/>
  <c r="B310" i="14" s="1"/>
  <c r="G243" i="14"/>
  <c r="F243" i="14"/>
  <c r="E243" i="14"/>
  <c r="D243" i="14"/>
  <c r="C243" i="14"/>
  <c r="B227" i="14"/>
  <c r="B226" i="14" s="1"/>
  <c r="B225" i="14"/>
  <c r="B213" i="14"/>
  <c r="B210" i="14"/>
  <c r="B217" i="14" s="1"/>
  <c r="G217" i="14" s="1"/>
  <c r="J190" i="14"/>
  <c r="I190" i="14"/>
  <c r="F190" i="14"/>
  <c r="E190" i="14"/>
  <c r="D190" i="14"/>
  <c r="H190" i="14" s="1"/>
  <c r="C190" i="14"/>
  <c r="G190" i="14" s="1"/>
  <c r="K190" i="14" s="1"/>
  <c r="J189" i="14"/>
  <c r="I189" i="14"/>
  <c r="F189" i="14"/>
  <c r="E189" i="14"/>
  <c r="D189" i="14"/>
  <c r="H189" i="14" s="1"/>
  <c r="C189" i="14"/>
  <c r="G189" i="14" s="1"/>
  <c r="J188" i="14"/>
  <c r="I188" i="14"/>
  <c r="H188" i="14"/>
  <c r="F188" i="14"/>
  <c r="E188" i="14"/>
  <c r="D188" i="14"/>
  <c r="C188" i="14"/>
  <c r="G188" i="14" s="1"/>
  <c r="K188" i="14" s="1"/>
  <c r="G180" i="14"/>
  <c r="F180" i="14"/>
  <c r="M180" i="14" s="1"/>
  <c r="N180" i="14" s="1"/>
  <c r="H180" i="14" s="1"/>
  <c r="E180" i="14"/>
  <c r="D180" i="14"/>
  <c r="C180" i="14"/>
  <c r="I180" i="14" s="1"/>
  <c r="L180" i="14" s="1"/>
  <c r="H165" i="14"/>
  <c r="G165" i="14"/>
  <c r="F165" i="14"/>
  <c r="E165" i="14"/>
  <c r="D165" i="14"/>
  <c r="C165" i="14"/>
  <c r="H164" i="14"/>
  <c r="G164" i="14"/>
  <c r="F164" i="14"/>
  <c r="E164" i="14"/>
  <c r="D164" i="14"/>
  <c r="C164" i="14"/>
  <c r="B22" i="14"/>
  <c r="D22" i="14" s="1"/>
  <c r="B21" i="14"/>
  <c r="D21" i="14" s="1"/>
  <c r="V12" i="14"/>
  <c r="V11" i="14"/>
  <c r="V10" i="14"/>
  <c r="V9" i="14"/>
  <c r="V8" i="14"/>
  <c r="V7" i="14"/>
  <c r="F34" i="3"/>
  <c r="B48" i="14" s="1"/>
  <c r="E34" i="3"/>
  <c r="B48" i="13" s="1"/>
  <c r="B127" i="13" s="1"/>
  <c r="E109" i="13"/>
  <c r="D109" i="13"/>
  <c r="H109" i="13" s="1"/>
  <c r="C109" i="13"/>
  <c r="G109" i="13" s="1"/>
  <c r="E108" i="13"/>
  <c r="D108" i="13"/>
  <c r="H108" i="13" s="1"/>
  <c r="C108" i="13"/>
  <c r="G108" i="13" s="1"/>
  <c r="F92" i="13"/>
  <c r="D92" i="13"/>
  <c r="C92" i="13"/>
  <c r="F91" i="13"/>
  <c r="D91" i="13"/>
  <c r="C91" i="13"/>
  <c r="F90" i="13"/>
  <c r="D90" i="13"/>
  <c r="C90" i="13"/>
  <c r="F89" i="13"/>
  <c r="D89" i="13"/>
  <c r="C89" i="13"/>
  <c r="F88" i="13"/>
  <c r="D88" i="13"/>
  <c r="C88" i="13"/>
  <c r="F87" i="13"/>
  <c r="D87" i="13"/>
  <c r="C87" i="13"/>
  <c r="F86" i="13"/>
  <c r="D86" i="13"/>
  <c r="C86" i="13"/>
  <c r="F85" i="13"/>
  <c r="D85" i="13"/>
  <c r="C85" i="13"/>
  <c r="F84" i="13"/>
  <c r="D84" i="13"/>
  <c r="C84" i="13"/>
  <c r="E34" i="13"/>
  <c r="D34" i="13"/>
  <c r="H34" i="13" s="1"/>
  <c r="C34" i="13"/>
  <c r="G34" i="13" s="1"/>
  <c r="E33" i="13"/>
  <c r="D33" i="13"/>
  <c r="H33" i="13" s="1"/>
  <c r="C33" i="13"/>
  <c r="G33" i="13" s="1"/>
  <c r="K28" i="13"/>
  <c r="D28" i="13"/>
  <c r="C28" i="13"/>
  <c r="F21" i="13"/>
  <c r="E21" i="13"/>
  <c r="C21" i="13"/>
  <c r="D19" i="13"/>
  <c r="B19" i="13"/>
  <c r="F19" i="13" s="1"/>
  <c r="B18" i="13"/>
  <c r="F18" i="13" s="1"/>
  <c r="B17" i="13"/>
  <c r="B16" i="13"/>
  <c r="F16" i="13" s="1"/>
  <c r="D15" i="13"/>
  <c r="B15" i="13"/>
  <c r="F15" i="13" s="1"/>
  <c r="B14" i="13"/>
  <c r="F14" i="13" s="1"/>
  <c r="B13" i="13"/>
  <c r="B12" i="13"/>
  <c r="F12" i="13" s="1"/>
  <c r="B778" i="13"/>
  <c r="B777" i="13" s="1"/>
  <c r="B776" i="13"/>
  <c r="B770" i="13"/>
  <c r="B771" i="13" s="1"/>
  <c r="B764" i="13"/>
  <c r="B761" i="13"/>
  <c r="B768" i="13" s="1"/>
  <c r="G768" i="13" s="1"/>
  <c r="J750" i="13"/>
  <c r="I750" i="13"/>
  <c r="F750" i="13"/>
  <c r="E750" i="13"/>
  <c r="D750" i="13"/>
  <c r="H750" i="13" s="1"/>
  <c r="C750" i="13"/>
  <c r="G750" i="13" s="1"/>
  <c r="J749" i="13"/>
  <c r="I749" i="13"/>
  <c r="F749" i="13"/>
  <c r="E749" i="13"/>
  <c r="D749" i="13"/>
  <c r="H749" i="13" s="1"/>
  <c r="C749" i="13"/>
  <c r="G749" i="13" s="1"/>
  <c r="K749" i="13" s="1"/>
  <c r="J748" i="13"/>
  <c r="I748" i="13"/>
  <c r="F748" i="13"/>
  <c r="E748" i="13"/>
  <c r="D748" i="13"/>
  <c r="H748" i="13" s="1"/>
  <c r="C748" i="13"/>
  <c r="G748" i="13" s="1"/>
  <c r="K748" i="13" s="1"/>
  <c r="J747" i="13"/>
  <c r="I747" i="13"/>
  <c r="H747" i="13"/>
  <c r="F747" i="13"/>
  <c r="E747" i="13"/>
  <c r="D747" i="13"/>
  <c r="C747" i="13"/>
  <c r="G747" i="13" s="1"/>
  <c r="K747" i="13" s="1"/>
  <c r="J746" i="13"/>
  <c r="I746" i="13"/>
  <c r="F746" i="13"/>
  <c r="E746" i="13"/>
  <c r="D746" i="13"/>
  <c r="H746" i="13" s="1"/>
  <c r="C746" i="13"/>
  <c r="G746" i="13" s="1"/>
  <c r="K746" i="13" s="1"/>
  <c r="J745" i="13"/>
  <c r="I745" i="13"/>
  <c r="F745" i="13"/>
  <c r="E745" i="13"/>
  <c r="D745" i="13"/>
  <c r="H745" i="13" s="1"/>
  <c r="C745" i="13"/>
  <c r="G745" i="13" s="1"/>
  <c r="K745" i="13" s="1"/>
  <c r="J744" i="13"/>
  <c r="I744" i="13"/>
  <c r="F744" i="13"/>
  <c r="E744" i="13"/>
  <c r="D744" i="13"/>
  <c r="H744" i="13" s="1"/>
  <c r="C744" i="13"/>
  <c r="G744" i="13" s="1"/>
  <c r="K744" i="13" s="1"/>
  <c r="J743" i="13"/>
  <c r="I743" i="13"/>
  <c r="H743" i="13"/>
  <c r="F743" i="13"/>
  <c r="E743" i="13"/>
  <c r="D743" i="13"/>
  <c r="C743" i="13"/>
  <c r="G743" i="13" s="1"/>
  <c r="K743" i="13" s="1"/>
  <c r="J742" i="13"/>
  <c r="I742" i="13"/>
  <c r="F742" i="13"/>
  <c r="E742" i="13"/>
  <c r="D742" i="13"/>
  <c r="H742" i="13" s="1"/>
  <c r="C742" i="13"/>
  <c r="G742" i="13" s="1"/>
  <c r="K742" i="13" s="1"/>
  <c r="J741" i="13"/>
  <c r="I741" i="13"/>
  <c r="F741" i="13"/>
  <c r="E741" i="13"/>
  <c r="D741" i="13"/>
  <c r="H741" i="13" s="1"/>
  <c r="C741" i="13"/>
  <c r="G741" i="13" s="1"/>
  <c r="K741" i="13" s="1"/>
  <c r="J740" i="13"/>
  <c r="I740" i="13"/>
  <c r="F740" i="13"/>
  <c r="E740" i="13"/>
  <c r="D740" i="13"/>
  <c r="H740" i="13" s="1"/>
  <c r="C740" i="13"/>
  <c r="G740" i="13" s="1"/>
  <c r="J739" i="13"/>
  <c r="B752" i="13" s="1"/>
  <c r="B782" i="13" s="1"/>
  <c r="I739" i="13"/>
  <c r="F739" i="13"/>
  <c r="E739" i="13"/>
  <c r="D739" i="13"/>
  <c r="H739" i="13" s="1"/>
  <c r="C739" i="13"/>
  <c r="G739" i="13" s="1"/>
  <c r="M731" i="13"/>
  <c r="L731" i="13"/>
  <c r="G731" i="13"/>
  <c r="F731" i="13"/>
  <c r="E731" i="13"/>
  <c r="D731" i="13"/>
  <c r="C731" i="13"/>
  <c r="I731" i="13" s="1"/>
  <c r="H717" i="13"/>
  <c r="G717" i="13"/>
  <c r="F717" i="13"/>
  <c r="E717" i="13"/>
  <c r="D717" i="13"/>
  <c r="C717" i="13"/>
  <c r="H716" i="13"/>
  <c r="G716" i="13"/>
  <c r="F716" i="13"/>
  <c r="E716" i="13"/>
  <c r="D716" i="13"/>
  <c r="C716" i="13"/>
  <c r="H715" i="13"/>
  <c r="G715" i="13"/>
  <c r="F715" i="13"/>
  <c r="E715" i="13"/>
  <c r="D715" i="13"/>
  <c r="C715" i="13"/>
  <c r="B703" i="13"/>
  <c r="B699" i="13"/>
  <c r="B698" i="13" s="1"/>
  <c r="B697" i="13"/>
  <c r="B691" i="13"/>
  <c r="B692" i="13" s="1"/>
  <c r="B685" i="13"/>
  <c r="B682" i="13"/>
  <c r="B689" i="13" s="1"/>
  <c r="G689" i="13" s="1"/>
  <c r="J661" i="13"/>
  <c r="I661" i="13"/>
  <c r="F661" i="13"/>
  <c r="E661" i="13"/>
  <c r="D661" i="13"/>
  <c r="H661" i="13" s="1"/>
  <c r="C661" i="13"/>
  <c r="G661" i="13" s="1"/>
  <c r="K661" i="13" s="1"/>
  <c r="J660" i="13"/>
  <c r="I660" i="13"/>
  <c r="F660" i="13"/>
  <c r="E660" i="13"/>
  <c r="D660" i="13"/>
  <c r="H660" i="13" s="1"/>
  <c r="C660" i="13"/>
  <c r="G660" i="13" s="1"/>
  <c r="L652" i="13"/>
  <c r="I652" i="13"/>
  <c r="G652" i="13"/>
  <c r="B673" i="13" s="1"/>
  <c r="F652" i="13"/>
  <c r="M652" i="13" s="1"/>
  <c r="E652" i="13"/>
  <c r="D652" i="13"/>
  <c r="C652" i="13"/>
  <c r="H637" i="13"/>
  <c r="G637" i="13"/>
  <c r="F637" i="13"/>
  <c r="E637" i="13"/>
  <c r="D637" i="13"/>
  <c r="C637" i="13"/>
  <c r="H636" i="13"/>
  <c r="G636" i="13"/>
  <c r="F636" i="13"/>
  <c r="E636" i="13"/>
  <c r="D636" i="13"/>
  <c r="C636" i="13"/>
  <c r="B618" i="13"/>
  <c r="B620" i="13" s="1"/>
  <c r="B619" i="13" s="1"/>
  <c r="B610" i="13"/>
  <c r="B607" i="13"/>
  <c r="B606" i="13"/>
  <c r="B603" i="13"/>
  <c r="B594" i="13"/>
  <c r="B624" i="13" s="1"/>
  <c r="J583" i="13"/>
  <c r="I583" i="13"/>
  <c r="H583" i="13"/>
  <c r="F583" i="13"/>
  <c r="E583" i="13"/>
  <c r="D583" i="13"/>
  <c r="C583" i="13"/>
  <c r="G583" i="13" s="1"/>
  <c r="K583" i="13" s="1"/>
  <c r="J582" i="13"/>
  <c r="I582" i="13"/>
  <c r="F582" i="13"/>
  <c r="E582" i="13"/>
  <c r="D582" i="13"/>
  <c r="H582" i="13" s="1"/>
  <c r="C582" i="13"/>
  <c r="G582" i="13" s="1"/>
  <c r="J581" i="13"/>
  <c r="I581" i="13"/>
  <c r="F581" i="13"/>
  <c r="E581" i="13"/>
  <c r="D581" i="13"/>
  <c r="H581" i="13" s="1"/>
  <c r="C581" i="13"/>
  <c r="G581" i="13" s="1"/>
  <c r="K581" i="13" s="1"/>
  <c r="I573" i="13"/>
  <c r="L573" i="13" s="1"/>
  <c r="G573" i="13"/>
  <c r="F573" i="13"/>
  <c r="M573" i="13" s="1"/>
  <c r="N573" i="13" s="1"/>
  <c r="H573" i="13" s="1"/>
  <c r="E573" i="13"/>
  <c r="D573" i="13"/>
  <c r="C573" i="13"/>
  <c r="H559" i="13"/>
  <c r="G559" i="13"/>
  <c r="F559" i="13"/>
  <c r="E559" i="13"/>
  <c r="D559" i="13"/>
  <c r="C559" i="13"/>
  <c r="H558" i="13"/>
  <c r="G558" i="13"/>
  <c r="F558" i="13"/>
  <c r="E558" i="13"/>
  <c r="D558" i="13"/>
  <c r="C558" i="13"/>
  <c r="H557" i="13"/>
  <c r="G557" i="13"/>
  <c r="F557" i="13"/>
  <c r="E557" i="13"/>
  <c r="D557" i="13"/>
  <c r="C557" i="13"/>
  <c r="B539" i="13"/>
  <c r="B541" i="13" s="1"/>
  <c r="B540" i="13" s="1"/>
  <c r="B531" i="13"/>
  <c r="B533" i="13" s="1"/>
  <c r="B534" i="13" s="1"/>
  <c r="B527" i="13"/>
  <c r="B528" i="13" s="1"/>
  <c r="B524" i="13"/>
  <c r="J504" i="13"/>
  <c r="I504" i="13"/>
  <c r="F504" i="13"/>
  <c r="E504" i="13"/>
  <c r="D504" i="13"/>
  <c r="H504" i="13" s="1"/>
  <c r="C504" i="13"/>
  <c r="G504" i="13" s="1"/>
  <c r="J503" i="13"/>
  <c r="I503" i="13"/>
  <c r="F503" i="13"/>
  <c r="E503" i="13"/>
  <c r="D503" i="13"/>
  <c r="H503" i="13" s="1"/>
  <c r="C503" i="13"/>
  <c r="G503" i="13" s="1"/>
  <c r="K503" i="13" s="1"/>
  <c r="J502" i="13"/>
  <c r="I502" i="13"/>
  <c r="F502" i="13"/>
  <c r="E502" i="13"/>
  <c r="D502" i="13"/>
  <c r="H502" i="13" s="1"/>
  <c r="C502" i="13"/>
  <c r="G502" i="13" s="1"/>
  <c r="K502" i="13" s="1"/>
  <c r="H483" i="13"/>
  <c r="G483" i="13"/>
  <c r="F483" i="13"/>
  <c r="E483" i="13"/>
  <c r="D483" i="13"/>
  <c r="C483" i="13"/>
  <c r="H482" i="13"/>
  <c r="G482" i="13"/>
  <c r="F482" i="13"/>
  <c r="E482" i="13"/>
  <c r="D482" i="13"/>
  <c r="C482" i="13"/>
  <c r="H481" i="13"/>
  <c r="G481" i="13"/>
  <c r="F481" i="13"/>
  <c r="E481" i="13"/>
  <c r="D481" i="13"/>
  <c r="C481" i="13"/>
  <c r="H480" i="13"/>
  <c r="G480" i="13"/>
  <c r="F480" i="13"/>
  <c r="E480" i="13"/>
  <c r="D480" i="13"/>
  <c r="C480" i="13"/>
  <c r="H479" i="13"/>
  <c r="G479" i="13"/>
  <c r="F479" i="13"/>
  <c r="E479" i="13"/>
  <c r="D479" i="13"/>
  <c r="C479" i="13"/>
  <c r="H478" i="13"/>
  <c r="B515" i="13" s="1"/>
  <c r="B545" i="13" s="1"/>
  <c r="G478" i="13"/>
  <c r="F478" i="13"/>
  <c r="E478" i="13"/>
  <c r="D478" i="13"/>
  <c r="C478" i="13"/>
  <c r="B463" i="13"/>
  <c r="B462" i="13"/>
  <c r="B461" i="13"/>
  <c r="G453" i="13"/>
  <c r="B449" i="13"/>
  <c r="B450" i="13" s="1"/>
  <c r="B446" i="13"/>
  <c r="B453" i="13" s="1"/>
  <c r="B455" i="13" s="1"/>
  <c r="B456" i="13" s="1"/>
  <c r="J428" i="13"/>
  <c r="I428" i="13"/>
  <c r="F428" i="13"/>
  <c r="E428" i="13"/>
  <c r="D428" i="13"/>
  <c r="H428" i="13" s="1"/>
  <c r="C428" i="13"/>
  <c r="G428" i="13" s="1"/>
  <c r="K428" i="13" s="1"/>
  <c r="J427" i="13"/>
  <c r="I427" i="13"/>
  <c r="F427" i="13"/>
  <c r="E427" i="13"/>
  <c r="D427" i="13"/>
  <c r="H427" i="13" s="1"/>
  <c r="C427" i="13"/>
  <c r="G427" i="13" s="1"/>
  <c r="K427" i="13" s="1"/>
  <c r="J426" i="13"/>
  <c r="I426" i="13"/>
  <c r="F426" i="13"/>
  <c r="E426" i="13"/>
  <c r="D426" i="13"/>
  <c r="H426" i="13" s="1"/>
  <c r="C426" i="13"/>
  <c r="G426" i="13" s="1"/>
  <c r="J425" i="13"/>
  <c r="I425" i="13"/>
  <c r="F425" i="13"/>
  <c r="E425" i="13"/>
  <c r="D425" i="13"/>
  <c r="H425" i="13" s="1"/>
  <c r="C425" i="13"/>
  <c r="G425" i="13" s="1"/>
  <c r="K425" i="13" s="1"/>
  <c r="J424" i="13"/>
  <c r="I424" i="13"/>
  <c r="F424" i="13"/>
  <c r="E424" i="13"/>
  <c r="D424" i="13"/>
  <c r="H424" i="13" s="1"/>
  <c r="C424" i="13"/>
  <c r="G424" i="13" s="1"/>
  <c r="K424" i="13" s="1"/>
  <c r="H402" i="13"/>
  <c r="G402" i="13"/>
  <c r="F402" i="13"/>
  <c r="E402" i="13"/>
  <c r="D402" i="13"/>
  <c r="C402" i="13"/>
  <c r="H401" i="13"/>
  <c r="G401" i="13"/>
  <c r="F401" i="13"/>
  <c r="E401" i="13"/>
  <c r="D401" i="13"/>
  <c r="C401" i="13"/>
  <c r="H400" i="13"/>
  <c r="B437" i="13" s="1"/>
  <c r="G400" i="13"/>
  <c r="F400" i="13"/>
  <c r="E400" i="13"/>
  <c r="D400" i="13"/>
  <c r="C400" i="13"/>
  <c r="B385" i="13"/>
  <c r="B384" i="13" s="1"/>
  <c r="B383" i="13"/>
  <c r="B378" i="13"/>
  <c r="B377" i="13"/>
  <c r="B375" i="13"/>
  <c r="G375" i="13" s="1"/>
  <c r="B372" i="13"/>
  <c r="B371" i="13"/>
  <c r="B368" i="13"/>
  <c r="J350" i="13"/>
  <c r="I350" i="13"/>
  <c r="F350" i="13"/>
  <c r="E350" i="13"/>
  <c r="D350" i="13"/>
  <c r="H350" i="13" s="1"/>
  <c r="C350" i="13"/>
  <c r="G350" i="13" s="1"/>
  <c r="K350" i="13" s="1"/>
  <c r="J349" i="13"/>
  <c r="I349" i="13"/>
  <c r="H349" i="13"/>
  <c r="F349" i="13"/>
  <c r="E349" i="13"/>
  <c r="D349" i="13"/>
  <c r="C349" i="13"/>
  <c r="G349" i="13" s="1"/>
  <c r="K349" i="13" s="1"/>
  <c r="J348" i="13"/>
  <c r="I348" i="13"/>
  <c r="F348" i="13"/>
  <c r="E348" i="13"/>
  <c r="D348" i="13"/>
  <c r="H348" i="13" s="1"/>
  <c r="C348" i="13"/>
  <c r="G348" i="13" s="1"/>
  <c r="K348" i="13" s="1"/>
  <c r="J347" i="13"/>
  <c r="I347" i="13"/>
  <c r="F347" i="13"/>
  <c r="E347" i="13"/>
  <c r="D347" i="13"/>
  <c r="H347" i="13" s="1"/>
  <c r="C347" i="13"/>
  <c r="G347" i="13" s="1"/>
  <c r="K347" i="13" s="1"/>
  <c r="J346" i="13"/>
  <c r="I346" i="13"/>
  <c r="F346" i="13"/>
  <c r="E346" i="13"/>
  <c r="D346" i="13"/>
  <c r="H346" i="13" s="1"/>
  <c r="C346" i="13"/>
  <c r="G346" i="13" s="1"/>
  <c r="H325" i="13"/>
  <c r="G325" i="13"/>
  <c r="F325" i="13"/>
  <c r="E325" i="13"/>
  <c r="D325" i="13"/>
  <c r="C325" i="13"/>
  <c r="H324" i="13"/>
  <c r="G324" i="13"/>
  <c r="F324" i="13"/>
  <c r="E324" i="13"/>
  <c r="D324" i="13"/>
  <c r="C324" i="13"/>
  <c r="H323" i="13"/>
  <c r="G323" i="13"/>
  <c r="F323" i="13"/>
  <c r="E323" i="13"/>
  <c r="D323" i="13"/>
  <c r="C323" i="13"/>
  <c r="H322" i="13"/>
  <c r="B359" i="13" s="1"/>
  <c r="G322" i="13"/>
  <c r="F322" i="13"/>
  <c r="E322" i="13"/>
  <c r="D322" i="13"/>
  <c r="C322" i="13"/>
  <c r="B306" i="13"/>
  <c r="B305" i="13"/>
  <c r="B304" i="13"/>
  <c r="B298" i="13"/>
  <c r="B299" i="13" s="1"/>
  <c r="G296" i="13"/>
  <c r="B292" i="13"/>
  <c r="B289" i="13"/>
  <c r="B296" i="13" s="1"/>
  <c r="J270" i="13"/>
  <c r="I270" i="13"/>
  <c r="F270" i="13"/>
  <c r="E270" i="13"/>
  <c r="D270" i="13"/>
  <c r="H270" i="13" s="1"/>
  <c r="C270" i="13"/>
  <c r="G270" i="13" s="1"/>
  <c r="K270" i="13" s="1"/>
  <c r="J269" i="13"/>
  <c r="I269" i="13"/>
  <c r="F269" i="13"/>
  <c r="E269" i="13"/>
  <c r="D269" i="13"/>
  <c r="H269" i="13" s="1"/>
  <c r="C269" i="13"/>
  <c r="G269" i="13" s="1"/>
  <c r="K269" i="13" s="1"/>
  <c r="J268" i="13"/>
  <c r="I268" i="13"/>
  <c r="F268" i="13"/>
  <c r="E268" i="13"/>
  <c r="D268" i="13"/>
  <c r="H268" i="13" s="1"/>
  <c r="C268" i="13"/>
  <c r="G268" i="13" s="1"/>
  <c r="J267" i="13"/>
  <c r="I267" i="13"/>
  <c r="H267" i="13"/>
  <c r="F267" i="13"/>
  <c r="E267" i="13"/>
  <c r="D267" i="13"/>
  <c r="C267" i="13"/>
  <c r="G267" i="13" s="1"/>
  <c r="K267" i="13" s="1"/>
  <c r="H246" i="13"/>
  <c r="G246" i="13"/>
  <c r="F246" i="13"/>
  <c r="E246" i="13"/>
  <c r="D246" i="13"/>
  <c r="C246" i="13"/>
  <c r="H245" i="13"/>
  <c r="G245" i="13"/>
  <c r="F245" i="13"/>
  <c r="E245" i="13"/>
  <c r="D245" i="13"/>
  <c r="C245" i="13"/>
  <c r="H244" i="13"/>
  <c r="G244" i="13"/>
  <c r="F244" i="13"/>
  <c r="E244" i="13"/>
  <c r="D244" i="13"/>
  <c r="C244" i="13"/>
  <c r="H243" i="13"/>
  <c r="B280" i="13" s="1"/>
  <c r="B310" i="13" s="1"/>
  <c r="G243" i="13"/>
  <c r="F243" i="13"/>
  <c r="E243" i="13"/>
  <c r="D243" i="13"/>
  <c r="C243" i="13"/>
  <c r="B225" i="13"/>
  <c r="B227" i="13" s="1"/>
  <c r="B226" i="13" s="1"/>
  <c r="B217" i="13"/>
  <c r="G217" i="13" s="1"/>
  <c r="B213" i="13"/>
  <c r="B210" i="13"/>
  <c r="J190" i="13"/>
  <c r="I190" i="13"/>
  <c r="F190" i="13"/>
  <c r="E190" i="13"/>
  <c r="D190" i="13"/>
  <c r="H190" i="13" s="1"/>
  <c r="C190" i="13"/>
  <c r="G190" i="13" s="1"/>
  <c r="K190" i="13" s="1"/>
  <c r="J189" i="13"/>
  <c r="I189" i="13"/>
  <c r="F189" i="13"/>
  <c r="E189" i="13"/>
  <c r="D189" i="13"/>
  <c r="H189" i="13" s="1"/>
  <c r="C189" i="13"/>
  <c r="G189" i="13" s="1"/>
  <c r="J188" i="13"/>
  <c r="I188" i="13"/>
  <c r="H188" i="13"/>
  <c r="F188" i="13"/>
  <c r="E188" i="13"/>
  <c r="D188" i="13"/>
  <c r="C188" i="13"/>
  <c r="G188" i="13" s="1"/>
  <c r="K188" i="13" s="1"/>
  <c r="G180" i="13"/>
  <c r="F180" i="13"/>
  <c r="M180" i="13" s="1"/>
  <c r="N180" i="13" s="1"/>
  <c r="H180" i="13" s="1"/>
  <c r="E180" i="13"/>
  <c r="D180" i="13"/>
  <c r="C180" i="13"/>
  <c r="I180" i="13" s="1"/>
  <c r="L180" i="13" s="1"/>
  <c r="H165" i="13"/>
  <c r="G165" i="13"/>
  <c r="F165" i="13"/>
  <c r="E165" i="13"/>
  <c r="D165" i="13"/>
  <c r="C165" i="13"/>
  <c r="H164" i="13"/>
  <c r="B201" i="13" s="1"/>
  <c r="G164" i="13"/>
  <c r="F164" i="13"/>
  <c r="E164" i="13"/>
  <c r="D164" i="13"/>
  <c r="C164" i="13"/>
  <c r="B22" i="13"/>
  <c r="F22" i="13" s="1"/>
  <c r="B21" i="13"/>
  <c r="D21" i="13" s="1"/>
  <c r="V12" i="13"/>
  <c r="V11" i="13"/>
  <c r="V10" i="13"/>
  <c r="V9" i="13"/>
  <c r="V8" i="13"/>
  <c r="V7" i="13"/>
  <c r="DE79" i="12"/>
  <c r="DE78" i="12"/>
  <c r="DE77" i="12"/>
  <c r="DE76" i="12"/>
  <c r="DE75" i="12"/>
  <c r="DE73" i="12"/>
  <c r="DE72" i="12"/>
  <c r="DE71" i="12"/>
  <c r="DE70" i="12"/>
  <c r="DE68" i="12"/>
  <c r="DE67" i="12"/>
  <c r="DE66" i="12"/>
  <c r="DE65" i="12"/>
  <c r="DE63" i="12"/>
  <c r="DE62" i="12"/>
  <c r="DE61" i="12"/>
  <c r="DE59" i="12"/>
  <c r="DE58" i="12"/>
  <c r="DE57" i="12"/>
  <c r="DE56" i="12"/>
  <c r="DE55" i="12"/>
  <c r="DE54" i="12"/>
  <c r="DE53" i="12"/>
  <c r="DE52" i="12"/>
  <c r="CB52" i="12"/>
  <c r="DE51" i="12"/>
  <c r="CB51" i="12"/>
  <c r="DE50" i="12"/>
  <c r="CB50" i="12"/>
  <c r="BM50" i="12"/>
  <c r="DE49" i="12"/>
  <c r="CQ49" i="12"/>
  <c r="CP49" i="12"/>
  <c r="CB49" i="12"/>
  <c r="CQ46" i="12" s="1"/>
  <c r="BM49" i="12"/>
  <c r="DE48" i="12"/>
  <c r="CQ48" i="12"/>
  <c r="CP48" i="12"/>
  <c r="CB48" i="12"/>
  <c r="CQ45" i="12" s="1"/>
  <c r="BM48" i="12"/>
  <c r="DE47" i="12"/>
  <c r="CQ47" i="12"/>
  <c r="CP47" i="12"/>
  <c r="CB47" i="12"/>
  <c r="BM47" i="12"/>
  <c r="DE46" i="12"/>
  <c r="CP46" i="12"/>
  <c r="CB46" i="12"/>
  <c r="CQ43" i="12" s="1"/>
  <c r="BM46" i="12"/>
  <c r="DE45" i="12"/>
  <c r="CP45" i="12"/>
  <c r="CB45" i="12"/>
  <c r="BM45" i="12"/>
  <c r="CP44" i="12" s="1"/>
  <c r="DE44" i="12"/>
  <c r="CQ44" i="12"/>
  <c r="CB44" i="12"/>
  <c r="BM44" i="12"/>
  <c r="CP43" i="12" s="1"/>
  <c r="BM43" i="12"/>
  <c r="CP42" i="12" s="1"/>
  <c r="DE42" i="12"/>
  <c r="CQ42" i="12"/>
  <c r="CB42" i="12"/>
  <c r="BM42" i="12"/>
  <c r="C42" i="12"/>
  <c r="DE41" i="12"/>
  <c r="CQ41" i="12"/>
  <c r="CP41" i="12"/>
  <c r="CB41" i="12"/>
  <c r="DE40" i="12"/>
  <c r="CB40" i="12"/>
  <c r="CQ37" i="12" s="1"/>
  <c r="BM40" i="12"/>
  <c r="CP39" i="12" s="1"/>
  <c r="AQ40" i="12"/>
  <c r="DE39" i="12"/>
  <c r="CQ39" i="12"/>
  <c r="CB39" i="12"/>
  <c r="BM39" i="12"/>
  <c r="CP38" i="12" s="1"/>
  <c r="DE38" i="12"/>
  <c r="CQ38" i="12"/>
  <c r="BM38" i="12"/>
  <c r="CP37" i="12" s="1"/>
  <c r="DE37" i="12"/>
  <c r="CB37" i="12"/>
  <c r="CQ34" i="12" s="1"/>
  <c r="BM37" i="12"/>
  <c r="N37" i="12"/>
  <c r="DE36" i="12"/>
  <c r="CQ36" i="12"/>
  <c r="CP36" i="12"/>
  <c r="CB36" i="12"/>
  <c r="G36" i="12"/>
  <c r="B36" i="12" s="1"/>
  <c r="DE35" i="12"/>
  <c r="CB35" i="12"/>
  <c r="BM35" i="12"/>
  <c r="DE34" i="12"/>
  <c r="CP34" i="12"/>
  <c r="CB34" i="12"/>
  <c r="BM34" i="12"/>
  <c r="CP33" i="12" s="1"/>
  <c r="DE33" i="12"/>
  <c r="CQ33" i="12"/>
  <c r="CB33" i="12"/>
  <c r="CQ30" i="12" s="1"/>
  <c r="BM33" i="12"/>
  <c r="DE32" i="12"/>
  <c r="CQ32" i="12"/>
  <c r="CP32" i="12"/>
  <c r="CB32" i="12"/>
  <c r="BM32" i="12"/>
  <c r="CP31" i="12" s="1"/>
  <c r="CQ31" i="12"/>
  <c r="BM31" i="12"/>
  <c r="DE30" i="12"/>
  <c r="CP30" i="12"/>
  <c r="CB30" i="12"/>
  <c r="CQ27" i="12" s="1"/>
  <c r="BM30" i="12"/>
  <c r="CP29" i="12" s="1"/>
  <c r="DE29" i="12"/>
  <c r="CQ29" i="12"/>
  <c r="CB29" i="12"/>
  <c r="DE28" i="12"/>
  <c r="CB28" i="12"/>
  <c r="BM28" i="12"/>
  <c r="CP27" i="12" s="1"/>
  <c r="DE27" i="12"/>
  <c r="BM27" i="12"/>
  <c r="CQ26" i="12"/>
  <c r="CP26" i="12"/>
  <c r="CB26" i="12"/>
  <c r="BM26" i="12"/>
  <c r="CP25" i="12" s="1"/>
  <c r="B26" i="12"/>
  <c r="CQ25" i="12"/>
  <c r="CB25" i="12"/>
  <c r="CD25" i="12" s="1"/>
  <c r="E92" i="14"/>
  <c r="DE24" i="12"/>
  <c r="CD24" i="12"/>
  <c r="CB24" i="12"/>
  <c r="BM24" i="12"/>
  <c r="P24" i="12"/>
  <c r="G91" i="14" s="1"/>
  <c r="DE23" i="12"/>
  <c r="CQ23" i="12"/>
  <c r="CP23" i="12"/>
  <c r="CD23" i="12"/>
  <c r="CB23" i="12"/>
  <c r="BM23" i="12"/>
  <c r="CP22" i="12" s="1"/>
  <c r="AQ23" i="12"/>
  <c r="P23" i="12"/>
  <c r="G90" i="14" s="1"/>
  <c r="DE22" i="12"/>
  <c r="CD22" i="12"/>
  <c r="CB22" i="12"/>
  <c r="BM22" i="12"/>
  <c r="P22" i="12"/>
  <c r="G89" i="14" s="1"/>
  <c r="DE21" i="12"/>
  <c r="CQ21" i="12"/>
  <c r="CP21" i="12"/>
  <c r="CD21" i="12"/>
  <c r="CB21" i="12"/>
  <c r="CQ18" i="12" s="1"/>
  <c r="BM21" i="12"/>
  <c r="P21" i="12"/>
  <c r="G88" i="14" s="1"/>
  <c r="DE20" i="12"/>
  <c r="CQ20" i="12"/>
  <c r="CP20" i="12"/>
  <c r="BM20" i="12"/>
  <c r="DE19" i="12"/>
  <c r="CQ19" i="12"/>
  <c r="CP19" i="12"/>
  <c r="CB19" i="12"/>
  <c r="BM19" i="12"/>
  <c r="B19" i="12"/>
  <c r="DE18" i="12"/>
  <c r="CP18" i="12"/>
  <c r="CB18" i="12"/>
  <c r="DE17" i="12"/>
  <c r="CB17" i="12"/>
  <c r="BM17" i="12"/>
  <c r="CP16" i="12" s="1"/>
  <c r="DE16" i="12"/>
  <c r="CQ16" i="12"/>
  <c r="CB16" i="12"/>
  <c r="BM16" i="12"/>
  <c r="P16" i="12"/>
  <c r="T16" i="12"/>
  <c r="DE15" i="12"/>
  <c r="CQ15" i="12"/>
  <c r="CP15" i="12"/>
  <c r="BM15" i="12"/>
  <c r="CP14" i="12" s="1"/>
  <c r="DE14" i="12"/>
  <c r="CQ14" i="12"/>
  <c r="BM14" i="12"/>
  <c r="CP13" i="12" s="1"/>
  <c r="DE13" i="12"/>
  <c r="CQ13" i="12"/>
  <c r="CB13" i="12"/>
  <c r="P13" i="12"/>
  <c r="H13" i="12"/>
  <c r="N24" i="12" s="1"/>
  <c r="DE12" i="12"/>
  <c r="CB12" i="12"/>
  <c r="BM12" i="12"/>
  <c r="CP11" i="12" s="1"/>
  <c r="P12" i="12"/>
  <c r="G18" i="14" s="1"/>
  <c r="H12" i="12"/>
  <c r="DE11" i="12"/>
  <c r="CQ11" i="12"/>
  <c r="CB11" i="12"/>
  <c r="BM11" i="12"/>
  <c r="CP10" i="12" s="1"/>
  <c r="P11" i="12"/>
  <c r="H11" i="12"/>
  <c r="DE10" i="12"/>
  <c r="CQ10" i="12"/>
  <c r="BM10" i="12"/>
  <c r="P10" i="12"/>
  <c r="H10" i="12"/>
  <c r="DE9" i="12"/>
  <c r="CQ9" i="12"/>
  <c r="CP9" i="12"/>
  <c r="CB9" i="12"/>
  <c r="CQ6" i="12" s="1"/>
  <c r="BM9" i="12"/>
  <c r="P25" i="12"/>
  <c r="H9" i="12"/>
  <c r="N13" i="12" s="1"/>
  <c r="DE8" i="12"/>
  <c r="CQ8" i="12"/>
  <c r="CP8" i="12"/>
  <c r="CB8" i="12"/>
  <c r="CQ5" i="12" s="1"/>
  <c r="H8" i="12"/>
  <c r="N12" i="12" s="1"/>
  <c r="DE7" i="12"/>
  <c r="CB7" i="12"/>
  <c r="BM7" i="12"/>
  <c r="H7" i="12"/>
  <c r="N11" i="12" s="1"/>
  <c r="DE6" i="12"/>
  <c r="CP6" i="12"/>
  <c r="CB6" i="12"/>
  <c r="CQ3" i="12" s="1"/>
  <c r="BM6" i="12"/>
  <c r="CP5" i="12" s="1"/>
  <c r="H6" i="12"/>
  <c r="B6" i="12"/>
  <c r="B23" i="12" s="1"/>
  <c r="DE5" i="12"/>
  <c r="BM5" i="12"/>
  <c r="CP4" i="12" s="1"/>
  <c r="CQ4" i="12"/>
  <c r="BM4" i="12"/>
  <c r="CP3" i="12" s="1"/>
  <c r="B4" i="12"/>
  <c r="B43" i="18" l="1"/>
  <c r="B73" i="18" s="1"/>
  <c r="W7" i="18" s="1"/>
  <c r="B72" i="18"/>
  <c r="AZ31" i="16"/>
  <c r="CP30" i="16" s="1"/>
  <c r="B151" i="17"/>
  <c r="B42" i="17"/>
  <c r="B43" i="17" s="1"/>
  <c r="B73" i="17" s="1"/>
  <c r="W7" i="17" s="1"/>
  <c r="DL29" i="15"/>
  <c r="AZ10" i="15"/>
  <c r="CP9" i="15" s="1"/>
  <c r="AZ7" i="16"/>
  <c r="AZ11" i="16"/>
  <c r="CP10" i="16" s="1"/>
  <c r="Q41" i="16"/>
  <c r="AZ4" i="16"/>
  <c r="AZ5" i="16"/>
  <c r="AP54" i="16"/>
  <c r="AZ42" i="16"/>
  <c r="CP41" i="16" s="1"/>
  <c r="AZ47" i="16"/>
  <c r="CP46" i="16" s="1"/>
  <c r="AP57" i="16"/>
  <c r="T27" i="16"/>
  <c r="O41" i="16"/>
  <c r="AZ6" i="16"/>
  <c r="AZ7" i="15"/>
  <c r="AZ11" i="15"/>
  <c r="CP10" i="15" s="1"/>
  <c r="Q41" i="15"/>
  <c r="AZ5" i="15"/>
  <c r="AZ4" i="15"/>
  <c r="AZ6" i="15"/>
  <c r="AP54" i="15"/>
  <c r="AZ42" i="15"/>
  <c r="CP41" i="15" s="1"/>
  <c r="AZ47" i="15"/>
  <c r="CP46" i="15" s="1"/>
  <c r="AP57" i="15"/>
  <c r="T27" i="15"/>
  <c r="O41" i="15"/>
  <c r="N23" i="12"/>
  <c r="E90" i="14" s="1"/>
  <c r="N22" i="12"/>
  <c r="E89" i="14" s="1"/>
  <c r="N10" i="12"/>
  <c r="E16" i="14" s="1"/>
  <c r="N21" i="12"/>
  <c r="E88" i="14" s="1"/>
  <c r="F22" i="14"/>
  <c r="G22" i="14"/>
  <c r="C15" i="14"/>
  <c r="D19" i="14"/>
  <c r="D15" i="14"/>
  <c r="C21" i="14"/>
  <c r="C22" i="14"/>
  <c r="C14" i="13"/>
  <c r="C18" i="13"/>
  <c r="C22" i="13"/>
  <c r="C12" i="13"/>
  <c r="D14" i="13"/>
  <c r="C16" i="13"/>
  <c r="D18" i="13"/>
  <c r="D22" i="13"/>
  <c r="E18" i="14"/>
  <c r="K108" i="14"/>
  <c r="K109" i="13"/>
  <c r="B127" i="14"/>
  <c r="T15" i="12"/>
  <c r="Q25" i="12"/>
  <c r="H92" i="14" s="1"/>
  <c r="K108" i="13"/>
  <c r="E22" i="14"/>
  <c r="G92" i="14"/>
  <c r="G16" i="14"/>
  <c r="K33" i="14"/>
  <c r="F14" i="14"/>
  <c r="E17" i="14"/>
  <c r="F18" i="14"/>
  <c r="C19" i="14"/>
  <c r="G19" i="14"/>
  <c r="F13" i="14"/>
  <c r="F17" i="14"/>
  <c r="F12" i="14"/>
  <c r="C13" i="14"/>
  <c r="D14" i="14"/>
  <c r="F16" i="14"/>
  <c r="C17" i="14"/>
  <c r="G17" i="14"/>
  <c r="D18" i="14"/>
  <c r="C12" i="14"/>
  <c r="D13" i="14"/>
  <c r="C16" i="14"/>
  <c r="D17" i="14"/>
  <c r="K34" i="14"/>
  <c r="K268" i="14"/>
  <c r="K350" i="14"/>
  <c r="K189" i="14"/>
  <c r="B595" i="14"/>
  <c r="B625" i="14" s="1"/>
  <c r="W14" i="14" s="1"/>
  <c r="B624" i="14"/>
  <c r="B360" i="14"/>
  <c r="B390" i="14" s="1"/>
  <c r="W11" i="14" s="1"/>
  <c r="N731" i="14"/>
  <c r="H731" i="14" s="1"/>
  <c r="K109" i="14"/>
  <c r="K267" i="14"/>
  <c r="K270" i="14"/>
  <c r="K428" i="14"/>
  <c r="K503" i="14"/>
  <c r="B516" i="14"/>
  <c r="B546" i="14" s="1"/>
  <c r="W13" i="14" s="1"/>
  <c r="K581" i="14"/>
  <c r="K583" i="14"/>
  <c r="B674" i="14"/>
  <c r="B704" i="14" s="1"/>
  <c r="W15" i="14" s="1"/>
  <c r="B703" i="14"/>
  <c r="K739" i="14"/>
  <c r="K746" i="14"/>
  <c r="G768" i="14"/>
  <c r="B389" i="14"/>
  <c r="B281" i="14"/>
  <c r="B311" i="14" s="1"/>
  <c r="W10" i="14" s="1"/>
  <c r="B752" i="14"/>
  <c r="K747" i="14"/>
  <c r="B201" i="14"/>
  <c r="B219" i="14"/>
  <c r="B220" i="14" s="1"/>
  <c r="K348" i="14"/>
  <c r="B438" i="14"/>
  <c r="B468" i="14" s="1"/>
  <c r="W12" i="14" s="1"/>
  <c r="B467" i="14"/>
  <c r="K425" i="14"/>
  <c r="B533" i="14"/>
  <c r="B534" i="14" s="1"/>
  <c r="G531" i="14"/>
  <c r="K743" i="14"/>
  <c r="G610" i="14"/>
  <c r="F13" i="13"/>
  <c r="D13" i="13"/>
  <c r="D17" i="13"/>
  <c r="D12" i="13"/>
  <c r="C15" i="13"/>
  <c r="D16" i="13"/>
  <c r="C19" i="13"/>
  <c r="F17" i="13"/>
  <c r="C13" i="13"/>
  <c r="C17" i="13"/>
  <c r="B202" i="13"/>
  <c r="B232" i="13" s="1"/>
  <c r="W9" i="13" s="1"/>
  <c r="B231" i="13"/>
  <c r="K268" i="13"/>
  <c r="K660" i="13"/>
  <c r="B360" i="13"/>
  <c r="B390" i="13" s="1"/>
  <c r="W11" i="13" s="1"/>
  <c r="B389" i="13"/>
  <c r="K34" i="13"/>
  <c r="K189" i="13"/>
  <c r="K346" i="13"/>
  <c r="K740" i="13"/>
  <c r="B281" i="13"/>
  <c r="B311" i="13" s="1"/>
  <c r="W10" i="13" s="1"/>
  <c r="B516" i="13"/>
  <c r="B546" i="13" s="1"/>
  <c r="W13" i="13" s="1"/>
  <c r="G531" i="13"/>
  <c r="B595" i="13"/>
  <c r="B625" i="13" s="1"/>
  <c r="W14" i="13" s="1"/>
  <c r="B612" i="13"/>
  <c r="B613" i="13" s="1"/>
  <c r="G610" i="13"/>
  <c r="N652" i="13"/>
  <c r="H652" i="13" s="1"/>
  <c r="N731" i="13"/>
  <c r="H731" i="13" s="1"/>
  <c r="B438" i="13"/>
  <c r="B468" i="13" s="1"/>
  <c r="W12" i="13" s="1"/>
  <c r="B467" i="13"/>
  <c r="B753" i="13"/>
  <c r="B783" i="13" s="1"/>
  <c r="W16" i="13" s="1"/>
  <c r="K33" i="13"/>
  <c r="B219" i="13"/>
  <c r="B220" i="13" s="1"/>
  <c r="B674" i="13"/>
  <c r="B704" i="13" s="1"/>
  <c r="W15" i="13" s="1"/>
  <c r="K739" i="13"/>
  <c r="K750" i="13"/>
  <c r="K426" i="13"/>
  <c r="K504" i="13"/>
  <c r="K582" i="13"/>
  <c r="P14" i="12"/>
  <c r="F28" i="14" s="1"/>
  <c r="M28" i="14" s="1"/>
  <c r="P19" i="12"/>
  <c r="P8" i="12"/>
  <c r="G14" i="14" s="1"/>
  <c r="P6" i="12"/>
  <c r="P9" i="12"/>
  <c r="P7" i="12"/>
  <c r="CQ22" i="12"/>
  <c r="R15" i="12"/>
  <c r="S15" i="12" s="1"/>
  <c r="Q16" i="12"/>
  <c r="H22" i="14" s="1"/>
  <c r="R11" i="12"/>
  <c r="S11" i="12" s="1"/>
  <c r="T11" i="12"/>
  <c r="T21" i="12"/>
  <c r="R21" i="12"/>
  <c r="S21" i="12" s="1"/>
  <c r="Q11" i="12"/>
  <c r="H17" i="14" s="1"/>
  <c r="R22" i="12"/>
  <c r="S22" i="12" s="1"/>
  <c r="Q21" i="12"/>
  <c r="H88" i="14" s="1"/>
  <c r="B24" i="12"/>
  <c r="F17" i="12"/>
  <c r="R12" i="12"/>
  <c r="S12" i="12" s="1"/>
  <c r="Q12" i="12"/>
  <c r="H18" i="14" s="1"/>
  <c r="T12" i="12"/>
  <c r="T23" i="12"/>
  <c r="R10" i="12"/>
  <c r="S10" i="12" s="1"/>
  <c r="G4" i="12"/>
  <c r="E19" i="14"/>
  <c r="P20" i="12"/>
  <c r="F16" i="12"/>
  <c r="R16" i="12"/>
  <c r="S16" i="12" s="1"/>
  <c r="P18" i="12"/>
  <c r="R25" i="12"/>
  <c r="S25" i="12" s="1"/>
  <c r="P26" i="12"/>
  <c r="N39" i="12"/>
  <c r="P15" i="12"/>
  <c r="P17" i="12"/>
  <c r="F18" i="12"/>
  <c r="T25" i="12"/>
  <c r="P27" i="12"/>
  <c r="I34" i="14" s="1"/>
  <c r="P28" i="12"/>
  <c r="W21" i="18" l="1"/>
  <c r="W18" i="18"/>
  <c r="V31" i="18" s="1"/>
  <c r="B72" i="17"/>
  <c r="W21" i="17"/>
  <c r="W18" i="17"/>
  <c r="V31" i="17" s="1"/>
  <c r="T10" i="12"/>
  <c r="Q10" i="12"/>
  <c r="H16" i="14" s="1"/>
  <c r="F9" i="12"/>
  <c r="Q33" i="12"/>
  <c r="AZ16" i="16"/>
  <c r="CP15" i="16" s="1"/>
  <c r="CP5" i="16"/>
  <c r="AZ15" i="16"/>
  <c r="CP14" i="16" s="1"/>
  <c r="CP4" i="16"/>
  <c r="AZ46" i="16"/>
  <c r="CP45" i="16" s="1"/>
  <c r="AP56" i="16"/>
  <c r="AZ14" i="16"/>
  <c r="CP13" i="16" s="1"/>
  <c r="CP3" i="16"/>
  <c r="AZ17" i="16"/>
  <c r="CP16" i="16" s="1"/>
  <c r="CP6" i="16"/>
  <c r="AZ15" i="15"/>
  <c r="CP14" i="15" s="1"/>
  <c r="CP4" i="15"/>
  <c r="AZ17" i="15"/>
  <c r="CP16" i="15" s="1"/>
  <c r="CP6" i="15"/>
  <c r="AZ46" i="15"/>
  <c r="CP45" i="15" s="1"/>
  <c r="AP56" i="15"/>
  <c r="AZ14" i="15"/>
  <c r="CP13" i="15" s="1"/>
  <c r="CP3" i="15"/>
  <c r="CP5" i="15"/>
  <c r="AZ16" i="15"/>
  <c r="CP15" i="15" s="1"/>
  <c r="R23" i="12"/>
  <c r="S23" i="12" s="1"/>
  <c r="Q23" i="12"/>
  <c r="H90" i="14" s="1"/>
  <c r="Q22" i="12"/>
  <c r="H89" i="14" s="1"/>
  <c r="T22" i="12"/>
  <c r="E91" i="14"/>
  <c r="I33" i="14"/>
  <c r="I108" i="14"/>
  <c r="G85" i="14"/>
  <c r="I109" i="14"/>
  <c r="G84" i="14"/>
  <c r="G86" i="14"/>
  <c r="G13" i="14"/>
  <c r="Q15" i="12"/>
  <c r="H21" i="14" s="1"/>
  <c r="G21" i="14"/>
  <c r="G87" i="14"/>
  <c r="G15" i="14"/>
  <c r="G12" i="14"/>
  <c r="B202" i="14"/>
  <c r="B232" i="14" s="1"/>
  <c r="W9" i="14" s="1"/>
  <c r="B231" i="14"/>
  <c r="B782" i="14"/>
  <c r="B753" i="14"/>
  <c r="B783" i="14" s="1"/>
  <c r="W16" i="14" s="1"/>
  <c r="R13" i="12"/>
  <c r="S13" i="12" s="1"/>
  <c r="T13" i="12"/>
  <c r="F6" i="12"/>
  <c r="R24" i="12"/>
  <c r="S24" i="12" s="1"/>
  <c r="Q24" i="12"/>
  <c r="T24" i="12"/>
  <c r="F10" i="12"/>
  <c r="F22" i="12"/>
  <c r="F8" i="12"/>
  <c r="F20" i="12"/>
  <c r="F12" i="12"/>
  <c r="F11" i="12"/>
  <c r="F21" i="12"/>
  <c r="F7" i="12"/>
  <c r="F13" i="12"/>
  <c r="Q13" i="12"/>
  <c r="H19" i="14" s="1"/>
  <c r="H91" i="14" l="1"/>
  <c r="N36" i="12"/>
  <c r="DE79" i="11" l="1"/>
  <c r="DE78" i="11"/>
  <c r="DE77" i="11"/>
  <c r="DE76" i="11"/>
  <c r="DE75" i="11"/>
  <c r="DE73" i="11"/>
  <c r="DE72" i="11"/>
  <c r="DE71" i="11"/>
  <c r="DE70" i="11"/>
  <c r="DE68" i="11"/>
  <c r="DE67" i="11"/>
  <c r="DE66" i="11"/>
  <c r="DE65" i="11"/>
  <c r="DE63" i="11"/>
  <c r="DE62" i="11"/>
  <c r="DE61" i="11"/>
  <c r="DE59" i="11"/>
  <c r="DE58" i="11"/>
  <c r="DE57" i="11"/>
  <c r="DE56" i="11"/>
  <c r="DE55" i="11"/>
  <c r="DE54" i="11"/>
  <c r="DE53" i="11"/>
  <c r="DE52" i="11"/>
  <c r="CB52" i="11"/>
  <c r="DE51" i="11"/>
  <c r="CB51" i="11"/>
  <c r="CQ48" i="11" s="1"/>
  <c r="DE50" i="11"/>
  <c r="CB50" i="11"/>
  <c r="CQ47" i="11" s="1"/>
  <c r="BM50" i="11"/>
  <c r="CP49" i="11" s="1"/>
  <c r="DE49" i="11"/>
  <c r="CQ49" i="11"/>
  <c r="CB49" i="11"/>
  <c r="CQ46" i="11" s="1"/>
  <c r="BM49" i="11"/>
  <c r="DE48" i="11"/>
  <c r="CP48" i="11"/>
  <c r="CB48" i="11"/>
  <c r="BM48" i="11"/>
  <c r="CP47" i="11" s="1"/>
  <c r="DE47" i="11"/>
  <c r="CB47" i="11"/>
  <c r="BM47" i="11"/>
  <c r="CP46" i="11" s="1"/>
  <c r="DE46" i="11"/>
  <c r="CB46" i="11"/>
  <c r="CQ43" i="11" s="1"/>
  <c r="BM46" i="11"/>
  <c r="CP45" i="11" s="1"/>
  <c r="DE45" i="11"/>
  <c r="CQ45" i="11"/>
  <c r="CB45" i="11"/>
  <c r="CQ42" i="11" s="1"/>
  <c r="BM45" i="11"/>
  <c r="CP44" i="11" s="1"/>
  <c r="DE44" i="11"/>
  <c r="CQ44" i="11"/>
  <c r="CB44" i="11"/>
  <c r="BM44" i="11"/>
  <c r="CP43" i="11" s="1"/>
  <c r="BM43" i="11"/>
  <c r="CP42" i="11" s="1"/>
  <c r="DE42" i="11"/>
  <c r="CB42" i="11"/>
  <c r="CQ39" i="11" s="1"/>
  <c r="BM42" i="11"/>
  <c r="CP41" i="11" s="1"/>
  <c r="C42" i="11"/>
  <c r="DE41" i="11"/>
  <c r="CQ41" i="11"/>
  <c r="CB41" i="11"/>
  <c r="DE40" i="11"/>
  <c r="CB40" i="11"/>
  <c r="CQ37" i="11" s="1"/>
  <c r="BM40" i="11"/>
  <c r="CP39" i="11" s="1"/>
  <c r="AQ40" i="11"/>
  <c r="DE39" i="11"/>
  <c r="CB39" i="11"/>
  <c r="CQ36" i="11" s="1"/>
  <c r="BM39" i="11"/>
  <c r="CP38" i="11" s="1"/>
  <c r="DE38" i="11"/>
  <c r="CQ38" i="11"/>
  <c r="BM38" i="11"/>
  <c r="CP37" i="11" s="1"/>
  <c r="DE37" i="11"/>
  <c r="CB37" i="11"/>
  <c r="BM37" i="11"/>
  <c r="CP36" i="11" s="1"/>
  <c r="N37" i="11"/>
  <c r="DE36" i="11"/>
  <c r="CB36" i="11"/>
  <c r="CQ33" i="11" s="1"/>
  <c r="G36" i="11"/>
  <c r="B36" i="11" s="1"/>
  <c r="DE35" i="11"/>
  <c r="CB35" i="11"/>
  <c r="BM35" i="11"/>
  <c r="CP34" i="11" s="1"/>
  <c r="DE34" i="11"/>
  <c r="CQ34" i="11"/>
  <c r="CB34" i="11"/>
  <c r="CQ31" i="11" s="1"/>
  <c r="BM34" i="11"/>
  <c r="DE33" i="11"/>
  <c r="CP33" i="11"/>
  <c r="CB33" i="11"/>
  <c r="BM33" i="11"/>
  <c r="DE32" i="11"/>
  <c r="CQ32" i="11"/>
  <c r="CP32" i="11"/>
  <c r="CB32" i="11"/>
  <c r="BM32" i="11"/>
  <c r="CP31" i="11" s="1"/>
  <c r="BM31" i="11"/>
  <c r="CP30" i="11" s="1"/>
  <c r="DE30" i="11"/>
  <c r="CQ30" i="11"/>
  <c r="CB30" i="11"/>
  <c r="CQ27" i="11" s="1"/>
  <c r="BM30" i="11"/>
  <c r="DE29" i="11"/>
  <c r="CQ29" i="11"/>
  <c r="CP29" i="11"/>
  <c r="CB29" i="11"/>
  <c r="CQ26" i="11" s="1"/>
  <c r="P26" i="11"/>
  <c r="DE28" i="11"/>
  <c r="CB28" i="11"/>
  <c r="BM28" i="11"/>
  <c r="CP27" i="11" s="1"/>
  <c r="DE27" i="11"/>
  <c r="BM27" i="11"/>
  <c r="CP26" i="11" s="1"/>
  <c r="CB26" i="11"/>
  <c r="CQ23" i="11" s="1"/>
  <c r="BM26" i="11"/>
  <c r="B26" i="11"/>
  <c r="CQ25" i="11"/>
  <c r="CP25" i="11"/>
  <c r="CB25" i="11"/>
  <c r="CD25" i="11" s="1"/>
  <c r="E92" i="13"/>
  <c r="DE24" i="11"/>
  <c r="CD24" i="11"/>
  <c r="CB24" i="11"/>
  <c r="CQ21" i="11" s="1"/>
  <c r="BM24" i="11"/>
  <c r="CP23" i="11" s="1"/>
  <c r="P24" i="11"/>
  <c r="G91" i="13" s="1"/>
  <c r="DE23" i="11"/>
  <c r="CD23" i="11"/>
  <c r="CB23" i="11"/>
  <c r="BM23" i="11"/>
  <c r="CP22" i="11" s="1"/>
  <c r="AQ23" i="11"/>
  <c r="P23" i="11"/>
  <c r="G90" i="13" s="1"/>
  <c r="DE22" i="11"/>
  <c r="CD22" i="11"/>
  <c r="CB22" i="11"/>
  <c r="CQ19" i="11" s="1"/>
  <c r="BM22" i="11"/>
  <c r="CP21" i="11" s="1"/>
  <c r="P22" i="11"/>
  <c r="G89" i="13" s="1"/>
  <c r="DE21" i="11"/>
  <c r="CD21" i="11"/>
  <c r="CB21" i="11"/>
  <c r="CQ18" i="11" s="1"/>
  <c r="BM21" i="11"/>
  <c r="CP20" i="11" s="1"/>
  <c r="P21" i="11"/>
  <c r="G88" i="13" s="1"/>
  <c r="DE20" i="11"/>
  <c r="CQ20" i="11"/>
  <c r="BM20" i="11"/>
  <c r="CP19" i="11" s="1"/>
  <c r="DE19" i="11"/>
  <c r="CB19" i="11"/>
  <c r="CQ16" i="11" s="1"/>
  <c r="BM19" i="11"/>
  <c r="CP18" i="11" s="1"/>
  <c r="B19" i="11"/>
  <c r="DE18" i="11"/>
  <c r="CB18" i="11"/>
  <c r="CQ15" i="11" s="1"/>
  <c r="DE17" i="11"/>
  <c r="CB17" i="11"/>
  <c r="CQ14" i="11" s="1"/>
  <c r="BM17" i="11"/>
  <c r="CP16" i="11" s="1"/>
  <c r="DE16" i="11"/>
  <c r="CB16" i="11"/>
  <c r="CQ13" i="11" s="1"/>
  <c r="BM16" i="11"/>
  <c r="P16" i="11"/>
  <c r="DE15" i="11"/>
  <c r="CP15" i="11"/>
  <c r="BM15" i="11"/>
  <c r="CP14" i="11" s="1"/>
  <c r="DE14" i="11"/>
  <c r="BM14" i="11"/>
  <c r="CP13" i="11" s="1"/>
  <c r="DE13" i="11"/>
  <c r="CB13" i="11"/>
  <c r="CQ10" i="11" s="1"/>
  <c r="P13" i="11"/>
  <c r="G19" i="13" s="1"/>
  <c r="H13" i="11"/>
  <c r="N24" i="11" s="1"/>
  <c r="DE12" i="11"/>
  <c r="CB12" i="11"/>
  <c r="CQ9" i="11" s="1"/>
  <c r="BM12" i="11"/>
  <c r="CP11" i="11" s="1"/>
  <c r="P12" i="11"/>
  <c r="G18" i="13" s="1"/>
  <c r="H12" i="11"/>
  <c r="N23" i="11" s="1"/>
  <c r="DE11" i="11"/>
  <c r="CQ11" i="11"/>
  <c r="CB11" i="11"/>
  <c r="BM11" i="11"/>
  <c r="CP10" i="11" s="1"/>
  <c r="P11" i="11"/>
  <c r="G17" i="13" s="1"/>
  <c r="H11" i="11"/>
  <c r="N22" i="11" s="1"/>
  <c r="DE10" i="11"/>
  <c r="BM10" i="11"/>
  <c r="CP9" i="11" s="1"/>
  <c r="T15" i="11"/>
  <c r="P10" i="11"/>
  <c r="G16" i="13" s="1"/>
  <c r="H10" i="11"/>
  <c r="N21" i="11" s="1"/>
  <c r="DE9" i="11"/>
  <c r="CB9" i="11"/>
  <c r="CQ6" i="11" s="1"/>
  <c r="BM9" i="11"/>
  <c r="CP8" i="11" s="1"/>
  <c r="H9" i="11"/>
  <c r="N13" i="11" s="1"/>
  <c r="DE8" i="11"/>
  <c r="CQ8" i="11"/>
  <c r="CB8" i="11"/>
  <c r="CQ5" i="11" s="1"/>
  <c r="H8" i="11"/>
  <c r="N12" i="11" s="1"/>
  <c r="DE7" i="11"/>
  <c r="CB7" i="11"/>
  <c r="BM7" i="11"/>
  <c r="H7" i="11"/>
  <c r="N11" i="11" s="1"/>
  <c r="DE6" i="11"/>
  <c r="CP6" i="11"/>
  <c r="CB6" i="11"/>
  <c r="CQ3" i="11" s="1"/>
  <c r="BM6" i="11"/>
  <c r="CP5" i="11" s="1"/>
  <c r="H6" i="11"/>
  <c r="N10" i="11" s="1"/>
  <c r="B6" i="11"/>
  <c r="DE5" i="11"/>
  <c r="BM5" i="11"/>
  <c r="CP4" i="11" s="1"/>
  <c r="CQ4" i="11"/>
  <c r="BM4" i="11"/>
  <c r="CP3" i="11" s="1"/>
  <c r="B4" i="11"/>
  <c r="N39" i="11" s="1"/>
  <c r="I108" i="13" l="1"/>
  <c r="I33" i="13"/>
  <c r="Q16" i="11"/>
  <c r="H22" i="13" s="1"/>
  <c r="G22" i="13"/>
  <c r="R10" i="11"/>
  <c r="S10" i="11" s="1"/>
  <c r="E16" i="13"/>
  <c r="T11" i="11"/>
  <c r="E17" i="13"/>
  <c r="R24" i="11"/>
  <c r="S24" i="11" s="1"/>
  <c r="E91" i="13"/>
  <c r="T13" i="11"/>
  <c r="E19" i="13"/>
  <c r="R22" i="11"/>
  <c r="S22" i="11" s="1"/>
  <c r="E89" i="13"/>
  <c r="T12" i="11"/>
  <c r="E18" i="13"/>
  <c r="R23" i="11"/>
  <c r="S23" i="11" s="1"/>
  <c r="E90" i="13"/>
  <c r="T16" i="11"/>
  <c r="E22" i="13"/>
  <c r="Q24" i="11"/>
  <c r="H91" i="13" s="1"/>
  <c r="P25" i="11"/>
  <c r="Q13" i="11"/>
  <c r="H19" i="13" s="1"/>
  <c r="Q22" i="11"/>
  <c r="H89" i="13" s="1"/>
  <c r="Q23" i="11"/>
  <c r="H90" i="13" s="1"/>
  <c r="G4" i="11"/>
  <c r="R15" i="11"/>
  <c r="S15" i="11" s="1"/>
  <c r="R16" i="11"/>
  <c r="S16" i="11" s="1"/>
  <c r="Q12" i="11"/>
  <c r="H18" i="13" s="1"/>
  <c r="P6" i="11"/>
  <c r="G12" i="13" s="1"/>
  <c r="P14" i="11"/>
  <c r="F28" i="13" s="1"/>
  <c r="M28" i="13" s="1"/>
  <c r="P20" i="11"/>
  <c r="G87" i="13" s="1"/>
  <c r="P17" i="11"/>
  <c r="G84" i="13" s="1"/>
  <c r="B23" i="11"/>
  <c r="F18" i="11"/>
  <c r="R11" i="11"/>
  <c r="S11" i="11" s="1"/>
  <c r="E88" i="13"/>
  <c r="T24" i="11"/>
  <c r="T25" i="11"/>
  <c r="T10" i="11"/>
  <c r="R25" i="11"/>
  <c r="S25" i="11" s="1"/>
  <c r="Q10" i="11"/>
  <c r="H16" i="13" s="1"/>
  <c r="R13" i="11"/>
  <c r="S13" i="11" s="1"/>
  <c r="T22" i="11"/>
  <c r="Q11" i="11"/>
  <c r="H17" i="13" s="1"/>
  <c r="R12" i="11"/>
  <c r="S12" i="11" s="1"/>
  <c r="F16" i="11"/>
  <c r="CQ22" i="11"/>
  <c r="T23" i="11"/>
  <c r="AD36" i="6"/>
  <c r="F9" i="11" l="1"/>
  <c r="Q34" i="11"/>
  <c r="Q25" i="11"/>
  <c r="H92" i="13" s="1"/>
  <c r="G92" i="13"/>
  <c r="Q21" i="11"/>
  <c r="H88" i="13" s="1"/>
  <c r="F11" i="11"/>
  <c r="F12" i="11"/>
  <c r="F10" i="11"/>
  <c r="F21" i="11"/>
  <c r="F8" i="11"/>
  <c r="F13" i="11"/>
  <c r="F22" i="11"/>
  <c r="P15" i="11"/>
  <c r="P9" i="11"/>
  <c r="G15" i="13" s="1"/>
  <c r="P8" i="11"/>
  <c r="G14" i="13" s="1"/>
  <c r="F6" i="11"/>
  <c r="F7" i="11"/>
  <c r="P18" i="11"/>
  <c r="G85" i="13" s="1"/>
  <c r="P19" i="11"/>
  <c r="G86" i="13" s="1"/>
  <c r="P7" i="11"/>
  <c r="G13" i="13" s="1"/>
  <c r="R21" i="11"/>
  <c r="S21" i="11" s="1"/>
  <c r="T21" i="11"/>
  <c r="F17" i="11"/>
  <c r="B24" i="11"/>
  <c r="F20" i="11"/>
  <c r="N36" i="11"/>
  <c r="P28" i="11"/>
  <c r="I109" i="13" s="1"/>
  <c r="P27" i="11"/>
  <c r="I34" i="13" s="1"/>
  <c r="B34" i="3"/>
  <c r="Q15" i="11" l="1"/>
  <c r="H21" i="13" s="1"/>
  <c r="G21" i="13"/>
  <c r="DF76" i="6"/>
  <c r="DF75" i="6"/>
  <c r="DF73" i="6"/>
  <c r="DF71" i="6"/>
  <c r="DF72" i="6"/>
  <c r="DF70" i="6"/>
  <c r="DF66" i="6"/>
  <c r="DF67" i="6"/>
  <c r="DF68" i="6"/>
  <c r="DF65" i="6"/>
  <c r="DF62" i="6"/>
  <c r="DF63" i="6"/>
  <c r="DF61" i="6"/>
  <c r="DF45" i="6"/>
  <c r="DF46" i="6"/>
  <c r="DF47" i="6"/>
  <c r="DF48" i="6"/>
  <c r="DF49" i="6"/>
  <c r="DF50" i="6"/>
  <c r="DF51" i="6"/>
  <c r="DF52" i="6"/>
  <c r="DF53" i="6"/>
  <c r="DF54" i="6"/>
  <c r="DF55" i="6"/>
  <c r="DF56" i="6"/>
  <c r="DF57" i="6"/>
  <c r="DF58" i="6"/>
  <c r="DF59" i="6"/>
  <c r="DF44" i="6"/>
  <c r="DF39" i="6"/>
  <c r="DF40" i="6"/>
  <c r="DF41" i="6"/>
  <c r="DF42" i="6"/>
  <c r="DF38" i="6"/>
  <c r="DF37" i="6"/>
  <c r="DF36" i="6"/>
  <c r="DF33" i="6"/>
  <c r="DF34" i="6"/>
  <c r="DF35" i="6"/>
  <c r="DF32" i="6"/>
  <c r="DF28" i="6"/>
  <c r="DF29" i="6"/>
  <c r="DF30" i="6"/>
  <c r="DF27" i="6"/>
  <c r="DF6" i="6"/>
  <c r="DF7" i="6"/>
  <c r="DF8" i="6"/>
  <c r="DF9" i="6"/>
  <c r="DF10" i="6"/>
  <c r="DF11" i="6"/>
  <c r="DF12" i="6"/>
  <c r="DF13" i="6"/>
  <c r="DF14" i="6"/>
  <c r="DF15" i="6"/>
  <c r="DF16" i="6"/>
  <c r="DF17" i="6"/>
  <c r="DF18" i="6"/>
  <c r="DF19" i="6"/>
  <c r="DF20" i="6"/>
  <c r="DF21" i="6"/>
  <c r="DF22" i="6"/>
  <c r="DF23" i="6"/>
  <c r="DF24" i="6"/>
  <c r="DF5" i="6"/>
  <c r="CC7" i="6" l="1"/>
  <c r="CR4" i="6" s="1"/>
  <c r="CC8" i="6"/>
  <c r="CR5" i="6" s="1"/>
  <c r="CC9" i="6"/>
  <c r="CR6" i="6" s="1"/>
  <c r="CC6" i="6"/>
  <c r="CR3" i="6" s="1"/>
  <c r="CR11" i="6"/>
  <c r="CE22" i="6" l="1"/>
  <c r="CE23" i="6"/>
  <c r="CE24" i="6"/>
  <c r="CE21" i="6"/>
  <c r="CC52" i="6" l="1"/>
  <c r="CR49" i="6" s="1"/>
  <c r="CC51" i="6"/>
  <c r="CR48" i="6" s="1"/>
  <c r="CC50" i="6"/>
  <c r="CR47" i="6" s="1"/>
  <c r="CC48" i="6"/>
  <c r="CR45" i="6" s="1"/>
  <c r="CC49" i="6"/>
  <c r="CR46" i="6" s="1"/>
  <c r="CC47" i="6"/>
  <c r="CR44" i="6" s="1"/>
  <c r="CC46" i="6"/>
  <c r="CR43" i="6" s="1"/>
  <c r="CC45" i="6"/>
  <c r="CR42" i="6" s="1"/>
  <c r="CC44" i="6"/>
  <c r="CR41" i="6" s="1"/>
  <c r="CC42" i="6"/>
  <c r="CR39" i="6" s="1"/>
  <c r="CC40" i="6"/>
  <c r="CR37" i="6" s="1"/>
  <c r="CC41" i="6"/>
  <c r="CR38" i="6" s="1"/>
  <c r="CC39" i="6"/>
  <c r="CR36" i="6" s="1"/>
  <c r="CC36" i="6"/>
  <c r="CR33" i="6" s="1"/>
  <c r="CC37" i="6"/>
  <c r="CR34" i="6" s="1"/>
  <c r="CC35" i="6"/>
  <c r="CR32" i="6" s="1"/>
  <c r="CC33" i="6"/>
  <c r="CR30" i="6" s="1"/>
  <c r="CC34" i="6"/>
  <c r="CR31" i="6" s="1"/>
  <c r="CC32" i="6"/>
  <c r="CR29" i="6" s="1"/>
  <c r="CC29" i="6"/>
  <c r="CR26" i="6" s="1"/>
  <c r="CC30" i="6"/>
  <c r="CR27" i="6" s="1"/>
  <c r="CC28" i="6"/>
  <c r="CR25" i="6" s="1"/>
  <c r="CC26" i="6"/>
  <c r="CR23" i="6" s="1"/>
  <c r="CC25" i="6"/>
  <c r="CC22" i="6"/>
  <c r="CR19" i="6" s="1"/>
  <c r="CC23" i="6"/>
  <c r="CR20" i="6" s="1"/>
  <c r="CC24" i="6"/>
  <c r="CR21" i="6" s="1"/>
  <c r="CC21" i="6"/>
  <c r="CR18" i="6" s="1"/>
  <c r="CC17" i="6"/>
  <c r="CR14" i="6" s="1"/>
  <c r="CC18" i="6"/>
  <c r="CR15" i="6" s="1"/>
  <c r="CC19" i="6"/>
  <c r="CR16" i="6" s="1"/>
  <c r="CC16" i="6"/>
  <c r="CR13" i="6" s="1"/>
  <c r="CC12" i="6"/>
  <c r="CR9" i="6" s="1"/>
  <c r="CC13" i="6"/>
  <c r="CR10" i="6" s="1"/>
  <c r="CC11" i="6"/>
  <c r="CR8" i="6" s="1"/>
  <c r="CE25" i="6" l="1"/>
  <c r="CR22" i="6"/>
  <c r="BN50" i="6"/>
  <c r="CQ49" i="6" s="1"/>
  <c r="BN49" i="6"/>
  <c r="CQ48" i="6" s="1"/>
  <c r="BN48" i="6"/>
  <c r="CQ47" i="6" s="1"/>
  <c r="BN45" i="6"/>
  <c r="CQ44" i="6" s="1"/>
  <c r="BN44" i="6"/>
  <c r="CQ43" i="6" s="1"/>
  <c r="BN40" i="6"/>
  <c r="CQ39" i="6" s="1"/>
  <c r="BN39" i="6"/>
  <c r="CQ38" i="6" s="1"/>
  <c r="BN38" i="6"/>
  <c r="CQ37" i="6" s="1"/>
  <c r="BN37" i="6"/>
  <c r="CQ36" i="6" s="1"/>
  <c r="BN46" i="6"/>
  <c r="CQ45" i="6" s="1"/>
  <c r="BN47" i="6"/>
  <c r="CQ46" i="6" s="1"/>
  <c r="BN35" i="6"/>
  <c r="CQ34" i="6" s="1"/>
  <c r="BN34" i="6"/>
  <c r="CQ33" i="6" s="1"/>
  <c r="BN33" i="6"/>
  <c r="CQ32" i="6" s="1"/>
  <c r="BN32" i="6"/>
  <c r="CQ31" i="6" s="1"/>
  <c r="BN31" i="6"/>
  <c r="CQ30" i="6" s="1"/>
  <c r="BN30" i="6"/>
  <c r="CQ29" i="6" s="1"/>
  <c r="BN43" i="6"/>
  <c r="CQ42" i="6" s="1"/>
  <c r="BN28" i="6"/>
  <c r="CQ27" i="6" s="1"/>
  <c r="BN27" i="6"/>
  <c r="CQ26" i="6" s="1"/>
  <c r="BN26" i="6"/>
  <c r="CQ25" i="6" s="1"/>
  <c r="BN24" i="6"/>
  <c r="CQ23" i="6" s="1"/>
  <c r="BN23" i="6"/>
  <c r="CQ22" i="6" s="1"/>
  <c r="BN22" i="6"/>
  <c r="CQ21" i="6" s="1"/>
  <c r="BN21" i="6"/>
  <c r="CQ20" i="6" s="1"/>
  <c r="BN20" i="6"/>
  <c r="CQ19" i="6" s="1"/>
  <c r="BN19" i="6"/>
  <c r="CQ18" i="6" s="1"/>
  <c r="BN42" i="6"/>
  <c r="CQ41" i="6" s="1"/>
  <c r="BN17" i="6"/>
  <c r="CQ16" i="6" s="1"/>
  <c r="BN16" i="6"/>
  <c r="CQ15" i="6" s="1"/>
  <c r="BN15" i="6"/>
  <c r="CQ14" i="6" s="1"/>
  <c r="BN14" i="6"/>
  <c r="CQ13" i="6" s="1"/>
  <c r="BN12" i="6"/>
  <c r="CQ11" i="6" s="1"/>
  <c r="BN11" i="6"/>
  <c r="CQ10" i="6" s="1"/>
  <c r="BN10" i="6"/>
  <c r="CQ9" i="6" s="1"/>
  <c r="BN9" i="6"/>
  <c r="CQ8" i="6" s="1"/>
  <c r="BN7" i="6"/>
  <c r="CQ6" i="6" s="1"/>
  <c r="BN6" i="6"/>
  <c r="CQ5" i="6" s="1"/>
  <c r="BN5" i="6"/>
  <c r="CQ4" i="6" s="1"/>
  <c r="BN4" i="6"/>
  <c r="CQ3" i="6" s="1"/>
  <c r="AR40" i="6" l="1"/>
  <c r="AR23" i="6"/>
  <c r="AD50" i="6" l="1"/>
  <c r="B22" i="7" l="1"/>
  <c r="D22" i="7" s="1"/>
  <c r="B14" i="3"/>
  <c r="B10" i="3"/>
  <c r="B17" i="3" l="1"/>
  <c r="B19" i="3" s="1"/>
  <c r="B20" i="3" s="1"/>
  <c r="B7" i="12"/>
  <c r="B7" i="11"/>
  <c r="C22" i="7"/>
  <c r="F22" i="7"/>
  <c r="P12" i="1"/>
  <c r="B776" i="7"/>
  <c r="B778" i="7" s="1"/>
  <c r="B777" i="7" s="1"/>
  <c r="B768" i="7"/>
  <c r="G768" i="7" s="1"/>
  <c r="B764" i="7"/>
  <c r="B761" i="7"/>
  <c r="J750" i="7"/>
  <c r="I750" i="7"/>
  <c r="F750" i="7"/>
  <c r="E750" i="7"/>
  <c r="D750" i="7"/>
  <c r="H750" i="7" s="1"/>
  <c r="C750" i="7"/>
  <c r="G750" i="7" s="1"/>
  <c r="K750" i="7" s="1"/>
  <c r="J749" i="7"/>
  <c r="I749" i="7"/>
  <c r="F749" i="7"/>
  <c r="E749" i="7"/>
  <c r="D749" i="7"/>
  <c r="H749" i="7" s="1"/>
  <c r="C749" i="7"/>
  <c r="G749" i="7" s="1"/>
  <c r="K749" i="7" s="1"/>
  <c r="J748" i="7"/>
  <c r="I748" i="7"/>
  <c r="F748" i="7"/>
  <c r="E748" i="7"/>
  <c r="D748" i="7"/>
  <c r="H748" i="7" s="1"/>
  <c r="C748" i="7"/>
  <c r="G748" i="7" s="1"/>
  <c r="J747" i="7"/>
  <c r="I747" i="7"/>
  <c r="F747" i="7"/>
  <c r="E747" i="7"/>
  <c r="D747" i="7"/>
  <c r="H747" i="7" s="1"/>
  <c r="C747" i="7"/>
  <c r="G747" i="7" s="1"/>
  <c r="J746" i="7"/>
  <c r="I746" i="7"/>
  <c r="F746" i="7"/>
  <c r="E746" i="7"/>
  <c r="D746" i="7"/>
  <c r="H746" i="7" s="1"/>
  <c r="C746" i="7"/>
  <c r="G746" i="7" s="1"/>
  <c r="K745" i="7"/>
  <c r="J745" i="7"/>
  <c r="I745" i="7"/>
  <c r="F745" i="7"/>
  <c r="E745" i="7"/>
  <c r="D745" i="7"/>
  <c r="H745" i="7" s="1"/>
  <c r="C745" i="7"/>
  <c r="G745" i="7" s="1"/>
  <c r="J744" i="7"/>
  <c r="I744" i="7"/>
  <c r="F744" i="7"/>
  <c r="E744" i="7"/>
  <c r="D744" i="7"/>
  <c r="H744" i="7" s="1"/>
  <c r="C744" i="7"/>
  <c r="G744" i="7" s="1"/>
  <c r="J743" i="7"/>
  <c r="I743" i="7"/>
  <c r="F743" i="7"/>
  <c r="E743" i="7"/>
  <c r="D743" i="7"/>
  <c r="H743" i="7" s="1"/>
  <c r="C743" i="7"/>
  <c r="G743" i="7" s="1"/>
  <c r="K743" i="7" s="1"/>
  <c r="J742" i="7"/>
  <c r="I742" i="7"/>
  <c r="F742" i="7"/>
  <c r="E742" i="7"/>
  <c r="D742" i="7"/>
  <c r="H742" i="7" s="1"/>
  <c r="C742" i="7"/>
  <c r="G742" i="7" s="1"/>
  <c r="J741" i="7"/>
  <c r="I741" i="7"/>
  <c r="F741" i="7"/>
  <c r="E741" i="7"/>
  <c r="D741" i="7"/>
  <c r="H741" i="7" s="1"/>
  <c r="C741" i="7"/>
  <c r="G741" i="7" s="1"/>
  <c r="K741" i="7" s="1"/>
  <c r="J740" i="7"/>
  <c r="I740" i="7"/>
  <c r="F740" i="7"/>
  <c r="E740" i="7"/>
  <c r="D740" i="7"/>
  <c r="H740" i="7" s="1"/>
  <c r="C740" i="7"/>
  <c r="G740" i="7" s="1"/>
  <c r="J739" i="7"/>
  <c r="I739" i="7"/>
  <c r="F739" i="7"/>
  <c r="E739" i="7"/>
  <c r="D739" i="7"/>
  <c r="H739" i="7" s="1"/>
  <c r="C739" i="7"/>
  <c r="G739" i="7" s="1"/>
  <c r="M731" i="7"/>
  <c r="N731" i="7" s="1"/>
  <c r="H731" i="7" s="1"/>
  <c r="G731" i="7"/>
  <c r="F731" i="7"/>
  <c r="E731" i="7"/>
  <c r="D731" i="7"/>
  <c r="C731" i="7"/>
  <c r="I731" i="7" s="1"/>
  <c r="L731" i="7" s="1"/>
  <c r="H717" i="7"/>
  <c r="G717" i="7"/>
  <c r="F717" i="7"/>
  <c r="E717" i="7"/>
  <c r="D717" i="7"/>
  <c r="C717" i="7"/>
  <c r="H716" i="7"/>
  <c r="G716" i="7"/>
  <c r="F716" i="7"/>
  <c r="E716" i="7"/>
  <c r="D716" i="7"/>
  <c r="C716" i="7"/>
  <c r="H715" i="7"/>
  <c r="G715" i="7"/>
  <c r="F715" i="7"/>
  <c r="E715" i="7"/>
  <c r="D715" i="7"/>
  <c r="C715" i="7"/>
  <c r="B703" i="7"/>
  <c r="B697" i="7"/>
  <c r="B699" i="7" s="1"/>
  <c r="B698" i="7" s="1"/>
  <c r="G689" i="7"/>
  <c r="B689" i="7"/>
  <c r="B691" i="7" s="1"/>
  <c r="B692" i="7" s="1"/>
  <c r="B685" i="7"/>
  <c r="B682" i="7"/>
  <c r="J661" i="7"/>
  <c r="I661" i="7"/>
  <c r="F661" i="7"/>
  <c r="E661" i="7"/>
  <c r="D661" i="7"/>
  <c r="H661" i="7" s="1"/>
  <c r="C661" i="7"/>
  <c r="G661" i="7" s="1"/>
  <c r="K661" i="7" s="1"/>
  <c r="J660" i="7"/>
  <c r="I660" i="7"/>
  <c r="F660" i="7"/>
  <c r="E660" i="7"/>
  <c r="D660" i="7"/>
  <c r="H660" i="7" s="1"/>
  <c r="C660" i="7"/>
  <c r="G660" i="7" s="1"/>
  <c r="L652" i="7"/>
  <c r="G652" i="7"/>
  <c r="F652" i="7"/>
  <c r="M652" i="7" s="1"/>
  <c r="N652" i="7" s="1"/>
  <c r="H652" i="7" s="1"/>
  <c r="E652" i="7"/>
  <c r="D652" i="7"/>
  <c r="C652" i="7"/>
  <c r="I652" i="7" s="1"/>
  <c r="H637" i="7"/>
  <c r="G637" i="7"/>
  <c r="F637" i="7"/>
  <c r="E637" i="7"/>
  <c r="D637" i="7"/>
  <c r="C637" i="7"/>
  <c r="H636" i="7"/>
  <c r="B673" i="7" s="1"/>
  <c r="G636" i="7"/>
  <c r="F636" i="7"/>
  <c r="E636" i="7"/>
  <c r="D636" i="7"/>
  <c r="C636" i="7"/>
  <c r="B618" i="7"/>
  <c r="B620" i="7" s="1"/>
  <c r="B619" i="7" s="1"/>
  <c r="B610" i="7"/>
  <c r="B606" i="7"/>
  <c r="B607" i="7" s="1"/>
  <c r="B603" i="7"/>
  <c r="J583" i="7"/>
  <c r="I583" i="7"/>
  <c r="F583" i="7"/>
  <c r="E583" i="7"/>
  <c r="D583" i="7"/>
  <c r="H583" i="7" s="1"/>
  <c r="C583" i="7"/>
  <c r="G583" i="7" s="1"/>
  <c r="J582" i="7"/>
  <c r="I582" i="7"/>
  <c r="F582" i="7"/>
  <c r="E582" i="7"/>
  <c r="D582" i="7"/>
  <c r="H582" i="7" s="1"/>
  <c r="C582" i="7"/>
  <c r="G582" i="7" s="1"/>
  <c r="J581" i="7"/>
  <c r="I581" i="7"/>
  <c r="F581" i="7"/>
  <c r="E581" i="7"/>
  <c r="D581" i="7"/>
  <c r="H581" i="7" s="1"/>
  <c r="C581" i="7"/>
  <c r="G581" i="7" s="1"/>
  <c r="K581" i="7" s="1"/>
  <c r="M573" i="7"/>
  <c r="N573" i="7" s="1"/>
  <c r="H573" i="7" s="1"/>
  <c r="I573" i="7"/>
  <c r="L573" i="7" s="1"/>
  <c r="G573" i="7"/>
  <c r="F573" i="7"/>
  <c r="E573" i="7"/>
  <c r="D573" i="7"/>
  <c r="C573" i="7"/>
  <c r="H559" i="7"/>
  <c r="G559" i="7"/>
  <c r="F559" i="7"/>
  <c r="E559" i="7"/>
  <c r="D559" i="7"/>
  <c r="C559" i="7"/>
  <c r="H558" i="7"/>
  <c r="G558" i="7"/>
  <c r="F558" i="7"/>
  <c r="E558" i="7"/>
  <c r="D558" i="7"/>
  <c r="C558" i="7"/>
  <c r="H557" i="7"/>
  <c r="B594" i="7" s="1"/>
  <c r="B624" i="7" s="1"/>
  <c r="G557" i="7"/>
  <c r="F557" i="7"/>
  <c r="E557" i="7"/>
  <c r="D557" i="7"/>
  <c r="C557" i="7"/>
  <c r="B541" i="7"/>
  <c r="B540" i="7"/>
  <c r="B539" i="7"/>
  <c r="B528" i="7"/>
  <c r="B527" i="7"/>
  <c r="B524" i="7"/>
  <c r="B531" i="7" s="1"/>
  <c r="B533" i="7" s="1"/>
  <c r="B534" i="7" s="1"/>
  <c r="J504" i="7"/>
  <c r="I504" i="7"/>
  <c r="F504" i="7"/>
  <c r="E504" i="7"/>
  <c r="D504" i="7"/>
  <c r="H504" i="7" s="1"/>
  <c r="C504" i="7"/>
  <c r="G504" i="7" s="1"/>
  <c r="J503" i="7"/>
  <c r="I503" i="7"/>
  <c r="F503" i="7"/>
  <c r="E503" i="7"/>
  <c r="D503" i="7"/>
  <c r="H503" i="7" s="1"/>
  <c r="C503" i="7"/>
  <c r="G503" i="7" s="1"/>
  <c r="K503" i="7" s="1"/>
  <c r="J502" i="7"/>
  <c r="I502" i="7"/>
  <c r="F502" i="7"/>
  <c r="E502" i="7"/>
  <c r="D502" i="7"/>
  <c r="H502" i="7" s="1"/>
  <c r="C502" i="7"/>
  <c r="G502" i="7" s="1"/>
  <c r="H483" i="7"/>
  <c r="G483" i="7"/>
  <c r="F483" i="7"/>
  <c r="E483" i="7"/>
  <c r="D483" i="7"/>
  <c r="C483" i="7"/>
  <c r="H482" i="7"/>
  <c r="G482" i="7"/>
  <c r="F482" i="7"/>
  <c r="E482" i="7"/>
  <c r="D482" i="7"/>
  <c r="C482" i="7"/>
  <c r="H481" i="7"/>
  <c r="G481" i="7"/>
  <c r="F481" i="7"/>
  <c r="E481" i="7"/>
  <c r="D481" i="7"/>
  <c r="C481" i="7"/>
  <c r="H480" i="7"/>
  <c r="G480" i="7"/>
  <c r="F480" i="7"/>
  <c r="E480" i="7"/>
  <c r="D480" i="7"/>
  <c r="C480" i="7"/>
  <c r="F479" i="7"/>
  <c r="D479" i="7"/>
  <c r="C479" i="7"/>
  <c r="F478" i="7"/>
  <c r="D478" i="7"/>
  <c r="C478" i="7"/>
  <c r="B463" i="7"/>
  <c r="B462" i="7" s="1"/>
  <c r="B461" i="7"/>
  <c r="B455" i="7"/>
  <c r="B456" i="7" s="1"/>
  <c r="B453" i="7"/>
  <c r="G453" i="7" s="1"/>
  <c r="B449" i="7"/>
  <c r="B450" i="7" s="1"/>
  <c r="B446" i="7"/>
  <c r="J428" i="7"/>
  <c r="I428" i="7"/>
  <c r="F428" i="7"/>
  <c r="E428" i="7"/>
  <c r="D428" i="7"/>
  <c r="H428" i="7" s="1"/>
  <c r="C428" i="7"/>
  <c r="G428" i="7" s="1"/>
  <c r="K428" i="7" s="1"/>
  <c r="J427" i="7"/>
  <c r="I427" i="7"/>
  <c r="F427" i="7"/>
  <c r="E427" i="7"/>
  <c r="D427" i="7"/>
  <c r="H427" i="7" s="1"/>
  <c r="C427" i="7"/>
  <c r="G427" i="7" s="1"/>
  <c r="J426" i="7"/>
  <c r="I426" i="7"/>
  <c r="F426" i="7"/>
  <c r="E426" i="7"/>
  <c r="D426" i="7"/>
  <c r="H426" i="7" s="1"/>
  <c r="C426" i="7"/>
  <c r="G426" i="7" s="1"/>
  <c r="K426" i="7" s="1"/>
  <c r="J425" i="7"/>
  <c r="I425" i="7"/>
  <c r="F425" i="7"/>
  <c r="E425" i="7"/>
  <c r="D425" i="7"/>
  <c r="H425" i="7" s="1"/>
  <c r="C425" i="7"/>
  <c r="G425" i="7" s="1"/>
  <c r="J424" i="7"/>
  <c r="I424" i="7"/>
  <c r="F424" i="7"/>
  <c r="E424" i="7"/>
  <c r="D424" i="7"/>
  <c r="H424" i="7" s="1"/>
  <c r="C424" i="7"/>
  <c r="G424" i="7" s="1"/>
  <c r="K424" i="7" s="1"/>
  <c r="F402" i="7"/>
  <c r="D402" i="7"/>
  <c r="C402" i="7"/>
  <c r="F401" i="7"/>
  <c r="D401" i="7"/>
  <c r="C401" i="7"/>
  <c r="F400" i="7"/>
  <c r="D400" i="7"/>
  <c r="C400" i="7"/>
  <c r="B383" i="7"/>
  <c r="B385" i="7" s="1"/>
  <c r="B384" i="7" s="1"/>
  <c r="B372" i="7"/>
  <c r="B371" i="7"/>
  <c r="B368" i="7"/>
  <c r="B375" i="7" s="1"/>
  <c r="J350" i="7"/>
  <c r="I350" i="7"/>
  <c r="H350" i="7"/>
  <c r="F350" i="7"/>
  <c r="E350" i="7"/>
  <c r="D350" i="7"/>
  <c r="C350" i="7"/>
  <c r="G350" i="7" s="1"/>
  <c r="K350" i="7" s="1"/>
  <c r="J349" i="7"/>
  <c r="I349" i="7"/>
  <c r="F349" i="7"/>
  <c r="E349" i="7"/>
  <c r="D349" i="7"/>
  <c r="H349" i="7" s="1"/>
  <c r="C349" i="7"/>
  <c r="G349" i="7" s="1"/>
  <c r="J348" i="7"/>
  <c r="I348" i="7"/>
  <c r="F348" i="7"/>
  <c r="E348" i="7"/>
  <c r="D348" i="7"/>
  <c r="H348" i="7" s="1"/>
  <c r="C348" i="7"/>
  <c r="G348" i="7" s="1"/>
  <c r="K348" i="7" s="1"/>
  <c r="J347" i="7"/>
  <c r="I347" i="7"/>
  <c r="F347" i="7"/>
  <c r="E347" i="7"/>
  <c r="D347" i="7"/>
  <c r="H347" i="7" s="1"/>
  <c r="C347" i="7"/>
  <c r="G347" i="7" s="1"/>
  <c r="K347" i="7" s="1"/>
  <c r="J346" i="7"/>
  <c r="I346" i="7"/>
  <c r="F346" i="7"/>
  <c r="E346" i="7"/>
  <c r="D346" i="7"/>
  <c r="H346" i="7" s="1"/>
  <c r="C346" i="7"/>
  <c r="G346" i="7" s="1"/>
  <c r="F325" i="7"/>
  <c r="D325" i="7"/>
  <c r="C325" i="7"/>
  <c r="F324" i="7"/>
  <c r="E324" i="7"/>
  <c r="D324" i="7"/>
  <c r="C324" i="7"/>
  <c r="F323" i="7"/>
  <c r="E323" i="7"/>
  <c r="D323" i="7"/>
  <c r="C323" i="7"/>
  <c r="F322" i="7"/>
  <c r="E322" i="7"/>
  <c r="D322" i="7"/>
  <c r="C322" i="7"/>
  <c r="B306" i="7"/>
  <c r="B305" i="7" s="1"/>
  <c r="B304" i="7"/>
  <c r="B292" i="7"/>
  <c r="B289" i="7"/>
  <c r="B296" i="7" s="1"/>
  <c r="G296" i="7" s="1"/>
  <c r="J270" i="7"/>
  <c r="I270" i="7"/>
  <c r="F270" i="7"/>
  <c r="E270" i="7"/>
  <c r="D270" i="7"/>
  <c r="H270" i="7" s="1"/>
  <c r="C270" i="7"/>
  <c r="G270" i="7" s="1"/>
  <c r="K269" i="7"/>
  <c r="J269" i="7"/>
  <c r="I269" i="7"/>
  <c r="F269" i="7"/>
  <c r="E269" i="7"/>
  <c r="D269" i="7"/>
  <c r="H269" i="7" s="1"/>
  <c r="C269" i="7"/>
  <c r="G269" i="7" s="1"/>
  <c r="J268" i="7"/>
  <c r="I268" i="7"/>
  <c r="F268" i="7"/>
  <c r="E268" i="7"/>
  <c r="D268" i="7"/>
  <c r="H268" i="7" s="1"/>
  <c r="C268" i="7"/>
  <c r="G268" i="7" s="1"/>
  <c r="J267" i="7"/>
  <c r="I267" i="7"/>
  <c r="F267" i="7"/>
  <c r="E267" i="7"/>
  <c r="D267" i="7"/>
  <c r="H267" i="7" s="1"/>
  <c r="C267" i="7"/>
  <c r="G267" i="7" s="1"/>
  <c r="K267" i="7" s="1"/>
  <c r="F246" i="7"/>
  <c r="D246" i="7"/>
  <c r="C246" i="7"/>
  <c r="F245" i="7"/>
  <c r="E245" i="7"/>
  <c r="D245" i="7"/>
  <c r="C245" i="7"/>
  <c r="F244" i="7"/>
  <c r="D244" i="7"/>
  <c r="C244" i="7"/>
  <c r="F243" i="7"/>
  <c r="E243" i="7"/>
  <c r="D243" i="7"/>
  <c r="C243" i="7"/>
  <c r="B225" i="7"/>
  <c r="B227" i="7" s="1"/>
  <c r="B226" i="7" s="1"/>
  <c r="B217" i="7"/>
  <c r="B219" i="7" s="1"/>
  <c r="B220" i="7" s="1"/>
  <c r="B213" i="7"/>
  <c r="B210" i="7"/>
  <c r="J190" i="7"/>
  <c r="I190" i="7"/>
  <c r="F190" i="7"/>
  <c r="E190" i="7"/>
  <c r="D190" i="7"/>
  <c r="H190" i="7" s="1"/>
  <c r="C190" i="7"/>
  <c r="G190" i="7" s="1"/>
  <c r="K190" i="7" s="1"/>
  <c r="J189" i="7"/>
  <c r="I189" i="7"/>
  <c r="F189" i="7"/>
  <c r="E189" i="7"/>
  <c r="D189" i="7"/>
  <c r="H189" i="7" s="1"/>
  <c r="C189" i="7"/>
  <c r="G189" i="7" s="1"/>
  <c r="J188" i="7"/>
  <c r="I188" i="7"/>
  <c r="F188" i="7"/>
  <c r="E188" i="7"/>
  <c r="D188" i="7"/>
  <c r="H188" i="7" s="1"/>
  <c r="C188" i="7"/>
  <c r="G188" i="7" s="1"/>
  <c r="M180" i="7"/>
  <c r="I180" i="7"/>
  <c r="L180" i="7" s="1"/>
  <c r="N180" i="7" s="1"/>
  <c r="H180" i="7" s="1"/>
  <c r="G180" i="7"/>
  <c r="F180" i="7"/>
  <c r="E180" i="7"/>
  <c r="D180" i="7"/>
  <c r="C180" i="7"/>
  <c r="F165" i="7"/>
  <c r="D165" i="7"/>
  <c r="C165" i="7"/>
  <c r="F164" i="7"/>
  <c r="E164" i="7"/>
  <c r="D164" i="7"/>
  <c r="C164" i="7"/>
  <c r="E109" i="7"/>
  <c r="D109" i="7"/>
  <c r="H109" i="7" s="1"/>
  <c r="C109" i="7"/>
  <c r="G109" i="7" s="1"/>
  <c r="E108" i="7"/>
  <c r="D108" i="7"/>
  <c r="H108" i="7" s="1"/>
  <c r="C108" i="7"/>
  <c r="G108" i="7" s="1"/>
  <c r="F92" i="7"/>
  <c r="D92" i="7"/>
  <c r="C92" i="7"/>
  <c r="F91" i="7"/>
  <c r="D91" i="7"/>
  <c r="C91" i="7"/>
  <c r="F90" i="7"/>
  <c r="D90" i="7"/>
  <c r="C90" i="7"/>
  <c r="F89" i="7"/>
  <c r="D89" i="7"/>
  <c r="C89" i="7"/>
  <c r="F88" i="7"/>
  <c r="D88" i="7"/>
  <c r="C88" i="7"/>
  <c r="F87" i="7"/>
  <c r="D87" i="7"/>
  <c r="C87" i="7"/>
  <c r="F86" i="7"/>
  <c r="D86" i="7"/>
  <c r="C86" i="7"/>
  <c r="F85" i="7"/>
  <c r="D85" i="7"/>
  <c r="C85" i="7"/>
  <c r="F84" i="7"/>
  <c r="D84" i="7"/>
  <c r="C84" i="7"/>
  <c r="E34" i="7"/>
  <c r="D34" i="7"/>
  <c r="H34" i="7" s="1"/>
  <c r="C34" i="7"/>
  <c r="G34" i="7" s="1"/>
  <c r="E33" i="7"/>
  <c r="D33" i="7"/>
  <c r="H33" i="7" s="1"/>
  <c r="C33" i="7"/>
  <c r="G33" i="7" s="1"/>
  <c r="K28" i="7"/>
  <c r="D28" i="7"/>
  <c r="C28" i="7"/>
  <c r="B21" i="7"/>
  <c r="E21" i="7" s="1"/>
  <c r="B19" i="7"/>
  <c r="C19" i="7" s="1"/>
  <c r="B18" i="7"/>
  <c r="F18" i="7" s="1"/>
  <c r="B17" i="7"/>
  <c r="F17" i="7" s="1"/>
  <c r="B16" i="7"/>
  <c r="B15" i="7"/>
  <c r="F15" i="7" s="1"/>
  <c r="B14" i="7"/>
  <c r="B13" i="7"/>
  <c r="F13" i="7" s="1"/>
  <c r="V12" i="7"/>
  <c r="B12" i="7"/>
  <c r="C12" i="7" s="1"/>
  <c r="V11" i="7"/>
  <c r="V10" i="7"/>
  <c r="V9" i="7"/>
  <c r="V8" i="7"/>
  <c r="V7" i="7"/>
  <c r="AG49" i="6"/>
  <c r="U16" i="6" s="1"/>
  <c r="AE49" i="6"/>
  <c r="AE46" i="6"/>
  <c r="AD46" i="6"/>
  <c r="H6" i="6"/>
  <c r="O10" i="6" s="1"/>
  <c r="AE45" i="6"/>
  <c r="AD45" i="6"/>
  <c r="AE44" i="6"/>
  <c r="AD44" i="6"/>
  <c r="AE43" i="6"/>
  <c r="AD43" i="6"/>
  <c r="C42" i="6"/>
  <c r="AE42" i="6"/>
  <c r="AD42" i="6"/>
  <c r="G36" i="6"/>
  <c r="B36" i="6" s="1"/>
  <c r="AG35" i="6"/>
  <c r="AE35" i="6"/>
  <c r="AE32" i="6"/>
  <c r="AD32" i="6"/>
  <c r="AE31" i="6"/>
  <c r="AD31" i="6"/>
  <c r="AE30" i="6"/>
  <c r="AD30" i="6"/>
  <c r="AE29" i="6"/>
  <c r="AD29" i="6"/>
  <c r="B26" i="6"/>
  <c r="AE25" i="6"/>
  <c r="AD25" i="6"/>
  <c r="AE24" i="6"/>
  <c r="AD24" i="6"/>
  <c r="Q24" i="6"/>
  <c r="G91" i="7" s="1"/>
  <c r="AE23" i="6"/>
  <c r="AD23" i="6"/>
  <c r="Q23" i="6"/>
  <c r="Q22" i="6"/>
  <c r="G89" i="7" s="1"/>
  <c r="Q21" i="6"/>
  <c r="B19" i="6"/>
  <c r="AE19" i="6"/>
  <c r="AD19" i="6"/>
  <c r="AE18" i="6"/>
  <c r="AD18" i="6"/>
  <c r="AE17" i="6"/>
  <c r="AD17" i="6"/>
  <c r="AE16" i="6"/>
  <c r="Q16" i="6"/>
  <c r="G22" i="7" s="1"/>
  <c r="AE15" i="6"/>
  <c r="AD15" i="6"/>
  <c r="H13" i="6"/>
  <c r="O24" i="6" s="1"/>
  <c r="Q13" i="6"/>
  <c r="Q12" i="6"/>
  <c r="Q11" i="6"/>
  <c r="AE10" i="6"/>
  <c r="AG5" i="6" s="1"/>
  <c r="AD10" i="6"/>
  <c r="Q10" i="6"/>
  <c r="AE9" i="6"/>
  <c r="AD9" i="6"/>
  <c r="AE8" i="6"/>
  <c r="AA8" i="6"/>
  <c r="AE7" i="6"/>
  <c r="AD7" i="6"/>
  <c r="B6" i="6"/>
  <c r="B23" i="6" s="1"/>
  <c r="B4" i="6"/>
  <c r="O39" i="6" s="1"/>
  <c r="B778" i="5"/>
  <c r="B777" i="5" s="1"/>
  <c r="B776" i="5"/>
  <c r="B764" i="5"/>
  <c r="B761" i="5"/>
  <c r="B768" i="5" s="1"/>
  <c r="G768" i="5" s="1"/>
  <c r="J750" i="5"/>
  <c r="I750" i="5"/>
  <c r="F750" i="5"/>
  <c r="E750" i="5"/>
  <c r="D750" i="5"/>
  <c r="H750" i="5" s="1"/>
  <c r="C750" i="5"/>
  <c r="G750" i="5" s="1"/>
  <c r="J749" i="5"/>
  <c r="I749" i="5"/>
  <c r="F749" i="5"/>
  <c r="E749" i="5"/>
  <c r="D749" i="5"/>
  <c r="H749" i="5" s="1"/>
  <c r="C749" i="5"/>
  <c r="G749" i="5" s="1"/>
  <c r="K749" i="5" s="1"/>
  <c r="J748" i="5"/>
  <c r="I748" i="5"/>
  <c r="H748" i="5"/>
  <c r="F748" i="5"/>
  <c r="E748" i="5"/>
  <c r="D748" i="5"/>
  <c r="C748" i="5"/>
  <c r="G748" i="5" s="1"/>
  <c r="K748" i="5" s="1"/>
  <c r="J747" i="5"/>
  <c r="I747" i="5"/>
  <c r="F747" i="5"/>
  <c r="E747" i="5"/>
  <c r="D747" i="5"/>
  <c r="H747" i="5" s="1"/>
  <c r="C747" i="5"/>
  <c r="G747" i="5" s="1"/>
  <c r="K747" i="5" s="1"/>
  <c r="J746" i="5"/>
  <c r="I746" i="5"/>
  <c r="F746" i="5"/>
  <c r="E746" i="5"/>
  <c r="D746" i="5"/>
  <c r="H746" i="5" s="1"/>
  <c r="C746" i="5"/>
  <c r="G746" i="5" s="1"/>
  <c r="K746" i="5" s="1"/>
  <c r="J745" i="5"/>
  <c r="I745" i="5"/>
  <c r="F745" i="5"/>
  <c r="E745" i="5"/>
  <c r="D745" i="5"/>
  <c r="H745" i="5" s="1"/>
  <c r="C745" i="5"/>
  <c r="G745" i="5" s="1"/>
  <c r="K745" i="5" s="1"/>
  <c r="J744" i="5"/>
  <c r="I744" i="5"/>
  <c r="F744" i="5"/>
  <c r="E744" i="5"/>
  <c r="D744" i="5"/>
  <c r="H744" i="5" s="1"/>
  <c r="C744" i="5"/>
  <c r="G744" i="5" s="1"/>
  <c r="J743" i="5"/>
  <c r="I743" i="5"/>
  <c r="F743" i="5"/>
  <c r="E743" i="5"/>
  <c r="D743" i="5"/>
  <c r="H743" i="5" s="1"/>
  <c r="C743" i="5"/>
  <c r="G743" i="5" s="1"/>
  <c r="J742" i="5"/>
  <c r="I742" i="5"/>
  <c r="F742" i="5"/>
  <c r="E742" i="5"/>
  <c r="D742" i="5"/>
  <c r="H742" i="5" s="1"/>
  <c r="C742" i="5"/>
  <c r="G742" i="5" s="1"/>
  <c r="J741" i="5"/>
  <c r="I741" i="5"/>
  <c r="F741" i="5"/>
  <c r="E741" i="5"/>
  <c r="D741" i="5"/>
  <c r="H741" i="5" s="1"/>
  <c r="C741" i="5"/>
  <c r="G741" i="5" s="1"/>
  <c r="K741" i="5" s="1"/>
  <c r="J740" i="5"/>
  <c r="I740" i="5"/>
  <c r="H740" i="5"/>
  <c r="F740" i="5"/>
  <c r="E740" i="5"/>
  <c r="D740" i="5"/>
  <c r="C740" i="5"/>
  <c r="G740" i="5" s="1"/>
  <c r="K740" i="5" s="1"/>
  <c r="J739" i="5"/>
  <c r="I739" i="5"/>
  <c r="F739" i="5"/>
  <c r="E739" i="5"/>
  <c r="D739" i="5"/>
  <c r="H739" i="5" s="1"/>
  <c r="C739" i="5"/>
  <c r="G739" i="5" s="1"/>
  <c r="K739" i="5" s="1"/>
  <c r="B752" i="5" s="1"/>
  <c r="M731" i="5"/>
  <c r="G731" i="5"/>
  <c r="F731" i="5"/>
  <c r="E731" i="5"/>
  <c r="D731" i="5"/>
  <c r="C731" i="5"/>
  <c r="I731" i="5" s="1"/>
  <c r="L731" i="5" s="1"/>
  <c r="H717" i="5"/>
  <c r="G717" i="5"/>
  <c r="F717" i="5"/>
  <c r="E717" i="5"/>
  <c r="D717" i="5"/>
  <c r="C717" i="5"/>
  <c r="H716" i="5"/>
  <c r="G716" i="5"/>
  <c r="F716" i="5"/>
  <c r="E716" i="5"/>
  <c r="D716" i="5"/>
  <c r="C716" i="5"/>
  <c r="H715" i="5"/>
  <c r="G715" i="5"/>
  <c r="F715" i="5"/>
  <c r="E715" i="5"/>
  <c r="D715" i="5"/>
  <c r="C715" i="5"/>
  <c r="B697" i="5"/>
  <c r="B699" i="5" s="1"/>
  <c r="B698" i="5" s="1"/>
  <c r="B692" i="5"/>
  <c r="G689" i="5"/>
  <c r="B689" i="5"/>
  <c r="B691" i="5" s="1"/>
  <c r="B685" i="5"/>
  <c r="B682" i="5"/>
  <c r="K661" i="5"/>
  <c r="J661" i="5"/>
  <c r="I661" i="5"/>
  <c r="F661" i="5"/>
  <c r="E661" i="5"/>
  <c r="D661" i="5"/>
  <c r="H661" i="5" s="1"/>
  <c r="C661" i="5"/>
  <c r="G661" i="5" s="1"/>
  <c r="J660" i="5"/>
  <c r="I660" i="5"/>
  <c r="H660" i="5"/>
  <c r="F660" i="5"/>
  <c r="E660" i="5"/>
  <c r="D660" i="5"/>
  <c r="C660" i="5"/>
  <c r="G660" i="5" s="1"/>
  <c r="K660" i="5" s="1"/>
  <c r="G652" i="5"/>
  <c r="F652" i="5"/>
  <c r="M652" i="5" s="1"/>
  <c r="E652" i="5"/>
  <c r="D652" i="5"/>
  <c r="C652" i="5"/>
  <c r="I652" i="5" s="1"/>
  <c r="L652" i="5" s="1"/>
  <c r="H637" i="5"/>
  <c r="G637" i="5"/>
  <c r="F637" i="5"/>
  <c r="E637" i="5"/>
  <c r="D637" i="5"/>
  <c r="C637" i="5"/>
  <c r="H636" i="5"/>
  <c r="B673" i="5" s="1"/>
  <c r="G636" i="5"/>
  <c r="F636" i="5"/>
  <c r="E636" i="5"/>
  <c r="D636" i="5"/>
  <c r="C636" i="5"/>
  <c r="B618" i="5"/>
  <c r="B620" i="5" s="1"/>
  <c r="B619" i="5" s="1"/>
  <c r="B610" i="5"/>
  <c r="B606" i="5"/>
  <c r="B607" i="5" s="1"/>
  <c r="B603" i="5"/>
  <c r="J583" i="5"/>
  <c r="I583" i="5"/>
  <c r="F583" i="5"/>
  <c r="E583" i="5"/>
  <c r="D583" i="5"/>
  <c r="H583" i="5" s="1"/>
  <c r="C583" i="5"/>
  <c r="G583" i="5" s="1"/>
  <c r="K583" i="5" s="1"/>
  <c r="J582" i="5"/>
  <c r="I582" i="5"/>
  <c r="F582" i="5"/>
  <c r="E582" i="5"/>
  <c r="D582" i="5"/>
  <c r="H582" i="5" s="1"/>
  <c r="C582" i="5"/>
  <c r="G582" i="5" s="1"/>
  <c r="K582" i="5" s="1"/>
  <c r="J581" i="5"/>
  <c r="I581" i="5"/>
  <c r="F581" i="5"/>
  <c r="E581" i="5"/>
  <c r="D581" i="5"/>
  <c r="H581" i="5" s="1"/>
  <c r="C581" i="5"/>
  <c r="G581" i="5" s="1"/>
  <c r="K581" i="5" s="1"/>
  <c r="M573" i="5"/>
  <c r="I573" i="5"/>
  <c r="L573" i="5" s="1"/>
  <c r="G573" i="5"/>
  <c r="F573" i="5"/>
  <c r="E573" i="5"/>
  <c r="D573" i="5"/>
  <c r="C573" i="5"/>
  <c r="H559" i="5"/>
  <c r="G559" i="5"/>
  <c r="F559" i="5"/>
  <c r="E559" i="5"/>
  <c r="D559" i="5"/>
  <c r="C559" i="5"/>
  <c r="H558" i="5"/>
  <c r="G558" i="5"/>
  <c r="F558" i="5"/>
  <c r="E558" i="5"/>
  <c r="D558" i="5"/>
  <c r="C558" i="5"/>
  <c r="H557" i="5"/>
  <c r="B594" i="5" s="1"/>
  <c r="B624" i="5" s="1"/>
  <c r="G557" i="5"/>
  <c r="F557" i="5"/>
  <c r="E557" i="5"/>
  <c r="D557" i="5"/>
  <c r="C557" i="5"/>
  <c r="B541" i="5"/>
  <c r="B540" i="5"/>
  <c r="B539" i="5"/>
  <c r="B528" i="5"/>
  <c r="B527" i="5"/>
  <c r="B524" i="5"/>
  <c r="B531" i="5" s="1"/>
  <c r="B533" i="5" s="1"/>
  <c r="B534" i="5" s="1"/>
  <c r="J504" i="5"/>
  <c r="I504" i="5"/>
  <c r="F504" i="5"/>
  <c r="E504" i="5"/>
  <c r="D504" i="5"/>
  <c r="H504" i="5" s="1"/>
  <c r="C504" i="5"/>
  <c r="G504" i="5" s="1"/>
  <c r="K504" i="5" s="1"/>
  <c r="J503" i="5"/>
  <c r="I503" i="5"/>
  <c r="F503" i="5"/>
  <c r="E503" i="5"/>
  <c r="D503" i="5"/>
  <c r="H503" i="5" s="1"/>
  <c r="C503" i="5"/>
  <c r="G503" i="5" s="1"/>
  <c r="K503" i="5" s="1"/>
  <c r="J502" i="5"/>
  <c r="I502" i="5"/>
  <c r="F502" i="5"/>
  <c r="E502" i="5"/>
  <c r="D502" i="5"/>
  <c r="H502" i="5" s="1"/>
  <c r="C502" i="5"/>
  <c r="G502" i="5" s="1"/>
  <c r="H483" i="5"/>
  <c r="G483" i="5"/>
  <c r="F483" i="5"/>
  <c r="E483" i="5"/>
  <c r="D483" i="5"/>
  <c r="C483" i="5"/>
  <c r="H482" i="5"/>
  <c r="G482" i="5"/>
  <c r="F482" i="5"/>
  <c r="E482" i="5"/>
  <c r="D482" i="5"/>
  <c r="C482" i="5"/>
  <c r="H481" i="5"/>
  <c r="G481" i="5"/>
  <c r="F481" i="5"/>
  <c r="E481" i="5"/>
  <c r="D481" i="5"/>
  <c r="C481" i="5"/>
  <c r="H480" i="5"/>
  <c r="G480" i="5"/>
  <c r="F480" i="5"/>
  <c r="E480" i="5"/>
  <c r="D480" i="5"/>
  <c r="C480" i="5"/>
  <c r="F479" i="5"/>
  <c r="D479" i="5"/>
  <c r="C479" i="5"/>
  <c r="F478" i="5"/>
  <c r="D478" i="5"/>
  <c r="C478" i="5"/>
  <c r="B463" i="5"/>
  <c r="B462" i="5" s="1"/>
  <c r="B461" i="5"/>
  <c r="B455" i="5"/>
  <c r="B456" i="5" s="1"/>
  <c r="B453" i="5"/>
  <c r="G453" i="5" s="1"/>
  <c r="B449" i="5"/>
  <c r="B450" i="5" s="1"/>
  <c r="B446" i="5"/>
  <c r="J428" i="5"/>
  <c r="I428" i="5"/>
  <c r="F428" i="5"/>
  <c r="E428" i="5"/>
  <c r="D428" i="5"/>
  <c r="H428" i="5" s="1"/>
  <c r="C428" i="5"/>
  <c r="G428" i="5" s="1"/>
  <c r="K428" i="5" s="1"/>
  <c r="J427" i="5"/>
  <c r="I427" i="5"/>
  <c r="F427" i="5"/>
  <c r="E427" i="5"/>
  <c r="D427" i="5"/>
  <c r="H427" i="5" s="1"/>
  <c r="C427" i="5"/>
  <c r="G427" i="5" s="1"/>
  <c r="J426" i="5"/>
  <c r="I426" i="5"/>
  <c r="F426" i="5"/>
  <c r="E426" i="5"/>
  <c r="D426" i="5"/>
  <c r="H426" i="5" s="1"/>
  <c r="C426" i="5"/>
  <c r="G426" i="5" s="1"/>
  <c r="J425" i="5"/>
  <c r="I425" i="5"/>
  <c r="H425" i="5"/>
  <c r="F425" i="5"/>
  <c r="E425" i="5"/>
  <c r="D425" i="5"/>
  <c r="C425" i="5"/>
  <c r="G425" i="5" s="1"/>
  <c r="K425" i="5" s="1"/>
  <c r="J424" i="5"/>
  <c r="I424" i="5"/>
  <c r="F424" i="5"/>
  <c r="E424" i="5"/>
  <c r="D424" i="5"/>
  <c r="H424" i="5" s="1"/>
  <c r="C424" i="5"/>
  <c r="G424" i="5" s="1"/>
  <c r="K424" i="5" s="1"/>
  <c r="F402" i="5"/>
  <c r="D402" i="5"/>
  <c r="C402" i="5"/>
  <c r="F401" i="5"/>
  <c r="D401" i="5"/>
  <c r="C401" i="5"/>
  <c r="F400" i="5"/>
  <c r="D400" i="5"/>
  <c r="C400" i="5"/>
  <c r="B383" i="5"/>
  <c r="B385" i="5" s="1"/>
  <c r="B384" i="5" s="1"/>
  <c r="B372" i="5"/>
  <c r="B371" i="5"/>
  <c r="B368" i="5"/>
  <c r="B375" i="5" s="1"/>
  <c r="J350" i="5"/>
  <c r="I350" i="5"/>
  <c r="F350" i="5"/>
  <c r="E350" i="5"/>
  <c r="D350" i="5"/>
  <c r="H350" i="5" s="1"/>
  <c r="C350" i="5"/>
  <c r="G350" i="5" s="1"/>
  <c r="J349" i="5"/>
  <c r="I349" i="5"/>
  <c r="F349" i="5"/>
  <c r="E349" i="5"/>
  <c r="D349" i="5"/>
  <c r="H349" i="5" s="1"/>
  <c r="C349" i="5"/>
  <c r="G349" i="5" s="1"/>
  <c r="K349" i="5" s="1"/>
  <c r="J348" i="5"/>
  <c r="I348" i="5"/>
  <c r="F348" i="5"/>
  <c r="E348" i="5"/>
  <c r="D348" i="5"/>
  <c r="H348" i="5" s="1"/>
  <c r="C348" i="5"/>
  <c r="G348" i="5" s="1"/>
  <c r="J347" i="5"/>
  <c r="I347" i="5"/>
  <c r="F347" i="5"/>
  <c r="E347" i="5"/>
  <c r="D347" i="5"/>
  <c r="H347" i="5" s="1"/>
  <c r="C347" i="5"/>
  <c r="G347" i="5" s="1"/>
  <c r="K347" i="5" s="1"/>
  <c r="J346" i="5"/>
  <c r="I346" i="5"/>
  <c r="F346" i="5"/>
  <c r="E346" i="5"/>
  <c r="D346" i="5"/>
  <c r="H346" i="5" s="1"/>
  <c r="C346" i="5"/>
  <c r="G346" i="5" s="1"/>
  <c r="F325" i="5"/>
  <c r="D325" i="5"/>
  <c r="C325" i="5"/>
  <c r="F324" i="5"/>
  <c r="E324" i="5"/>
  <c r="D324" i="5"/>
  <c r="C324" i="5"/>
  <c r="F323" i="5"/>
  <c r="E323" i="5"/>
  <c r="D323" i="5"/>
  <c r="C323" i="5"/>
  <c r="F322" i="5"/>
  <c r="E322" i="5"/>
  <c r="D322" i="5"/>
  <c r="C322" i="5"/>
  <c r="B304" i="5"/>
  <c r="B306" i="5" s="1"/>
  <c r="B305" i="5" s="1"/>
  <c r="B296" i="5"/>
  <c r="B292" i="5"/>
  <c r="B289" i="5"/>
  <c r="J270" i="5"/>
  <c r="I270" i="5"/>
  <c r="H270" i="5"/>
  <c r="F270" i="5"/>
  <c r="E270" i="5"/>
  <c r="D270" i="5"/>
  <c r="C270" i="5"/>
  <c r="G270" i="5" s="1"/>
  <c r="K270" i="5" s="1"/>
  <c r="J269" i="5"/>
  <c r="I269" i="5"/>
  <c r="F269" i="5"/>
  <c r="E269" i="5"/>
  <c r="D269" i="5"/>
  <c r="H269" i="5" s="1"/>
  <c r="C269" i="5"/>
  <c r="G269" i="5" s="1"/>
  <c r="J268" i="5"/>
  <c r="I268" i="5"/>
  <c r="F268" i="5"/>
  <c r="E268" i="5"/>
  <c r="D268" i="5"/>
  <c r="H268" i="5" s="1"/>
  <c r="C268" i="5"/>
  <c r="G268" i="5" s="1"/>
  <c r="K268" i="5" s="1"/>
  <c r="J267" i="5"/>
  <c r="I267" i="5"/>
  <c r="F267" i="5"/>
  <c r="E267" i="5"/>
  <c r="D267" i="5"/>
  <c r="H267" i="5" s="1"/>
  <c r="C267" i="5"/>
  <c r="G267" i="5" s="1"/>
  <c r="K267" i="5" s="1"/>
  <c r="F246" i="5"/>
  <c r="D246" i="5"/>
  <c r="C246" i="5"/>
  <c r="F245" i="5"/>
  <c r="E245" i="5"/>
  <c r="D245" i="5"/>
  <c r="C245" i="5"/>
  <c r="F244" i="5"/>
  <c r="D244" i="5"/>
  <c r="C244" i="5"/>
  <c r="F243" i="5"/>
  <c r="E243" i="5"/>
  <c r="D243" i="5"/>
  <c r="C243" i="5"/>
  <c r="B225" i="5"/>
  <c r="B227" i="5" s="1"/>
  <c r="B226" i="5" s="1"/>
  <c r="B217" i="5"/>
  <c r="B219" i="5" s="1"/>
  <c r="B220" i="5" s="1"/>
  <c r="B213" i="5"/>
  <c r="B210" i="5"/>
  <c r="J190" i="5"/>
  <c r="I190" i="5"/>
  <c r="F190" i="5"/>
  <c r="E190" i="5"/>
  <c r="D190" i="5"/>
  <c r="H190" i="5" s="1"/>
  <c r="C190" i="5"/>
  <c r="G190" i="5" s="1"/>
  <c r="K190" i="5" s="1"/>
  <c r="J189" i="5"/>
  <c r="I189" i="5"/>
  <c r="F189" i="5"/>
  <c r="E189" i="5"/>
  <c r="D189" i="5"/>
  <c r="H189" i="5" s="1"/>
  <c r="C189" i="5"/>
  <c r="G189" i="5" s="1"/>
  <c r="J188" i="5"/>
  <c r="I188" i="5"/>
  <c r="F188" i="5"/>
  <c r="E188" i="5"/>
  <c r="D188" i="5"/>
  <c r="H188" i="5" s="1"/>
  <c r="C188" i="5"/>
  <c r="G188" i="5" s="1"/>
  <c r="K188" i="5" s="1"/>
  <c r="M180" i="5"/>
  <c r="I180" i="5"/>
  <c r="L180" i="5" s="1"/>
  <c r="G180" i="5"/>
  <c r="F180" i="5"/>
  <c r="E180" i="5"/>
  <c r="D180" i="5"/>
  <c r="C180" i="5"/>
  <c r="F165" i="5"/>
  <c r="D165" i="5"/>
  <c r="C165" i="5"/>
  <c r="F164" i="5"/>
  <c r="E164" i="5"/>
  <c r="D164" i="5"/>
  <c r="C164" i="5"/>
  <c r="B147" i="5"/>
  <c r="B146" i="5"/>
  <c r="B145" i="5"/>
  <c r="B133" i="5"/>
  <c r="B130" i="5"/>
  <c r="B137" i="5" s="1"/>
  <c r="J112" i="5"/>
  <c r="I112" i="5"/>
  <c r="F112" i="5"/>
  <c r="E112" i="5"/>
  <c r="D112" i="5"/>
  <c r="H112" i="5" s="1"/>
  <c r="C112" i="5"/>
  <c r="G112" i="5" s="1"/>
  <c r="K112" i="5" s="1"/>
  <c r="J111" i="5"/>
  <c r="I111" i="5"/>
  <c r="F111" i="5"/>
  <c r="E111" i="5"/>
  <c r="D111" i="5"/>
  <c r="H111" i="5" s="1"/>
  <c r="C111" i="5"/>
  <c r="G111" i="5" s="1"/>
  <c r="J110" i="5"/>
  <c r="I110" i="5"/>
  <c r="F110" i="5"/>
  <c r="E110" i="5"/>
  <c r="D110" i="5"/>
  <c r="H110" i="5" s="1"/>
  <c r="C110" i="5"/>
  <c r="G110" i="5" s="1"/>
  <c r="K110" i="5" s="1"/>
  <c r="J109" i="5"/>
  <c r="I109" i="5"/>
  <c r="F109" i="5"/>
  <c r="E109" i="5"/>
  <c r="D109" i="5"/>
  <c r="H109" i="5" s="1"/>
  <c r="C109" i="5"/>
  <c r="G109" i="5" s="1"/>
  <c r="J108" i="5"/>
  <c r="I108" i="5"/>
  <c r="F108" i="5"/>
  <c r="E108" i="5"/>
  <c r="D108" i="5"/>
  <c r="H108" i="5" s="1"/>
  <c r="C108" i="5"/>
  <c r="G108" i="5" s="1"/>
  <c r="K108" i="5" s="1"/>
  <c r="M100" i="5"/>
  <c r="I100" i="5"/>
  <c r="L100" i="5" s="1"/>
  <c r="G100" i="5"/>
  <c r="F100" i="5"/>
  <c r="E100" i="5"/>
  <c r="D100" i="5"/>
  <c r="C100" i="5"/>
  <c r="F86" i="5"/>
  <c r="D86" i="5"/>
  <c r="C86" i="5"/>
  <c r="F85" i="5"/>
  <c r="E85" i="5"/>
  <c r="D85" i="5"/>
  <c r="C85" i="5"/>
  <c r="F84" i="5"/>
  <c r="E84" i="5"/>
  <c r="D84" i="5"/>
  <c r="C84" i="5"/>
  <c r="B66" i="5"/>
  <c r="B68" i="5" s="1"/>
  <c r="B67" i="5" s="1"/>
  <c r="B55" i="5"/>
  <c r="B51" i="5"/>
  <c r="B58" i="5" s="1"/>
  <c r="B60" i="5" s="1"/>
  <c r="D28" i="5"/>
  <c r="C28" i="5"/>
  <c r="C21" i="5"/>
  <c r="B21" i="5"/>
  <c r="F21" i="5" s="1"/>
  <c r="B19" i="5"/>
  <c r="F19" i="5" s="1"/>
  <c r="B18" i="5"/>
  <c r="E17" i="5"/>
  <c r="D17" i="5"/>
  <c r="C17" i="5"/>
  <c r="B17" i="5"/>
  <c r="F17" i="5" s="1"/>
  <c r="D16" i="5"/>
  <c r="C16" i="5"/>
  <c r="B16" i="5"/>
  <c r="F16" i="5" s="1"/>
  <c r="D15" i="5"/>
  <c r="C15" i="5"/>
  <c r="B15" i="5"/>
  <c r="F15" i="5" s="1"/>
  <c r="D14" i="5"/>
  <c r="C14" i="5"/>
  <c r="B14" i="5"/>
  <c r="F14" i="5" s="1"/>
  <c r="D13" i="5"/>
  <c r="C13" i="5"/>
  <c r="B13" i="5"/>
  <c r="F13" i="5" s="1"/>
  <c r="V12" i="5"/>
  <c r="B12" i="5"/>
  <c r="V11" i="5"/>
  <c r="V10" i="5"/>
  <c r="V9" i="5"/>
  <c r="V8" i="5"/>
  <c r="V7" i="5"/>
  <c r="B778" i="4"/>
  <c r="B777" i="4"/>
  <c r="B776" i="4"/>
  <c r="B764" i="4"/>
  <c r="B761" i="4"/>
  <c r="B768" i="4" s="1"/>
  <c r="J750" i="4"/>
  <c r="I750" i="4"/>
  <c r="F750" i="4"/>
  <c r="E750" i="4"/>
  <c r="D750" i="4"/>
  <c r="H750" i="4" s="1"/>
  <c r="C750" i="4"/>
  <c r="G750" i="4" s="1"/>
  <c r="K750" i="4" s="1"/>
  <c r="J749" i="4"/>
  <c r="I749" i="4"/>
  <c r="F749" i="4"/>
  <c r="E749" i="4"/>
  <c r="D749" i="4"/>
  <c r="H749" i="4" s="1"/>
  <c r="C749" i="4"/>
  <c r="G749" i="4" s="1"/>
  <c r="J748" i="4"/>
  <c r="I748" i="4"/>
  <c r="F748" i="4"/>
  <c r="E748" i="4"/>
  <c r="D748" i="4"/>
  <c r="H748" i="4" s="1"/>
  <c r="C748" i="4"/>
  <c r="G748" i="4" s="1"/>
  <c r="K748" i="4" s="1"/>
  <c r="J747" i="4"/>
  <c r="I747" i="4"/>
  <c r="F747" i="4"/>
  <c r="E747" i="4"/>
  <c r="D747" i="4"/>
  <c r="H747" i="4" s="1"/>
  <c r="C747" i="4"/>
  <c r="G747" i="4" s="1"/>
  <c r="J746" i="4"/>
  <c r="I746" i="4"/>
  <c r="F746" i="4"/>
  <c r="E746" i="4"/>
  <c r="D746" i="4"/>
  <c r="H746" i="4" s="1"/>
  <c r="C746" i="4"/>
  <c r="G746" i="4" s="1"/>
  <c r="K746" i="4" s="1"/>
  <c r="J745" i="4"/>
  <c r="I745" i="4"/>
  <c r="H745" i="4"/>
  <c r="F745" i="4"/>
  <c r="E745" i="4"/>
  <c r="D745" i="4"/>
  <c r="C745" i="4"/>
  <c r="G745" i="4" s="1"/>
  <c r="K745" i="4" s="1"/>
  <c r="J744" i="4"/>
  <c r="I744" i="4"/>
  <c r="F744" i="4"/>
  <c r="E744" i="4"/>
  <c r="D744" i="4"/>
  <c r="H744" i="4" s="1"/>
  <c r="C744" i="4"/>
  <c r="G744" i="4" s="1"/>
  <c r="K744" i="4" s="1"/>
  <c r="J743" i="4"/>
  <c r="I743" i="4"/>
  <c r="F743" i="4"/>
  <c r="E743" i="4"/>
  <c r="D743" i="4"/>
  <c r="H743" i="4" s="1"/>
  <c r="C743" i="4"/>
  <c r="G743" i="4" s="1"/>
  <c r="K743" i="4" s="1"/>
  <c r="J742" i="4"/>
  <c r="I742" i="4"/>
  <c r="F742" i="4"/>
  <c r="E742" i="4"/>
  <c r="D742" i="4"/>
  <c r="H742" i="4" s="1"/>
  <c r="C742" i="4"/>
  <c r="G742" i="4" s="1"/>
  <c r="K742" i="4" s="1"/>
  <c r="J741" i="4"/>
  <c r="I741" i="4"/>
  <c r="H741" i="4"/>
  <c r="F741" i="4"/>
  <c r="E741" i="4"/>
  <c r="D741" i="4"/>
  <c r="C741" i="4"/>
  <c r="G741" i="4" s="1"/>
  <c r="K741" i="4" s="1"/>
  <c r="J740" i="4"/>
  <c r="I740" i="4"/>
  <c r="F740" i="4"/>
  <c r="E740" i="4"/>
  <c r="D740" i="4"/>
  <c r="H740" i="4" s="1"/>
  <c r="C740" i="4"/>
  <c r="G740" i="4" s="1"/>
  <c r="J739" i="4"/>
  <c r="B752" i="4" s="1"/>
  <c r="B753" i="4" s="1"/>
  <c r="B783" i="4" s="1"/>
  <c r="I739" i="4"/>
  <c r="F739" i="4"/>
  <c r="E739" i="4"/>
  <c r="D739" i="4"/>
  <c r="H739" i="4" s="1"/>
  <c r="C739" i="4"/>
  <c r="G739" i="4" s="1"/>
  <c r="N731" i="4"/>
  <c r="H731" i="4" s="1"/>
  <c r="G731" i="4"/>
  <c r="F731" i="4"/>
  <c r="M731" i="4" s="1"/>
  <c r="E731" i="4"/>
  <c r="D731" i="4"/>
  <c r="C731" i="4"/>
  <c r="I731" i="4" s="1"/>
  <c r="L731" i="4" s="1"/>
  <c r="H717" i="4"/>
  <c r="G717" i="4"/>
  <c r="F717" i="4"/>
  <c r="E717" i="4"/>
  <c r="D717" i="4"/>
  <c r="C717" i="4"/>
  <c r="H716" i="4"/>
  <c r="G716" i="4"/>
  <c r="F716" i="4"/>
  <c r="E716" i="4"/>
  <c r="D716" i="4"/>
  <c r="C716" i="4"/>
  <c r="H715" i="4"/>
  <c r="G715" i="4"/>
  <c r="F715" i="4"/>
  <c r="E715" i="4"/>
  <c r="D715" i="4"/>
  <c r="C715" i="4"/>
  <c r="B697" i="4"/>
  <c r="B699" i="4" s="1"/>
  <c r="B698" i="4" s="1"/>
  <c r="B689" i="4"/>
  <c r="B685" i="4"/>
  <c r="B682" i="4"/>
  <c r="J661" i="4"/>
  <c r="I661" i="4"/>
  <c r="F661" i="4"/>
  <c r="E661" i="4"/>
  <c r="D661" i="4"/>
  <c r="H661" i="4" s="1"/>
  <c r="C661" i="4"/>
  <c r="G661" i="4" s="1"/>
  <c r="J660" i="4"/>
  <c r="I660" i="4"/>
  <c r="F660" i="4"/>
  <c r="E660" i="4"/>
  <c r="D660" i="4"/>
  <c r="H660" i="4" s="1"/>
  <c r="C660" i="4"/>
  <c r="G660" i="4" s="1"/>
  <c r="M652" i="4"/>
  <c r="G652" i="4"/>
  <c r="B673" i="4" s="1"/>
  <c r="F652" i="4"/>
  <c r="E652" i="4"/>
  <c r="D652" i="4"/>
  <c r="C652" i="4"/>
  <c r="I652" i="4" s="1"/>
  <c r="L652" i="4" s="1"/>
  <c r="H637" i="4"/>
  <c r="G637" i="4"/>
  <c r="F637" i="4"/>
  <c r="E637" i="4"/>
  <c r="D637" i="4"/>
  <c r="C637" i="4"/>
  <c r="H636" i="4"/>
  <c r="G636" i="4"/>
  <c r="F636" i="4"/>
  <c r="E636" i="4"/>
  <c r="D636" i="4"/>
  <c r="C636" i="4"/>
  <c r="B619" i="4"/>
  <c r="B618" i="4"/>
  <c r="B620" i="4" s="1"/>
  <c r="G610" i="4"/>
  <c r="B607" i="4"/>
  <c r="B606" i="4"/>
  <c r="B603" i="4"/>
  <c r="B610" i="4" s="1"/>
  <c r="B612" i="4" s="1"/>
  <c r="B613" i="4" s="1"/>
  <c r="J583" i="4"/>
  <c r="I583" i="4"/>
  <c r="F583" i="4"/>
  <c r="E583" i="4"/>
  <c r="D583" i="4"/>
  <c r="H583" i="4" s="1"/>
  <c r="C583" i="4"/>
  <c r="G583" i="4" s="1"/>
  <c r="K583" i="4" s="1"/>
  <c r="J582" i="4"/>
  <c r="I582" i="4"/>
  <c r="F582" i="4"/>
  <c r="E582" i="4"/>
  <c r="D582" i="4"/>
  <c r="H582" i="4" s="1"/>
  <c r="C582" i="4"/>
  <c r="G582" i="4" s="1"/>
  <c r="K582" i="4" s="1"/>
  <c r="J581" i="4"/>
  <c r="I581" i="4"/>
  <c r="H581" i="4"/>
  <c r="F581" i="4"/>
  <c r="E581" i="4"/>
  <c r="D581" i="4"/>
  <c r="C581" i="4"/>
  <c r="G581" i="4" s="1"/>
  <c r="K581" i="4" s="1"/>
  <c r="L573" i="4"/>
  <c r="I573" i="4"/>
  <c r="G573" i="4"/>
  <c r="F573" i="4"/>
  <c r="M573" i="4" s="1"/>
  <c r="E573" i="4"/>
  <c r="D573" i="4"/>
  <c r="C573" i="4"/>
  <c r="H559" i="4"/>
  <c r="G559" i="4"/>
  <c r="F559" i="4"/>
  <c r="E559" i="4"/>
  <c r="D559" i="4"/>
  <c r="C559" i="4"/>
  <c r="H558" i="4"/>
  <c r="G558" i="4"/>
  <c r="F558" i="4"/>
  <c r="E558" i="4"/>
  <c r="D558" i="4"/>
  <c r="C558" i="4"/>
  <c r="H557" i="4"/>
  <c r="B594" i="4" s="1"/>
  <c r="G557" i="4"/>
  <c r="F557" i="4"/>
  <c r="E557" i="4"/>
  <c r="D557" i="4"/>
  <c r="C557" i="4"/>
  <c r="B541" i="4"/>
  <c r="B540" i="4" s="1"/>
  <c r="B539" i="4"/>
  <c r="B533" i="4"/>
  <c r="B534" i="4" s="1"/>
  <c r="B531" i="4"/>
  <c r="G531" i="4" s="1"/>
  <c r="B527" i="4"/>
  <c r="B528" i="4" s="1"/>
  <c r="B524" i="4"/>
  <c r="J504" i="4"/>
  <c r="I504" i="4"/>
  <c r="F504" i="4"/>
  <c r="E504" i="4"/>
  <c r="D504" i="4"/>
  <c r="H504" i="4" s="1"/>
  <c r="C504" i="4"/>
  <c r="G504" i="4" s="1"/>
  <c r="K504" i="4" s="1"/>
  <c r="J503" i="4"/>
  <c r="I503" i="4"/>
  <c r="F503" i="4"/>
  <c r="E503" i="4"/>
  <c r="D503" i="4"/>
  <c r="H503" i="4" s="1"/>
  <c r="C503" i="4"/>
  <c r="G503" i="4" s="1"/>
  <c r="J502" i="4"/>
  <c r="I502" i="4"/>
  <c r="F502" i="4"/>
  <c r="E502" i="4"/>
  <c r="D502" i="4"/>
  <c r="H502" i="4" s="1"/>
  <c r="C502" i="4"/>
  <c r="G502" i="4" s="1"/>
  <c r="K502" i="4" s="1"/>
  <c r="H483" i="4"/>
  <c r="G483" i="4"/>
  <c r="F483" i="4"/>
  <c r="E483" i="4"/>
  <c r="D483" i="4"/>
  <c r="C483" i="4"/>
  <c r="H482" i="4"/>
  <c r="G482" i="4"/>
  <c r="F482" i="4"/>
  <c r="E482" i="4"/>
  <c r="D482" i="4"/>
  <c r="C482" i="4"/>
  <c r="H481" i="4"/>
  <c r="G481" i="4"/>
  <c r="F481" i="4"/>
  <c r="E481" i="4"/>
  <c r="D481" i="4"/>
  <c r="C481" i="4"/>
  <c r="H480" i="4"/>
  <c r="G480" i="4"/>
  <c r="F480" i="4"/>
  <c r="E480" i="4"/>
  <c r="D480" i="4"/>
  <c r="C480" i="4"/>
  <c r="F479" i="4"/>
  <c r="D479" i="4"/>
  <c r="C479" i="4"/>
  <c r="F478" i="4"/>
  <c r="D478" i="4"/>
  <c r="C478" i="4"/>
  <c r="B463" i="4"/>
  <c r="B462" i="4"/>
  <c r="B461" i="4"/>
  <c r="B450" i="4"/>
  <c r="B449" i="4"/>
  <c r="B446" i="4"/>
  <c r="B453" i="4" s="1"/>
  <c r="J428" i="4"/>
  <c r="I428" i="4"/>
  <c r="H428" i="4"/>
  <c r="F428" i="4"/>
  <c r="E428" i="4"/>
  <c r="D428" i="4"/>
  <c r="C428" i="4"/>
  <c r="G428" i="4" s="1"/>
  <c r="K428" i="4" s="1"/>
  <c r="J427" i="4"/>
  <c r="I427" i="4"/>
  <c r="F427" i="4"/>
  <c r="E427" i="4"/>
  <c r="D427" i="4"/>
  <c r="H427" i="4" s="1"/>
  <c r="C427" i="4"/>
  <c r="G427" i="4" s="1"/>
  <c r="K427" i="4" s="1"/>
  <c r="J426" i="4"/>
  <c r="I426" i="4"/>
  <c r="F426" i="4"/>
  <c r="E426" i="4"/>
  <c r="D426" i="4"/>
  <c r="H426" i="4" s="1"/>
  <c r="C426" i="4"/>
  <c r="G426" i="4" s="1"/>
  <c r="K426" i="4" s="1"/>
  <c r="J425" i="4"/>
  <c r="I425" i="4"/>
  <c r="F425" i="4"/>
  <c r="E425" i="4"/>
  <c r="D425" i="4"/>
  <c r="H425" i="4" s="1"/>
  <c r="C425" i="4"/>
  <c r="G425" i="4" s="1"/>
  <c r="K425" i="4" s="1"/>
  <c r="J424" i="4"/>
  <c r="I424" i="4"/>
  <c r="F424" i="4"/>
  <c r="E424" i="4"/>
  <c r="D424" i="4"/>
  <c r="H424" i="4" s="1"/>
  <c r="C424" i="4"/>
  <c r="G424" i="4" s="1"/>
  <c r="F402" i="4"/>
  <c r="D402" i="4"/>
  <c r="C402" i="4"/>
  <c r="F401" i="4"/>
  <c r="D401" i="4"/>
  <c r="C401" i="4"/>
  <c r="F400" i="4"/>
  <c r="D400" i="4"/>
  <c r="C400" i="4"/>
  <c r="B383" i="4"/>
  <c r="B385" i="4" s="1"/>
  <c r="B384" i="4" s="1"/>
  <c r="B375" i="4"/>
  <c r="B371" i="4"/>
  <c r="B372" i="4" s="1"/>
  <c r="B368" i="4"/>
  <c r="J350" i="4"/>
  <c r="I350" i="4"/>
  <c r="F350" i="4"/>
  <c r="E350" i="4"/>
  <c r="D350" i="4"/>
  <c r="H350" i="4" s="1"/>
  <c r="C350" i="4"/>
  <c r="G350" i="4" s="1"/>
  <c r="J349" i="4"/>
  <c r="I349" i="4"/>
  <c r="F349" i="4"/>
  <c r="E349" i="4"/>
  <c r="D349" i="4"/>
  <c r="H349" i="4" s="1"/>
  <c r="C349" i="4"/>
  <c r="G349" i="4" s="1"/>
  <c r="J348" i="4"/>
  <c r="I348" i="4"/>
  <c r="F348" i="4"/>
  <c r="E348" i="4"/>
  <c r="D348" i="4"/>
  <c r="H348" i="4" s="1"/>
  <c r="C348" i="4"/>
  <c r="G348" i="4" s="1"/>
  <c r="K348" i="4" s="1"/>
  <c r="J347" i="4"/>
  <c r="I347" i="4"/>
  <c r="F347" i="4"/>
  <c r="E347" i="4"/>
  <c r="D347" i="4"/>
  <c r="H347" i="4" s="1"/>
  <c r="C347" i="4"/>
  <c r="G347" i="4" s="1"/>
  <c r="J346" i="4"/>
  <c r="I346" i="4"/>
  <c r="F346" i="4"/>
  <c r="E346" i="4"/>
  <c r="D346" i="4"/>
  <c r="H346" i="4" s="1"/>
  <c r="C346" i="4"/>
  <c r="G346" i="4" s="1"/>
  <c r="K346" i="4" s="1"/>
  <c r="F325" i="4"/>
  <c r="D325" i="4"/>
  <c r="C325" i="4"/>
  <c r="F324" i="4"/>
  <c r="E324" i="4"/>
  <c r="D324" i="4"/>
  <c r="C324" i="4"/>
  <c r="F323" i="4"/>
  <c r="E323" i="4"/>
  <c r="D323" i="4"/>
  <c r="C323" i="4"/>
  <c r="F322" i="4"/>
  <c r="E322" i="4"/>
  <c r="D322" i="4"/>
  <c r="C322" i="4"/>
  <c r="B304" i="4"/>
  <c r="B306" i="4" s="1"/>
  <c r="B305" i="4" s="1"/>
  <c r="B292" i="4"/>
  <c r="B289" i="4"/>
  <c r="B296" i="4" s="1"/>
  <c r="J270" i="4"/>
  <c r="I270" i="4"/>
  <c r="F270" i="4"/>
  <c r="E270" i="4"/>
  <c r="D270" i="4"/>
  <c r="H270" i="4" s="1"/>
  <c r="C270" i="4"/>
  <c r="G270" i="4" s="1"/>
  <c r="K270" i="4" s="1"/>
  <c r="J269" i="4"/>
  <c r="I269" i="4"/>
  <c r="F269" i="4"/>
  <c r="E269" i="4"/>
  <c r="D269" i="4"/>
  <c r="H269" i="4" s="1"/>
  <c r="C269" i="4"/>
  <c r="G269" i="4" s="1"/>
  <c r="J268" i="4"/>
  <c r="I268" i="4"/>
  <c r="F268" i="4"/>
  <c r="E268" i="4"/>
  <c r="D268" i="4"/>
  <c r="H268" i="4" s="1"/>
  <c r="C268" i="4"/>
  <c r="G268" i="4" s="1"/>
  <c r="J267" i="4"/>
  <c r="I267" i="4"/>
  <c r="F267" i="4"/>
  <c r="E267" i="4"/>
  <c r="D267" i="4"/>
  <c r="H267" i="4" s="1"/>
  <c r="C267" i="4"/>
  <c r="G267" i="4" s="1"/>
  <c r="F246" i="4"/>
  <c r="D246" i="4"/>
  <c r="C246" i="4"/>
  <c r="F245" i="4"/>
  <c r="E245" i="4"/>
  <c r="D245" i="4"/>
  <c r="C245" i="4"/>
  <c r="F244" i="4"/>
  <c r="D244" i="4"/>
  <c r="C244" i="4"/>
  <c r="F243" i="4"/>
  <c r="E243" i="4"/>
  <c r="D243" i="4"/>
  <c r="C243" i="4"/>
  <c r="B225" i="4"/>
  <c r="B227" i="4" s="1"/>
  <c r="B226" i="4" s="1"/>
  <c r="B217" i="4"/>
  <c r="B213" i="4"/>
  <c r="B210" i="4"/>
  <c r="J190" i="4"/>
  <c r="I190" i="4"/>
  <c r="H190" i="4"/>
  <c r="F190" i="4"/>
  <c r="E190" i="4"/>
  <c r="D190" i="4"/>
  <c r="C190" i="4"/>
  <c r="G190" i="4" s="1"/>
  <c r="K190" i="4" s="1"/>
  <c r="J189" i="4"/>
  <c r="I189" i="4"/>
  <c r="F189" i="4"/>
  <c r="E189" i="4"/>
  <c r="D189" i="4"/>
  <c r="H189" i="4" s="1"/>
  <c r="C189" i="4"/>
  <c r="G189" i="4" s="1"/>
  <c r="K189" i="4" s="1"/>
  <c r="J188" i="4"/>
  <c r="I188" i="4"/>
  <c r="F188" i="4"/>
  <c r="E188" i="4"/>
  <c r="D188" i="4"/>
  <c r="H188" i="4" s="1"/>
  <c r="C188" i="4"/>
  <c r="G188" i="4" s="1"/>
  <c r="K188" i="4" s="1"/>
  <c r="G180" i="4"/>
  <c r="F180" i="4"/>
  <c r="M180" i="4" s="1"/>
  <c r="N180" i="4" s="1"/>
  <c r="H180" i="4" s="1"/>
  <c r="E180" i="4"/>
  <c r="D180" i="4"/>
  <c r="C180" i="4"/>
  <c r="I180" i="4" s="1"/>
  <c r="L180" i="4" s="1"/>
  <c r="F165" i="4"/>
  <c r="D165" i="4"/>
  <c r="C165" i="4"/>
  <c r="F164" i="4"/>
  <c r="E164" i="4"/>
  <c r="D164" i="4"/>
  <c r="C164" i="4"/>
  <c r="B145" i="4"/>
  <c r="B147" i="4" s="1"/>
  <c r="B146" i="4" s="1"/>
  <c r="B133" i="4"/>
  <c r="B130" i="4"/>
  <c r="B137" i="4" s="1"/>
  <c r="J112" i="4"/>
  <c r="I112" i="4"/>
  <c r="H112" i="4"/>
  <c r="F112" i="4"/>
  <c r="E112" i="4"/>
  <c r="D112" i="4"/>
  <c r="C112" i="4"/>
  <c r="G112" i="4" s="1"/>
  <c r="K112" i="4" s="1"/>
  <c r="J111" i="4"/>
  <c r="I111" i="4"/>
  <c r="F111" i="4"/>
  <c r="E111" i="4"/>
  <c r="D111" i="4"/>
  <c r="H111" i="4" s="1"/>
  <c r="C111" i="4"/>
  <c r="G111" i="4" s="1"/>
  <c r="K111" i="4" s="1"/>
  <c r="J110" i="4"/>
  <c r="I110" i="4"/>
  <c r="F110" i="4"/>
  <c r="E110" i="4"/>
  <c r="D110" i="4"/>
  <c r="H110" i="4" s="1"/>
  <c r="C110" i="4"/>
  <c r="G110" i="4" s="1"/>
  <c r="J109" i="4"/>
  <c r="I109" i="4"/>
  <c r="F109" i="4"/>
  <c r="E109" i="4"/>
  <c r="D109" i="4"/>
  <c r="H109" i="4" s="1"/>
  <c r="C109" i="4"/>
  <c r="G109" i="4" s="1"/>
  <c r="K109" i="4" s="1"/>
  <c r="J108" i="4"/>
  <c r="I108" i="4"/>
  <c r="H108" i="4"/>
  <c r="F108" i="4"/>
  <c r="E108" i="4"/>
  <c r="D108" i="4"/>
  <c r="C108" i="4"/>
  <c r="G108" i="4" s="1"/>
  <c r="K108" i="4" s="1"/>
  <c r="L100" i="4"/>
  <c r="G100" i="4"/>
  <c r="F100" i="4"/>
  <c r="M100" i="4" s="1"/>
  <c r="N100" i="4" s="1"/>
  <c r="H100" i="4" s="1"/>
  <c r="E100" i="4"/>
  <c r="D100" i="4"/>
  <c r="C100" i="4"/>
  <c r="I100" i="4" s="1"/>
  <c r="F86" i="4"/>
  <c r="D86" i="4"/>
  <c r="C86" i="4"/>
  <c r="F85" i="4"/>
  <c r="E85" i="4"/>
  <c r="D85" i="4"/>
  <c r="C85" i="4"/>
  <c r="F84" i="4"/>
  <c r="E84" i="4"/>
  <c r="D84" i="4"/>
  <c r="C84" i="4"/>
  <c r="B68" i="4"/>
  <c r="B67" i="4" s="1"/>
  <c r="F55" i="4"/>
  <c r="B51" i="4"/>
  <c r="L28" i="4"/>
  <c r="D28" i="4"/>
  <c r="C28" i="4"/>
  <c r="D21" i="4"/>
  <c r="B21" i="4"/>
  <c r="E21" i="4" s="1"/>
  <c r="F19" i="4"/>
  <c r="E19" i="4"/>
  <c r="C19" i="4"/>
  <c r="B19" i="4"/>
  <c r="F18" i="4"/>
  <c r="C18" i="4"/>
  <c r="B18" i="4"/>
  <c r="E18" i="4" s="1"/>
  <c r="B17" i="4"/>
  <c r="D17" i="4" s="1"/>
  <c r="W16" i="4"/>
  <c r="D16" i="4"/>
  <c r="B16" i="4"/>
  <c r="D15" i="4"/>
  <c r="B15" i="4"/>
  <c r="D14" i="4"/>
  <c r="B14" i="4"/>
  <c r="D13" i="4"/>
  <c r="B13" i="4"/>
  <c r="V12" i="4"/>
  <c r="E12" i="4"/>
  <c r="C12" i="4"/>
  <c r="B12" i="4"/>
  <c r="F12" i="4" s="1"/>
  <c r="V11" i="4"/>
  <c r="V10" i="4"/>
  <c r="V9" i="4"/>
  <c r="V8" i="4"/>
  <c r="V7" i="4"/>
  <c r="B32" i="3"/>
  <c r="B31" i="3"/>
  <c r="B30" i="3"/>
  <c r="B29" i="3"/>
  <c r="B28" i="3"/>
  <c r="B27" i="3"/>
  <c r="B26" i="3"/>
  <c r="D21" i="3"/>
  <c r="D5" i="3"/>
  <c r="AF49" i="2"/>
  <c r="AD49" i="2"/>
  <c r="AD46" i="2"/>
  <c r="AC46" i="2"/>
  <c r="AD45" i="2"/>
  <c r="AC45" i="2"/>
  <c r="AD44" i="2"/>
  <c r="AC44" i="2"/>
  <c r="AD43" i="2"/>
  <c r="AC43" i="2"/>
  <c r="AD42" i="2"/>
  <c r="AD40" i="2" s="1"/>
  <c r="AC42" i="2"/>
  <c r="AF40" i="2"/>
  <c r="Z40" i="2"/>
  <c r="B37" i="2"/>
  <c r="AF35" i="2"/>
  <c r="AD35" i="2"/>
  <c r="AD32" i="2"/>
  <c r="AC32" i="2"/>
  <c r="AD31" i="2"/>
  <c r="AC31" i="2"/>
  <c r="AD30" i="2"/>
  <c r="AC30" i="2"/>
  <c r="Z27" i="2" s="1"/>
  <c r="P26" i="2" s="1"/>
  <c r="AD29" i="2"/>
  <c r="AD27" i="2" s="1"/>
  <c r="AC29" i="2"/>
  <c r="N28" i="2"/>
  <c r="AF27" i="2"/>
  <c r="N27" i="2"/>
  <c r="S26" i="2"/>
  <c r="R26" i="2"/>
  <c r="N26" i="2"/>
  <c r="AD25" i="2"/>
  <c r="AC25" i="2"/>
  <c r="N25" i="2"/>
  <c r="AD24" i="2"/>
  <c r="AC24" i="2"/>
  <c r="T24" i="2"/>
  <c r="Q24" i="2"/>
  <c r="P24" i="2"/>
  <c r="N24" i="2"/>
  <c r="AD23" i="2"/>
  <c r="AF21" i="2" s="1"/>
  <c r="AC23" i="2"/>
  <c r="Z21" i="2" s="1"/>
  <c r="T23" i="2"/>
  <c r="R23" i="2"/>
  <c r="S23" i="2" s="1"/>
  <c r="Q23" i="2"/>
  <c r="P23" i="2"/>
  <c r="T22" i="2"/>
  <c r="Q22" i="2"/>
  <c r="P22" i="2"/>
  <c r="T21" i="2"/>
  <c r="R21" i="2"/>
  <c r="S21" i="2" s="1"/>
  <c r="Q21" i="2"/>
  <c r="P21" i="2"/>
  <c r="N20" i="2"/>
  <c r="B20" i="2"/>
  <c r="AD19" i="2"/>
  <c r="AC19" i="2"/>
  <c r="B19" i="2"/>
  <c r="AD18" i="2"/>
  <c r="AF14" i="2" s="1"/>
  <c r="AC18" i="2"/>
  <c r="Z14" i="2" s="1"/>
  <c r="P20" i="2" s="1"/>
  <c r="Q18" i="2"/>
  <c r="P18" i="2"/>
  <c r="N18" i="2"/>
  <c r="B18" i="2"/>
  <c r="G37" i="2" s="1"/>
  <c r="AD17" i="2"/>
  <c r="AD14" i="2" s="1"/>
  <c r="AC17" i="2"/>
  <c r="T16" i="2"/>
  <c r="R16" i="2"/>
  <c r="S16" i="2" s="1"/>
  <c r="P16" i="2"/>
  <c r="Q16" i="2" s="1"/>
  <c r="N16" i="2"/>
  <c r="T15" i="2"/>
  <c r="P14" i="2"/>
  <c r="N14" i="2"/>
  <c r="H14" i="2"/>
  <c r="T13" i="2"/>
  <c r="R13" i="2"/>
  <c r="S13" i="2" s="1"/>
  <c r="P13" i="2"/>
  <c r="H13" i="2"/>
  <c r="F13" i="2" s="1"/>
  <c r="T12" i="2"/>
  <c r="Q12" i="2"/>
  <c r="P12" i="2"/>
  <c r="G84" i="4" s="1"/>
  <c r="H12" i="2"/>
  <c r="F12" i="2" s="1"/>
  <c r="AD11" i="2"/>
  <c r="AC11" i="2"/>
  <c r="T11" i="2"/>
  <c r="P11" i="2"/>
  <c r="Q11" i="2" s="1"/>
  <c r="H11" i="2"/>
  <c r="AD10" i="2"/>
  <c r="AC10" i="2"/>
  <c r="T10" i="2"/>
  <c r="P10" i="2"/>
  <c r="Q10" i="2" s="1"/>
  <c r="H10" i="2"/>
  <c r="F10" i="2" s="1"/>
  <c r="AD9" i="2"/>
  <c r="AC9" i="2"/>
  <c r="Z5" i="2" s="1"/>
  <c r="Q9" i="2"/>
  <c r="P9" i="2"/>
  <c r="N9" i="2"/>
  <c r="R9" i="2" s="1"/>
  <c r="S9" i="2" s="1"/>
  <c r="H9" i="2"/>
  <c r="B9" i="2"/>
  <c r="AD8" i="2"/>
  <c r="P8" i="2"/>
  <c r="N8" i="2"/>
  <c r="Q8" i="2" s="1"/>
  <c r="H8" i="2"/>
  <c r="AD7" i="2"/>
  <c r="AC7" i="2"/>
  <c r="Q7" i="2"/>
  <c r="P7" i="2"/>
  <c r="N7" i="2"/>
  <c r="H7" i="2"/>
  <c r="G5" i="2" s="1"/>
  <c r="AO6" i="2"/>
  <c r="AN6" i="2"/>
  <c r="Q6" i="2"/>
  <c r="P6" i="2"/>
  <c r="G12" i="4" s="1"/>
  <c r="N6" i="2"/>
  <c r="R6" i="2" s="1"/>
  <c r="S6" i="2" s="1"/>
  <c r="AF5" i="2"/>
  <c r="AD5" i="2"/>
  <c r="R25" i="2" s="1"/>
  <c r="S25" i="2" s="1"/>
  <c r="B5" i="2"/>
  <c r="B55" i="4" s="1"/>
  <c r="AF49" i="1"/>
  <c r="AD49" i="1"/>
  <c r="AD46" i="1"/>
  <c r="AC46" i="1"/>
  <c r="AD45" i="1"/>
  <c r="AC45" i="1"/>
  <c r="AD44" i="1"/>
  <c r="AC44" i="1"/>
  <c r="AD43" i="1"/>
  <c r="AD40" i="1" s="1"/>
  <c r="AC43" i="1"/>
  <c r="Z40" i="1" s="1"/>
  <c r="P14" i="1" s="1"/>
  <c r="AD42" i="1"/>
  <c r="AC42" i="1"/>
  <c r="AF40" i="1"/>
  <c r="N39" i="1"/>
  <c r="N37" i="1"/>
  <c r="G37" i="1"/>
  <c r="B37" i="1"/>
  <c r="AF35" i="1"/>
  <c r="T23" i="1" s="1"/>
  <c r="AD35" i="1"/>
  <c r="R22" i="1" s="1"/>
  <c r="S22" i="1" s="1"/>
  <c r="AD32" i="1"/>
  <c r="AC32" i="1"/>
  <c r="AD31" i="1"/>
  <c r="AC31" i="1"/>
  <c r="Z27" i="1" s="1"/>
  <c r="P26" i="1" s="1"/>
  <c r="AD30" i="1"/>
  <c r="AC30" i="1"/>
  <c r="AD29" i="1"/>
  <c r="AF27" i="1" s="1"/>
  <c r="AC29" i="1"/>
  <c r="AD27" i="1"/>
  <c r="N26" i="1"/>
  <c r="R26" i="1" s="1"/>
  <c r="AD25" i="1"/>
  <c r="AC25" i="1"/>
  <c r="B25" i="1"/>
  <c r="AD24" i="1"/>
  <c r="AC24" i="1"/>
  <c r="Q24" i="1"/>
  <c r="P24" i="1"/>
  <c r="N24" i="1"/>
  <c r="R24" i="1" s="1"/>
  <c r="S24" i="1" s="1"/>
  <c r="B24" i="1"/>
  <c r="AD23" i="1"/>
  <c r="AF21" i="1" s="1"/>
  <c r="T28" i="1" s="1"/>
  <c r="AC23" i="1"/>
  <c r="R23" i="1"/>
  <c r="S23" i="1" s="1"/>
  <c r="Q23" i="1"/>
  <c r="P23" i="1"/>
  <c r="T22" i="1"/>
  <c r="P22" i="1"/>
  <c r="Q22" i="1" s="1"/>
  <c r="Z21" i="1"/>
  <c r="P28" i="1" s="1"/>
  <c r="Q28" i="1" s="1"/>
  <c r="Q21" i="1"/>
  <c r="P21" i="1"/>
  <c r="B20" i="1"/>
  <c r="AD19" i="1"/>
  <c r="AC19" i="1"/>
  <c r="F19" i="1"/>
  <c r="AD18" i="1"/>
  <c r="AC18" i="1"/>
  <c r="F18" i="1"/>
  <c r="AD17" i="1"/>
  <c r="AD14" i="1" s="1"/>
  <c r="AC17" i="1"/>
  <c r="Z14" i="1" s="1"/>
  <c r="F17" i="1"/>
  <c r="P16" i="1"/>
  <c r="N16" i="1"/>
  <c r="R16" i="1" s="1"/>
  <c r="S16" i="1" s="1"/>
  <c r="N15" i="1"/>
  <c r="E21" i="5" s="1"/>
  <c r="AF14" i="1"/>
  <c r="T20" i="1" s="1"/>
  <c r="N14" i="1"/>
  <c r="T14" i="1" s="1"/>
  <c r="P42" i="1" s="1"/>
  <c r="H14" i="1"/>
  <c r="F14" i="1" s="1"/>
  <c r="T13" i="1"/>
  <c r="P13" i="1"/>
  <c r="Q13" i="1" s="1"/>
  <c r="N13" i="1"/>
  <c r="R13" i="1" s="1"/>
  <c r="S13" i="1" s="1"/>
  <c r="H13" i="1"/>
  <c r="F13" i="1" s="1"/>
  <c r="T12" i="1"/>
  <c r="Q12" i="1"/>
  <c r="N12" i="1"/>
  <c r="R12" i="1" s="1"/>
  <c r="S12" i="1" s="1"/>
  <c r="AD11" i="1"/>
  <c r="AC11" i="1"/>
  <c r="Z5" i="1" s="1"/>
  <c r="R11" i="1"/>
  <c r="S11" i="1" s="1"/>
  <c r="Q11" i="1"/>
  <c r="H17" i="5" s="1"/>
  <c r="P11" i="1"/>
  <c r="G17" i="5" s="1"/>
  <c r="H11" i="1"/>
  <c r="AD10" i="1"/>
  <c r="AC10" i="1"/>
  <c r="R10" i="1"/>
  <c r="S10" i="1" s="1"/>
  <c r="Q10" i="1"/>
  <c r="H16" i="5" s="1"/>
  <c r="P10" i="1"/>
  <c r="G16" i="5" s="1"/>
  <c r="N10" i="1"/>
  <c r="E16" i="5" s="1"/>
  <c r="F10" i="1"/>
  <c r="AD9" i="1"/>
  <c r="AF5" i="1" s="1"/>
  <c r="T25" i="1" s="1"/>
  <c r="AC9" i="1"/>
  <c r="F9" i="1"/>
  <c r="B9" i="1"/>
  <c r="G36" i="1" s="1"/>
  <c r="B36" i="1" s="1"/>
  <c r="AD8" i="1"/>
  <c r="B8" i="1"/>
  <c r="G35" i="1" s="1"/>
  <c r="AD7" i="1"/>
  <c r="AC7" i="1"/>
  <c r="N7" i="1"/>
  <c r="E13" i="5" s="1"/>
  <c r="F7" i="1"/>
  <c r="N6" i="1"/>
  <c r="N8" i="1" s="1"/>
  <c r="E14" i="5" s="1"/>
  <c r="AD5" i="1"/>
  <c r="R25" i="1" s="1"/>
  <c r="S25" i="1" s="1"/>
  <c r="G5" i="1"/>
  <c r="F21" i="1" s="1"/>
  <c r="AA13" i="6" l="1"/>
  <c r="Q20" i="6" s="1"/>
  <c r="AA21" i="6"/>
  <c r="AG21" i="6"/>
  <c r="AG13" i="6"/>
  <c r="AE27" i="6"/>
  <c r="S29" i="6" s="1"/>
  <c r="T29" i="6" s="1"/>
  <c r="B18" i="3"/>
  <c r="G34" i="12"/>
  <c r="B54" i="14" s="1"/>
  <c r="B34" i="12"/>
  <c r="B66" i="14"/>
  <c r="B68" i="14" s="1"/>
  <c r="B67" i="14" s="1"/>
  <c r="B8" i="12"/>
  <c r="B27" i="12"/>
  <c r="E85" i="13"/>
  <c r="R18" i="11"/>
  <c r="S18" i="11" s="1"/>
  <c r="T18" i="11"/>
  <c r="Q18" i="11"/>
  <c r="H85" i="13" s="1"/>
  <c r="E84" i="13"/>
  <c r="Q17" i="11"/>
  <c r="H84" i="13" s="1"/>
  <c r="R17" i="11"/>
  <c r="S17" i="11" s="1"/>
  <c r="AO37" i="11"/>
  <c r="AY37" i="11" s="1"/>
  <c r="CO36" i="11" s="1"/>
  <c r="AO40" i="11"/>
  <c r="AY40" i="11" s="1"/>
  <c r="CO39" i="11" s="1"/>
  <c r="T17" i="11"/>
  <c r="AO28" i="11"/>
  <c r="AO26" i="11"/>
  <c r="T9" i="12"/>
  <c r="R9" i="12"/>
  <c r="S9" i="12" s="1"/>
  <c r="E15" i="14"/>
  <c r="Q9" i="12"/>
  <c r="H15" i="14" s="1"/>
  <c r="R26" i="12"/>
  <c r="F33" i="14"/>
  <c r="AO48" i="12"/>
  <c r="T26" i="12"/>
  <c r="F108" i="14"/>
  <c r="Q26" i="12"/>
  <c r="E12" i="13"/>
  <c r="R6" i="11"/>
  <c r="Q6" i="11"/>
  <c r="T6" i="11"/>
  <c r="E13" i="14"/>
  <c r="T7" i="12"/>
  <c r="R7" i="12"/>
  <c r="S7" i="12" s="1"/>
  <c r="Q7" i="12"/>
  <c r="H13" i="14" s="1"/>
  <c r="E86" i="14"/>
  <c r="R19" i="12"/>
  <c r="S19" i="12" s="1"/>
  <c r="T19" i="12"/>
  <c r="Q19" i="12"/>
  <c r="H86" i="14" s="1"/>
  <c r="AO48" i="11"/>
  <c r="F33" i="13"/>
  <c r="F108" i="13"/>
  <c r="Q26" i="11"/>
  <c r="T26" i="11"/>
  <c r="R26" i="11"/>
  <c r="AO43" i="11"/>
  <c r="E87" i="13"/>
  <c r="T20" i="11"/>
  <c r="R20" i="11"/>
  <c r="S20" i="11" s="1"/>
  <c r="Q20" i="11"/>
  <c r="H87" i="13" s="1"/>
  <c r="E86" i="13"/>
  <c r="T19" i="11"/>
  <c r="R19" i="11"/>
  <c r="S19" i="11" s="1"/>
  <c r="Q19" i="11"/>
  <c r="H86" i="13" s="1"/>
  <c r="R6" i="12"/>
  <c r="E12" i="14"/>
  <c r="T6" i="12"/>
  <c r="Q6" i="12"/>
  <c r="E87" i="14"/>
  <c r="R20" i="12"/>
  <c r="S20" i="12" s="1"/>
  <c r="T20" i="12"/>
  <c r="Q20" i="12"/>
  <c r="H87" i="14" s="1"/>
  <c r="T26" i="1"/>
  <c r="B66" i="13"/>
  <c r="B68" i="13" s="1"/>
  <c r="B67" i="13" s="1"/>
  <c r="G34" i="11"/>
  <c r="B54" i="13" s="1"/>
  <c r="B8" i="11"/>
  <c r="B34" i="11"/>
  <c r="E15" i="13"/>
  <c r="R9" i="11"/>
  <c r="S9" i="11" s="1"/>
  <c r="T9" i="11"/>
  <c r="Q9" i="11"/>
  <c r="H15" i="13" s="1"/>
  <c r="E13" i="13"/>
  <c r="R7" i="11"/>
  <c r="S7" i="11" s="1"/>
  <c r="T7" i="11"/>
  <c r="Q7" i="11"/>
  <c r="H13" i="13" s="1"/>
  <c r="E84" i="14"/>
  <c r="T17" i="12"/>
  <c r="AO37" i="12"/>
  <c r="AY37" i="12" s="1"/>
  <c r="CO36" i="12" s="1"/>
  <c r="AO40" i="12"/>
  <c r="AY40" i="12" s="1"/>
  <c r="CO39" i="12" s="1"/>
  <c r="R17" i="12"/>
  <c r="S17" i="12" s="1"/>
  <c r="AO26" i="12"/>
  <c r="Q17" i="12"/>
  <c r="H84" i="14" s="1"/>
  <c r="E85" i="14"/>
  <c r="R18" i="12"/>
  <c r="S18" i="12" s="1"/>
  <c r="T18" i="12"/>
  <c r="Q18" i="12"/>
  <c r="H85" i="14" s="1"/>
  <c r="F17" i="6"/>
  <c r="Q16" i="1"/>
  <c r="Q26" i="1"/>
  <c r="AA27" i="6"/>
  <c r="AE21" i="6"/>
  <c r="R16" i="6"/>
  <c r="AE13" i="6"/>
  <c r="F12" i="7"/>
  <c r="C18" i="7"/>
  <c r="F19" i="7"/>
  <c r="E22" i="7"/>
  <c r="AE5" i="6"/>
  <c r="S15" i="6" s="1"/>
  <c r="T15" i="6" s="1"/>
  <c r="AA5" i="6"/>
  <c r="Q15" i="6" s="1"/>
  <c r="U15" i="6"/>
  <c r="AG27" i="6"/>
  <c r="U29" i="6" s="1"/>
  <c r="E87" i="7"/>
  <c r="E15" i="7"/>
  <c r="D21" i="7"/>
  <c r="AA40" i="6"/>
  <c r="Q14" i="6" s="1"/>
  <c r="F28" i="7" s="1"/>
  <c r="M28" i="7" s="1"/>
  <c r="T16" i="1"/>
  <c r="T8" i="1"/>
  <c r="N9" i="1"/>
  <c r="E15" i="5" s="1"/>
  <c r="T6" i="1"/>
  <c r="K108" i="7"/>
  <c r="K34" i="7"/>
  <c r="K33" i="7"/>
  <c r="K109" i="7"/>
  <c r="G246" i="7"/>
  <c r="G246" i="4"/>
  <c r="G246" i="5"/>
  <c r="Q20" i="2"/>
  <c r="P7" i="1"/>
  <c r="P20" i="1"/>
  <c r="Q20" i="1" s="1"/>
  <c r="P19" i="1"/>
  <c r="Q19" i="1" s="1"/>
  <c r="P18" i="1"/>
  <c r="Q18" i="1" s="1"/>
  <c r="P17" i="1"/>
  <c r="Q17" i="1" s="1"/>
  <c r="P9" i="1"/>
  <c r="P6" i="1"/>
  <c r="Q6" i="1" s="1"/>
  <c r="P8" i="1"/>
  <c r="S26" i="1"/>
  <c r="P28" i="2"/>
  <c r="P27" i="2"/>
  <c r="B54" i="5"/>
  <c r="B35" i="1"/>
  <c r="P15" i="1"/>
  <c r="P25" i="1"/>
  <c r="Q25" i="1" s="1"/>
  <c r="P25" i="2"/>
  <c r="P15" i="2"/>
  <c r="R6" i="1"/>
  <c r="R7" i="1"/>
  <c r="S7" i="1" s="1"/>
  <c r="R20" i="1"/>
  <c r="S20" i="1" s="1"/>
  <c r="R19" i="1"/>
  <c r="S19" i="1" s="1"/>
  <c r="R18" i="1"/>
  <c r="S18" i="1" s="1"/>
  <c r="R17" i="1"/>
  <c r="S17" i="1" s="1"/>
  <c r="F23" i="2"/>
  <c r="B46" i="3"/>
  <c r="F9" i="2"/>
  <c r="D26" i="3"/>
  <c r="H165" i="7"/>
  <c r="H165" i="4"/>
  <c r="H165" i="5"/>
  <c r="R19" i="2"/>
  <c r="S19" i="2" s="1"/>
  <c r="R17" i="2"/>
  <c r="S17" i="2" s="1"/>
  <c r="R18" i="2"/>
  <c r="S18" i="2" s="1"/>
  <c r="R7" i="2"/>
  <c r="S7" i="2" s="1"/>
  <c r="R20" i="2"/>
  <c r="S20" i="2" s="1"/>
  <c r="F28" i="5"/>
  <c r="M28" i="5" s="1"/>
  <c r="Q14" i="1"/>
  <c r="G28" i="5" s="1"/>
  <c r="F8" i="2"/>
  <c r="F25" i="2"/>
  <c r="F11" i="2"/>
  <c r="T7" i="2"/>
  <c r="T19" i="2"/>
  <c r="T18" i="2"/>
  <c r="T9" i="2"/>
  <c r="T6" i="2"/>
  <c r="T17" i="2"/>
  <c r="G401" i="7"/>
  <c r="G401" i="4"/>
  <c r="G401" i="5"/>
  <c r="Q26" i="2"/>
  <c r="E86" i="4"/>
  <c r="E86" i="5"/>
  <c r="E28" i="4"/>
  <c r="T14" i="2"/>
  <c r="H325" i="7"/>
  <c r="H325" i="4"/>
  <c r="H325" i="5"/>
  <c r="R22" i="2"/>
  <c r="S22" i="2" s="1"/>
  <c r="R10" i="2"/>
  <c r="S10" i="2" s="1"/>
  <c r="T11" i="1"/>
  <c r="I28" i="5"/>
  <c r="L28" i="5" s="1"/>
  <c r="E28" i="5"/>
  <c r="R15" i="1"/>
  <c r="S15" i="1" s="1"/>
  <c r="T21" i="1"/>
  <c r="F22" i="1"/>
  <c r="T24" i="1"/>
  <c r="F25" i="1"/>
  <c r="N36" i="1"/>
  <c r="F7" i="2"/>
  <c r="R8" i="2"/>
  <c r="S8" i="2" s="1"/>
  <c r="G85" i="4"/>
  <c r="G85" i="5"/>
  <c r="Q13" i="2"/>
  <c r="F14" i="2"/>
  <c r="H244" i="7"/>
  <c r="H244" i="5"/>
  <c r="H244" i="4"/>
  <c r="H322" i="4"/>
  <c r="H322" i="7"/>
  <c r="H322" i="5"/>
  <c r="AD21" i="2"/>
  <c r="R28" i="2" s="1"/>
  <c r="S28" i="2" s="1"/>
  <c r="H324" i="7"/>
  <c r="H324" i="4"/>
  <c r="H324" i="5"/>
  <c r="G325" i="7"/>
  <c r="G325" i="5"/>
  <c r="G325" i="4"/>
  <c r="G36" i="2"/>
  <c r="B36" i="2" s="1"/>
  <c r="G137" i="5" s="1"/>
  <c r="B7" i="6"/>
  <c r="E13" i="4"/>
  <c r="G13" i="4"/>
  <c r="C13" i="4"/>
  <c r="E14" i="4"/>
  <c r="G14" i="4"/>
  <c r="C14" i="4"/>
  <c r="E15" i="4"/>
  <c r="G15" i="4"/>
  <c r="C15" i="4"/>
  <c r="E16" i="4"/>
  <c r="G16" i="4"/>
  <c r="C16" i="4"/>
  <c r="H17" i="4"/>
  <c r="R15" i="2"/>
  <c r="S15" i="2" s="1"/>
  <c r="G217" i="7"/>
  <c r="G217" i="5"/>
  <c r="F11" i="1"/>
  <c r="T15" i="1"/>
  <c r="T17" i="1"/>
  <c r="T18" i="1"/>
  <c r="T19" i="1"/>
  <c r="R21" i="1"/>
  <c r="S21" i="1" s="1"/>
  <c r="AD21" i="1"/>
  <c r="R28" i="1" s="1"/>
  <c r="S28" i="1" s="1"/>
  <c r="F23" i="1"/>
  <c r="T8" i="2"/>
  <c r="R11" i="2"/>
  <c r="S11" i="2" s="1"/>
  <c r="H84" i="5"/>
  <c r="H84" i="4"/>
  <c r="G86" i="4"/>
  <c r="F28" i="4"/>
  <c r="M28" i="4" s="1"/>
  <c r="N28" i="4" s="1"/>
  <c r="H28" i="4" s="1"/>
  <c r="G86" i="5"/>
  <c r="Q14" i="2"/>
  <c r="P17" i="2"/>
  <c r="E246" i="7"/>
  <c r="E246" i="4"/>
  <c r="E246" i="5"/>
  <c r="T20" i="2"/>
  <c r="G323" i="7"/>
  <c r="G323" i="5"/>
  <c r="G323" i="4"/>
  <c r="R24" i="2"/>
  <c r="S24" i="2" s="1"/>
  <c r="E401" i="7"/>
  <c r="E401" i="5"/>
  <c r="E401" i="4"/>
  <c r="T26" i="2"/>
  <c r="E479" i="7"/>
  <c r="E478" i="7"/>
  <c r="E479" i="5"/>
  <c r="E478" i="5"/>
  <c r="E479" i="4"/>
  <c r="E478" i="4"/>
  <c r="T28" i="2"/>
  <c r="B40" i="3"/>
  <c r="F13" i="4"/>
  <c r="F14" i="4"/>
  <c r="F15" i="4"/>
  <c r="F16" i="4"/>
  <c r="G165" i="7"/>
  <c r="G165" i="4"/>
  <c r="G165" i="5"/>
  <c r="E17" i="4"/>
  <c r="G17" i="4"/>
  <c r="C17" i="4"/>
  <c r="B703" i="4"/>
  <c r="B674" i="4"/>
  <c r="B704" i="4" s="1"/>
  <c r="W15" i="4" s="1"/>
  <c r="T7" i="1"/>
  <c r="F8" i="1"/>
  <c r="R8" i="1"/>
  <c r="S8" i="1" s="1"/>
  <c r="T10" i="1"/>
  <c r="F12" i="1"/>
  <c r="R14" i="1"/>
  <c r="P27" i="1"/>
  <c r="B43" i="3"/>
  <c r="D10" i="3"/>
  <c r="B27" i="2"/>
  <c r="B7" i="2"/>
  <c r="B24" i="2" s="1"/>
  <c r="R12" i="2"/>
  <c r="S12" i="2" s="1"/>
  <c r="R14" i="2"/>
  <c r="S14" i="2" s="1"/>
  <c r="G244" i="7"/>
  <c r="G244" i="4"/>
  <c r="G244" i="5"/>
  <c r="P19" i="2"/>
  <c r="G322" i="7"/>
  <c r="G322" i="4"/>
  <c r="G322" i="5"/>
  <c r="H323" i="7"/>
  <c r="H323" i="4"/>
  <c r="H323" i="5"/>
  <c r="E400" i="7"/>
  <c r="E400" i="4"/>
  <c r="E400" i="5"/>
  <c r="T25" i="2"/>
  <c r="E402" i="7"/>
  <c r="E402" i="4"/>
  <c r="E402" i="5"/>
  <c r="R27" i="2"/>
  <c r="S27" i="2" s="1"/>
  <c r="T27" i="2"/>
  <c r="D7" i="3"/>
  <c r="B42" i="3"/>
  <c r="H13" i="4"/>
  <c r="H14" i="4"/>
  <c r="H15" i="4"/>
  <c r="H16" i="4"/>
  <c r="F17" i="4"/>
  <c r="B139" i="4"/>
  <c r="B140" i="4" s="1"/>
  <c r="E165" i="7"/>
  <c r="E165" i="4"/>
  <c r="E165" i="5"/>
  <c r="E244" i="7"/>
  <c r="E244" i="4"/>
  <c r="G324" i="7"/>
  <c r="G324" i="4"/>
  <c r="G324" i="5"/>
  <c r="E325" i="7"/>
  <c r="E325" i="4"/>
  <c r="E325" i="5"/>
  <c r="B45" i="3"/>
  <c r="D12" i="4"/>
  <c r="H12" i="4"/>
  <c r="H19" i="4"/>
  <c r="D19" i="4"/>
  <c r="G19" i="4"/>
  <c r="F21" i="4"/>
  <c r="K110" i="4"/>
  <c r="K268" i="4"/>
  <c r="K349" i="4"/>
  <c r="K424" i="4"/>
  <c r="K660" i="4"/>
  <c r="B691" i="4"/>
  <c r="B692" i="4" s="1"/>
  <c r="G689" i="4"/>
  <c r="K739" i="4"/>
  <c r="O37" i="6"/>
  <c r="B61" i="5"/>
  <c r="N100" i="5"/>
  <c r="H100" i="5" s="1"/>
  <c r="B139" i="5"/>
  <c r="B140" i="5" s="1"/>
  <c r="E244" i="5"/>
  <c r="G21" i="4"/>
  <c r="B58" i="4"/>
  <c r="B298" i="4"/>
  <c r="B299" i="4" s="1"/>
  <c r="G296" i="4"/>
  <c r="K347" i="4"/>
  <c r="K503" i="4"/>
  <c r="B770" i="4"/>
  <c r="B771" i="4" s="1"/>
  <c r="G768" i="4"/>
  <c r="E12" i="5"/>
  <c r="D12" i="5"/>
  <c r="G12" i="5"/>
  <c r="C12" i="5"/>
  <c r="E18" i="5"/>
  <c r="H18" i="5"/>
  <c r="D18" i="5"/>
  <c r="G18" i="5"/>
  <c r="C18" i="5"/>
  <c r="G84" i="5"/>
  <c r="K109" i="5"/>
  <c r="K111" i="5"/>
  <c r="N180" i="5"/>
  <c r="H180" i="5" s="1"/>
  <c r="K269" i="5"/>
  <c r="B298" i="5"/>
  <c r="B299" i="5" s="1"/>
  <c r="G296" i="5"/>
  <c r="K346" i="5"/>
  <c r="K348" i="5"/>
  <c r="H18" i="4"/>
  <c r="D18" i="4"/>
  <c r="G18" i="4"/>
  <c r="C21" i="4"/>
  <c r="K267" i="4"/>
  <c r="K269" i="4"/>
  <c r="K350" i="4"/>
  <c r="K661" i="4"/>
  <c r="K740" i="4"/>
  <c r="K747" i="4"/>
  <c r="K749" i="4"/>
  <c r="F12" i="5"/>
  <c r="F18" i="5"/>
  <c r="K189" i="5"/>
  <c r="B219" i="4"/>
  <c r="B220" i="4" s="1"/>
  <c r="G217" i="4"/>
  <c r="B377" i="4"/>
  <c r="B378" i="4" s="1"/>
  <c r="G375" i="4"/>
  <c r="B455" i="4"/>
  <c r="B456" i="4" s="1"/>
  <c r="G453" i="4"/>
  <c r="B595" i="4"/>
  <c r="B625" i="4" s="1"/>
  <c r="W14" i="4" s="1"/>
  <c r="B624" i="4"/>
  <c r="N573" i="4"/>
  <c r="H573" i="4" s="1"/>
  <c r="N652" i="4"/>
  <c r="H652" i="4" s="1"/>
  <c r="B782" i="4"/>
  <c r="E19" i="5"/>
  <c r="H19" i="5"/>
  <c r="D19" i="5"/>
  <c r="G19" i="5"/>
  <c r="C19" i="5"/>
  <c r="B377" i="5"/>
  <c r="B378" i="5" s="1"/>
  <c r="G375" i="5"/>
  <c r="B753" i="5"/>
  <c r="B783" i="5" s="1"/>
  <c r="W16" i="5" s="1"/>
  <c r="B782" i="5"/>
  <c r="Q7" i="6"/>
  <c r="G13" i="7" s="1"/>
  <c r="D21" i="5"/>
  <c r="K350" i="5"/>
  <c r="K427" i="5"/>
  <c r="K502" i="5"/>
  <c r="G531" i="5"/>
  <c r="N573" i="5"/>
  <c r="H573" i="5" s="1"/>
  <c r="B612" i="5"/>
  <c r="B613" i="5" s="1"/>
  <c r="G610" i="5"/>
  <c r="B674" i="5"/>
  <c r="B704" i="5" s="1"/>
  <c r="W15" i="5" s="1"/>
  <c r="K742" i="5"/>
  <c r="K744" i="5"/>
  <c r="G88" i="7"/>
  <c r="C14" i="7"/>
  <c r="F14" i="7"/>
  <c r="D14" i="7"/>
  <c r="G16" i="7"/>
  <c r="C16" i="7"/>
  <c r="F16" i="7"/>
  <c r="D16" i="7"/>
  <c r="B377" i="7"/>
  <c r="B378" i="7" s="1"/>
  <c r="G375" i="7"/>
  <c r="B595" i="5"/>
  <c r="B625" i="5" s="1"/>
  <c r="W14" i="5" s="1"/>
  <c r="Q27" i="6"/>
  <c r="K426" i="5"/>
  <c r="N652" i="5"/>
  <c r="H652" i="5" s="1"/>
  <c r="B703" i="5"/>
  <c r="N731" i="5"/>
  <c r="H731" i="5" s="1"/>
  <c r="K743" i="5"/>
  <c r="K750" i="5"/>
  <c r="B770" i="5"/>
  <c r="B771" i="5" s="1"/>
  <c r="B24" i="6"/>
  <c r="AE40" i="6"/>
  <c r="AG40" i="6"/>
  <c r="H8" i="6"/>
  <c r="O12" i="6" s="1"/>
  <c r="H7" i="6"/>
  <c r="O11" i="6" s="1"/>
  <c r="H9" i="6"/>
  <c r="O13" i="6" s="1"/>
  <c r="H12" i="6"/>
  <c r="O23" i="6" s="1"/>
  <c r="H11" i="6"/>
  <c r="O22" i="6" s="1"/>
  <c r="H10" i="6"/>
  <c r="O21" i="6" s="1"/>
  <c r="S16" i="6"/>
  <c r="T16" i="6" s="1"/>
  <c r="F16" i="6"/>
  <c r="E92" i="7"/>
  <c r="U25" i="6"/>
  <c r="F18" i="6"/>
  <c r="D19" i="7"/>
  <c r="G19" i="7"/>
  <c r="F21" i="7"/>
  <c r="G90" i="7"/>
  <c r="C13" i="7"/>
  <c r="C15" i="7"/>
  <c r="G17" i="7"/>
  <c r="C17" i="7"/>
  <c r="D12" i="7"/>
  <c r="D13" i="7"/>
  <c r="D15" i="7"/>
  <c r="D17" i="7"/>
  <c r="D18" i="7"/>
  <c r="G18" i="7"/>
  <c r="C21" i="7"/>
  <c r="K188" i="7"/>
  <c r="K270" i="7"/>
  <c r="B298" i="7"/>
  <c r="B299" i="7" s="1"/>
  <c r="K346" i="7"/>
  <c r="K504" i="7"/>
  <c r="K583" i="7"/>
  <c r="K739" i="7"/>
  <c r="B752" i="7" s="1"/>
  <c r="K746" i="7"/>
  <c r="K748" i="7"/>
  <c r="K268" i="7"/>
  <c r="K349" i="7"/>
  <c r="K425" i="7"/>
  <c r="K427" i="7"/>
  <c r="K502" i="7"/>
  <c r="G531" i="7"/>
  <c r="B612" i="7"/>
  <c r="B613" i="7" s="1"/>
  <c r="G610" i="7"/>
  <c r="B674" i="7"/>
  <c r="B704" i="7" s="1"/>
  <c r="K742" i="7"/>
  <c r="K744" i="7"/>
  <c r="K189" i="7"/>
  <c r="K582" i="7"/>
  <c r="B595" i="7"/>
  <c r="B625" i="7" s="1"/>
  <c r="K660" i="7"/>
  <c r="K740" i="7"/>
  <c r="K747" i="7"/>
  <c r="B770" i="7"/>
  <c r="B771" i="7" s="1"/>
  <c r="H22" i="7" l="1"/>
  <c r="Q18" i="6"/>
  <c r="Q17" i="6"/>
  <c r="G84" i="7" s="1"/>
  <c r="Q8" i="6"/>
  <c r="G14" i="7" s="1"/>
  <c r="Q19" i="6"/>
  <c r="G86" i="7" s="1"/>
  <c r="Q6" i="6"/>
  <c r="G12" i="7" s="1"/>
  <c r="Q9" i="6"/>
  <c r="R9" i="6" s="1"/>
  <c r="H15" i="7" s="1"/>
  <c r="Q26" i="6"/>
  <c r="R26" i="6" s="1"/>
  <c r="B19" i="8" s="1"/>
  <c r="Q28" i="6"/>
  <c r="Q29" i="6"/>
  <c r="R29" i="6" s="1"/>
  <c r="B8" i="6"/>
  <c r="F24" i="6" s="1"/>
  <c r="C43" i="6"/>
  <c r="O14" i="6"/>
  <c r="B27" i="11"/>
  <c r="AO42" i="12"/>
  <c r="AO31" i="11"/>
  <c r="AY31" i="11" s="1"/>
  <c r="CO30" i="11" s="1"/>
  <c r="AO19" i="12"/>
  <c r="AY19" i="12" s="1"/>
  <c r="CO18" i="12" s="1"/>
  <c r="AO33" i="12"/>
  <c r="AY33" i="12" s="1"/>
  <c r="CO32" i="12" s="1"/>
  <c r="AY26" i="12"/>
  <c r="CO25" i="12" s="1"/>
  <c r="F109" i="14"/>
  <c r="T28" i="12"/>
  <c r="AO32" i="12" s="1"/>
  <c r="AY32" i="12" s="1"/>
  <c r="CO31" i="12" s="1"/>
  <c r="Q28" i="12"/>
  <c r="J109" i="14" s="1"/>
  <c r="AO27" i="12"/>
  <c r="R28" i="12"/>
  <c r="S28" i="12" s="1"/>
  <c r="AO38" i="12"/>
  <c r="AY38" i="12" s="1"/>
  <c r="CO37" i="12" s="1"/>
  <c r="F24" i="11"/>
  <c r="G35" i="11"/>
  <c r="B133" i="13" s="1"/>
  <c r="B145" i="13" s="1"/>
  <c r="B147" i="13" s="1"/>
  <c r="B146" i="13" s="1"/>
  <c r="AO47" i="11"/>
  <c r="AY43" i="11"/>
  <c r="CO42" i="11" s="1"/>
  <c r="AO4" i="11"/>
  <c r="AO23" i="11"/>
  <c r="AY23" i="11" s="1"/>
  <c r="CO22" i="11" s="1"/>
  <c r="S6" i="11"/>
  <c r="J33" i="14"/>
  <c r="J108" i="14"/>
  <c r="B121" i="14" s="1"/>
  <c r="G35" i="12"/>
  <c r="B133" i="14" s="1"/>
  <c r="B145" i="14" s="1"/>
  <c r="B147" i="14" s="1"/>
  <c r="B146" i="14" s="1"/>
  <c r="F24" i="12"/>
  <c r="AO31" i="12"/>
  <c r="AY31" i="12" s="1"/>
  <c r="CO30" i="12" s="1"/>
  <c r="Q27" i="12"/>
  <c r="J34" i="14" s="1"/>
  <c r="S26" i="11"/>
  <c r="S26" i="12"/>
  <c r="H12" i="14"/>
  <c r="S6" i="12"/>
  <c r="AO45" i="11"/>
  <c r="AY45" i="11" s="1"/>
  <c r="CO44" i="11" s="1"/>
  <c r="AO44" i="11"/>
  <c r="AY44" i="11" s="1"/>
  <c r="CO43" i="11" s="1"/>
  <c r="AY48" i="11"/>
  <c r="CO47" i="11" s="1"/>
  <c r="AO50" i="11"/>
  <c r="F34" i="13"/>
  <c r="R27" i="11"/>
  <c r="S27" i="11" s="1"/>
  <c r="AO21" i="11"/>
  <c r="AY21" i="11" s="1"/>
  <c r="CO20" i="11" s="1"/>
  <c r="T27" i="11"/>
  <c r="AO11" i="11" s="1"/>
  <c r="AY11" i="11" s="1"/>
  <c r="CO10" i="11" s="1"/>
  <c r="AO5" i="11"/>
  <c r="Q27" i="11"/>
  <c r="J34" i="13" s="1"/>
  <c r="E14" i="13"/>
  <c r="R8" i="11"/>
  <c r="S8" i="11" s="1"/>
  <c r="T8" i="11"/>
  <c r="P40" i="11" s="1"/>
  <c r="Q8" i="11"/>
  <c r="H14" i="13" s="1"/>
  <c r="AO45" i="12"/>
  <c r="AY45" i="12" s="1"/>
  <c r="CO44" i="12" s="1"/>
  <c r="AO44" i="12"/>
  <c r="AY44" i="12" s="1"/>
  <c r="CO43" i="12" s="1"/>
  <c r="AY26" i="11"/>
  <c r="CO25" i="11" s="1"/>
  <c r="AO33" i="11"/>
  <c r="AY33" i="11" s="1"/>
  <c r="CO32" i="11" s="1"/>
  <c r="AO9" i="12"/>
  <c r="AY9" i="12" s="1"/>
  <c r="CO8" i="12" s="1"/>
  <c r="B51" i="14"/>
  <c r="B35" i="12"/>
  <c r="AO28" i="12"/>
  <c r="B35" i="11"/>
  <c r="B51" i="13"/>
  <c r="B58" i="13" s="1"/>
  <c r="AO9" i="11"/>
  <c r="AY9" i="11" s="1"/>
  <c r="CO8" i="11" s="1"/>
  <c r="B55" i="14"/>
  <c r="AO20" i="11"/>
  <c r="AY20" i="11" s="1"/>
  <c r="CO19" i="11" s="1"/>
  <c r="AO24" i="11"/>
  <c r="AY24" i="11" s="1"/>
  <c r="CO23" i="11" s="1"/>
  <c r="T14" i="11"/>
  <c r="Q14" i="11"/>
  <c r="G28" i="13" s="1"/>
  <c r="R14" i="11"/>
  <c r="E28" i="13"/>
  <c r="I28" i="13"/>
  <c r="J28" i="13" s="1"/>
  <c r="L28" i="13" s="1"/>
  <c r="N28" i="13" s="1"/>
  <c r="H28" i="13" s="1"/>
  <c r="AO7" i="11"/>
  <c r="AO23" i="12"/>
  <c r="AY23" i="12" s="1"/>
  <c r="CO22" i="12" s="1"/>
  <c r="T8" i="12"/>
  <c r="AO10" i="12" s="1"/>
  <c r="AY10" i="12" s="1"/>
  <c r="CO9" i="12" s="1"/>
  <c r="E14" i="14"/>
  <c r="Q8" i="12"/>
  <c r="H14" i="14" s="1"/>
  <c r="R8" i="12"/>
  <c r="S8" i="12" s="1"/>
  <c r="AO42" i="11"/>
  <c r="J33" i="13"/>
  <c r="J108" i="13"/>
  <c r="AO6" i="11"/>
  <c r="AO19" i="11"/>
  <c r="AY19" i="11" s="1"/>
  <c r="CO18" i="11" s="1"/>
  <c r="H12" i="13"/>
  <c r="AO43" i="12"/>
  <c r="AO50" i="12"/>
  <c r="AY48" i="12"/>
  <c r="CO47" i="12" s="1"/>
  <c r="AO35" i="11"/>
  <c r="AY35" i="11" s="1"/>
  <c r="CO34" i="11" s="1"/>
  <c r="AY28" i="11"/>
  <c r="CO27" i="11" s="1"/>
  <c r="AO27" i="11"/>
  <c r="Q28" i="11"/>
  <c r="J109" i="13" s="1"/>
  <c r="F109" i="13"/>
  <c r="AO38" i="11"/>
  <c r="AY38" i="11" s="1"/>
  <c r="CO37" i="11" s="1"/>
  <c r="T28" i="11"/>
  <c r="AO32" i="11" s="1"/>
  <c r="AY32" i="11" s="1"/>
  <c r="CO31" i="11" s="1"/>
  <c r="R28" i="11"/>
  <c r="S28" i="11" s="1"/>
  <c r="I28" i="14"/>
  <c r="J28" i="14" s="1"/>
  <c r="L28" i="14" s="1"/>
  <c r="N28" i="14" s="1"/>
  <c r="H28" i="14" s="1"/>
  <c r="AO20" i="12"/>
  <c r="AY20" i="12" s="1"/>
  <c r="CO19" i="12" s="1"/>
  <c r="R14" i="12"/>
  <c r="AO24" i="12"/>
  <c r="AY24" i="12" s="1"/>
  <c r="CO23" i="12" s="1"/>
  <c r="E28" i="14"/>
  <c r="Q14" i="12"/>
  <c r="G28" i="14" s="1"/>
  <c r="T14" i="12"/>
  <c r="U9" i="6"/>
  <c r="S9" i="6"/>
  <c r="T9" i="6" s="1"/>
  <c r="N28" i="5"/>
  <c r="H28" i="5" s="1"/>
  <c r="U20" i="6"/>
  <c r="S20" i="6"/>
  <c r="T20" i="6" s="1"/>
  <c r="S25" i="6"/>
  <c r="B33" i="8" s="1"/>
  <c r="R15" i="6"/>
  <c r="H21" i="7" s="1"/>
  <c r="G21" i="7"/>
  <c r="D33" i="8"/>
  <c r="Q25" i="6"/>
  <c r="R25" i="6" s="1"/>
  <c r="R10" i="6"/>
  <c r="T9" i="1"/>
  <c r="P40" i="1" s="1"/>
  <c r="R9" i="1"/>
  <c r="S9" i="1" s="1"/>
  <c r="N27" i="1"/>
  <c r="T27" i="1" s="1"/>
  <c r="P41" i="1" s="1"/>
  <c r="D4" i="3"/>
  <c r="B25" i="2"/>
  <c r="B39" i="3"/>
  <c r="F21" i="2"/>
  <c r="H16" i="7"/>
  <c r="G245" i="7"/>
  <c r="G245" i="4"/>
  <c r="G245" i="5"/>
  <c r="Q19" i="2"/>
  <c r="H86" i="5"/>
  <c r="G28" i="4"/>
  <c r="H86" i="4"/>
  <c r="B359" i="5"/>
  <c r="G400" i="7"/>
  <c r="G400" i="4"/>
  <c r="G400" i="5"/>
  <c r="Q25" i="2"/>
  <c r="G478" i="7"/>
  <c r="G479" i="7"/>
  <c r="G478" i="5"/>
  <c r="G479" i="5"/>
  <c r="G478" i="4"/>
  <c r="G479" i="4"/>
  <c r="Q28" i="2"/>
  <c r="I34" i="7"/>
  <c r="G87" i="7"/>
  <c r="R20" i="6"/>
  <c r="H87" i="7" s="1"/>
  <c r="G137" i="4"/>
  <c r="B359" i="7"/>
  <c r="B50" i="3"/>
  <c r="D30" i="3"/>
  <c r="B41" i="3"/>
  <c r="F17" i="2"/>
  <c r="D6" i="3"/>
  <c r="F19" i="2"/>
  <c r="F18" i="2"/>
  <c r="N42" i="1"/>
  <c r="S14" i="1"/>
  <c r="G243" i="7"/>
  <c r="G243" i="4"/>
  <c r="G243" i="5"/>
  <c r="Q17" i="2"/>
  <c r="B66" i="7"/>
  <c r="B68" i="7" s="1"/>
  <c r="B67" i="7" s="1"/>
  <c r="G34" i="6"/>
  <c r="B54" i="7" s="1"/>
  <c r="B34" i="6"/>
  <c r="H85" i="5"/>
  <c r="H85" i="4"/>
  <c r="G164" i="7"/>
  <c r="G164" i="4"/>
  <c r="G164" i="5"/>
  <c r="Q15" i="2"/>
  <c r="G402" i="7"/>
  <c r="G402" i="5"/>
  <c r="G402" i="4"/>
  <c r="Q27" i="2"/>
  <c r="G14" i="5"/>
  <c r="Q8" i="1"/>
  <c r="H14" i="5" s="1"/>
  <c r="H246" i="7"/>
  <c r="H246" i="5"/>
  <c r="H246" i="4"/>
  <c r="G4" i="6"/>
  <c r="E91" i="7"/>
  <c r="U24" i="6"/>
  <c r="R24" i="6"/>
  <c r="H91" i="7" s="1"/>
  <c r="S24" i="6"/>
  <c r="T24" i="6" s="1"/>
  <c r="B121" i="4"/>
  <c r="G21" i="5"/>
  <c r="Q15" i="1"/>
  <c r="H21" i="5" s="1"/>
  <c r="S10" i="6"/>
  <c r="T10" i="6" s="1"/>
  <c r="U10" i="6"/>
  <c r="E16" i="7"/>
  <c r="B121" i="5"/>
  <c r="S6" i="1"/>
  <c r="G15" i="5"/>
  <c r="Q9" i="1"/>
  <c r="H15" i="5" s="1"/>
  <c r="B753" i="7"/>
  <c r="B783" i="7" s="1"/>
  <c r="B782" i="7"/>
  <c r="I109" i="7"/>
  <c r="G85" i="7"/>
  <c r="H12" i="5"/>
  <c r="B60" i="4"/>
  <c r="B61" i="4" s="1"/>
  <c r="B8" i="2"/>
  <c r="G35" i="2" s="1"/>
  <c r="B44" i="3"/>
  <c r="F108" i="7"/>
  <c r="S26" i="6"/>
  <c r="F33" i="7"/>
  <c r="U26" i="6"/>
  <c r="B359" i="4"/>
  <c r="H401" i="7"/>
  <c r="H401" i="5"/>
  <c r="H401" i="4"/>
  <c r="F22" i="2"/>
  <c r="G13" i="5"/>
  <c r="Q7" i="1"/>
  <c r="H13" i="5" s="1"/>
  <c r="AP44" i="6" l="1"/>
  <c r="DL75" i="6" s="1"/>
  <c r="AP45" i="6"/>
  <c r="DL76" i="6" s="1"/>
  <c r="G15" i="7"/>
  <c r="AZ24" i="6"/>
  <c r="CP23" i="6" s="1"/>
  <c r="I108" i="7"/>
  <c r="I33" i="7"/>
  <c r="F11" i="6"/>
  <c r="R34" i="6"/>
  <c r="G35" i="6"/>
  <c r="B133" i="7" s="1"/>
  <c r="B145" i="7" s="1"/>
  <c r="B147" i="7" s="1"/>
  <c r="B146" i="7" s="1"/>
  <c r="O7" i="6"/>
  <c r="O30" i="6" s="1"/>
  <c r="O18" i="6"/>
  <c r="E85" i="7" s="1"/>
  <c r="O6" i="6"/>
  <c r="O17" i="6"/>
  <c r="Q32" i="12"/>
  <c r="Q33" i="11"/>
  <c r="G92" i="7"/>
  <c r="R27" i="12"/>
  <c r="S27" i="12" s="1"/>
  <c r="AO46" i="12"/>
  <c r="AY46" i="12" s="1"/>
  <c r="CO45" i="12" s="1"/>
  <c r="AY42" i="12"/>
  <c r="CO41" i="12" s="1"/>
  <c r="N35" i="11"/>
  <c r="AO7" i="12"/>
  <c r="AY7" i="12" s="1"/>
  <c r="T27" i="12"/>
  <c r="AO5" i="12"/>
  <c r="AO15" i="12" s="1"/>
  <c r="AO4" i="12"/>
  <c r="N41" i="12"/>
  <c r="F34" i="14"/>
  <c r="AO21" i="12"/>
  <c r="AY21" i="12" s="1"/>
  <c r="CO20" i="12" s="1"/>
  <c r="AO6" i="12"/>
  <c r="B121" i="13"/>
  <c r="B122" i="13" s="1"/>
  <c r="B58" i="14"/>
  <c r="G58" i="14" s="1"/>
  <c r="P42" i="12"/>
  <c r="AO12" i="12"/>
  <c r="AY12" i="12" s="1"/>
  <c r="CO11" i="12" s="1"/>
  <c r="N42" i="12"/>
  <c r="S14" i="12"/>
  <c r="AY7" i="11"/>
  <c r="AO17" i="11"/>
  <c r="AO35" i="12"/>
  <c r="AY35" i="12" s="1"/>
  <c r="CO34" i="12" s="1"/>
  <c r="AY28" i="12"/>
  <c r="CO27" i="12" s="1"/>
  <c r="B42" i="13"/>
  <c r="P41" i="11"/>
  <c r="AY4" i="11"/>
  <c r="AO14" i="11"/>
  <c r="P40" i="12"/>
  <c r="AY27" i="11"/>
  <c r="CO26" i="11" s="1"/>
  <c r="AO34" i="11"/>
  <c r="AY34" i="11" s="1"/>
  <c r="CO33" i="11" s="1"/>
  <c r="AY50" i="12"/>
  <c r="CO49" i="12" s="1"/>
  <c r="AO49" i="12"/>
  <c r="AY49" i="12" s="1"/>
  <c r="CO48" i="12" s="1"/>
  <c r="P42" i="11"/>
  <c r="AO12" i="11"/>
  <c r="AY12" i="11" s="1"/>
  <c r="CO11" i="11" s="1"/>
  <c r="AO30" i="12"/>
  <c r="AY30" i="12" s="1"/>
  <c r="CO29" i="12" s="1"/>
  <c r="B130" i="14"/>
  <c r="AY5" i="11"/>
  <c r="AO15" i="11"/>
  <c r="AO10" i="11"/>
  <c r="AY10" i="11" s="1"/>
  <c r="CO9" i="11" s="1"/>
  <c r="N40" i="11"/>
  <c r="AO55" i="11"/>
  <c r="AO55" i="12"/>
  <c r="AO47" i="12"/>
  <c r="AY43" i="12"/>
  <c r="CO42" i="12" s="1"/>
  <c r="AO46" i="11"/>
  <c r="AO54" i="11"/>
  <c r="AY42" i="11"/>
  <c r="CO41" i="11" s="1"/>
  <c r="G58" i="13"/>
  <c r="B60" i="13"/>
  <c r="B61" i="13" s="1"/>
  <c r="AO49" i="11"/>
  <c r="AY49" i="11" s="1"/>
  <c r="CO48" i="11" s="1"/>
  <c r="AY50" i="11"/>
  <c r="CO49" i="11" s="1"/>
  <c r="N35" i="12"/>
  <c r="B122" i="14"/>
  <c r="N41" i="11"/>
  <c r="B42" i="14"/>
  <c r="AO34" i="12"/>
  <c r="AY34" i="12" s="1"/>
  <c r="CO33" i="12" s="1"/>
  <c r="AY27" i="12"/>
  <c r="CO26" i="12" s="1"/>
  <c r="AO16" i="11"/>
  <c r="AY6" i="11"/>
  <c r="S14" i="11"/>
  <c r="N42" i="11"/>
  <c r="B134" i="14"/>
  <c r="B130" i="13"/>
  <c r="B137" i="13" s="1"/>
  <c r="AO30" i="11"/>
  <c r="AY30" i="11" s="1"/>
  <c r="CO29" i="11" s="1"/>
  <c r="N40" i="12"/>
  <c r="AY47" i="11"/>
  <c r="CO46" i="11" s="1"/>
  <c r="J33" i="7"/>
  <c r="T25" i="6"/>
  <c r="J108" i="7"/>
  <c r="F8" i="6"/>
  <c r="F10" i="6"/>
  <c r="AZ20" i="6"/>
  <c r="CP19" i="6" s="1"/>
  <c r="AZ48" i="6"/>
  <c r="CP47" i="6" s="1"/>
  <c r="B51" i="7"/>
  <c r="AZ9" i="6"/>
  <c r="CP8" i="6" s="1"/>
  <c r="S6" i="6"/>
  <c r="T6" i="6" s="1"/>
  <c r="E12" i="7"/>
  <c r="N40" i="1"/>
  <c r="R6" i="6"/>
  <c r="U7" i="6"/>
  <c r="R27" i="1"/>
  <c r="S27" i="1" s="1"/>
  <c r="Q27" i="1"/>
  <c r="Q31" i="1" s="1"/>
  <c r="B42" i="5"/>
  <c r="B43" i="5" s="1"/>
  <c r="B73" i="5" s="1"/>
  <c r="W7" i="5" s="1"/>
  <c r="D20" i="8"/>
  <c r="E89" i="7"/>
  <c r="U22" i="6"/>
  <c r="S22" i="6"/>
  <c r="T22" i="6" s="1"/>
  <c r="R22" i="6"/>
  <c r="H89" i="7" s="1"/>
  <c r="H243" i="7"/>
  <c r="B280" i="7" s="1"/>
  <c r="H243" i="4"/>
  <c r="H243" i="5"/>
  <c r="B42" i="4"/>
  <c r="B54" i="4"/>
  <c r="B35" i="2"/>
  <c r="H402" i="7"/>
  <c r="H402" i="5"/>
  <c r="H402" i="4"/>
  <c r="H164" i="5"/>
  <c r="B201" i="5" s="1"/>
  <c r="H164" i="7"/>
  <c r="B201" i="7" s="1"/>
  <c r="H164" i="4"/>
  <c r="B201" i="4" s="1"/>
  <c r="H21" i="4"/>
  <c r="B360" i="7"/>
  <c r="B390" i="7" s="1"/>
  <c r="B389" i="7"/>
  <c r="B52" i="3"/>
  <c r="D32" i="3"/>
  <c r="B389" i="4"/>
  <c r="B360" i="4"/>
  <c r="B390" i="4" s="1"/>
  <c r="W11" i="4" s="1"/>
  <c r="S23" i="6"/>
  <c r="T23" i="6" s="1"/>
  <c r="U23" i="6"/>
  <c r="E90" i="7"/>
  <c r="R23" i="6"/>
  <c r="H90" i="7" s="1"/>
  <c r="Q31" i="2"/>
  <c r="U11" i="6"/>
  <c r="S11" i="6"/>
  <c r="T11" i="6" s="1"/>
  <c r="R11" i="6"/>
  <c r="E17" i="7"/>
  <c r="D29" i="3"/>
  <c r="B49" i="3"/>
  <c r="U13" i="6"/>
  <c r="S13" i="6"/>
  <c r="T13" i="6" s="1"/>
  <c r="R13" i="6"/>
  <c r="H19" i="7" s="1"/>
  <c r="E19" i="7"/>
  <c r="H479" i="7"/>
  <c r="H478" i="7"/>
  <c r="B515" i="7" s="1"/>
  <c r="H479" i="5"/>
  <c r="H478" i="4"/>
  <c r="H478" i="5"/>
  <c r="H479" i="4"/>
  <c r="D31" i="3"/>
  <c r="B51" i="3"/>
  <c r="H92" i="7"/>
  <c r="B26" i="8"/>
  <c r="B122" i="5"/>
  <c r="B152" i="5" s="1"/>
  <c r="W8" i="5" s="1"/>
  <c r="B151" i="5"/>
  <c r="E28" i="7"/>
  <c r="U14" i="6"/>
  <c r="AP12" i="6" s="1"/>
  <c r="DL27" i="6" s="1"/>
  <c r="I28" i="7"/>
  <c r="S14" i="6"/>
  <c r="R14" i="6"/>
  <c r="B122" i="4"/>
  <c r="B152" i="4" s="1"/>
  <c r="W8" i="4" s="1"/>
  <c r="B151" i="4"/>
  <c r="F20" i="6"/>
  <c r="F21" i="6"/>
  <c r="F22" i="6"/>
  <c r="F13" i="6"/>
  <c r="F6" i="6"/>
  <c r="B12" i="8"/>
  <c r="D12" i="8" s="1"/>
  <c r="B35" i="6"/>
  <c r="D27" i="3"/>
  <c r="B47" i="3"/>
  <c r="E88" i="7"/>
  <c r="S21" i="6"/>
  <c r="T21" i="6" s="1"/>
  <c r="U21" i="6"/>
  <c r="R21" i="6"/>
  <c r="B20" i="8"/>
  <c r="T26" i="6"/>
  <c r="F12" i="6"/>
  <c r="U12" i="6"/>
  <c r="E18" i="7"/>
  <c r="S12" i="6"/>
  <c r="T12" i="6" s="1"/>
  <c r="R12" i="6"/>
  <c r="H18" i="7" s="1"/>
  <c r="N35" i="1"/>
  <c r="F7" i="6"/>
  <c r="B48" i="3"/>
  <c r="D28" i="3"/>
  <c r="F9" i="6"/>
  <c r="H400" i="7"/>
  <c r="H400" i="5"/>
  <c r="H400" i="4"/>
  <c r="B437" i="4" s="1"/>
  <c r="B389" i="5"/>
  <c r="B360" i="5"/>
  <c r="B390" i="5" s="1"/>
  <c r="W11" i="5" s="1"/>
  <c r="H245" i="7"/>
  <c r="H245" i="4"/>
  <c r="H245" i="5"/>
  <c r="AP22" i="6" l="1"/>
  <c r="DL35" i="6" s="1"/>
  <c r="AZ44" i="6"/>
  <c r="CP43" i="6" s="1"/>
  <c r="AP39" i="6"/>
  <c r="DL72" i="6" s="1"/>
  <c r="AZ45" i="6"/>
  <c r="CP44" i="6" s="1"/>
  <c r="E13" i="7"/>
  <c r="R7" i="6"/>
  <c r="H13" i="7" s="1"/>
  <c r="S7" i="6"/>
  <c r="T7" i="6" s="1"/>
  <c r="AZ12" i="6"/>
  <c r="CP11" i="6" s="1"/>
  <c r="B6" i="8"/>
  <c r="S17" i="6"/>
  <c r="T17" i="6" s="1"/>
  <c r="U17" i="6"/>
  <c r="U6" i="6"/>
  <c r="U18" i="6"/>
  <c r="R17" i="6"/>
  <c r="H84" i="7" s="1"/>
  <c r="E84" i="7"/>
  <c r="S18" i="6"/>
  <c r="T18" i="6" s="1"/>
  <c r="S30" i="6"/>
  <c r="T30" i="6" s="1"/>
  <c r="U30" i="6"/>
  <c r="R30" i="6"/>
  <c r="AP21" i="6" s="1"/>
  <c r="DL34" i="6" s="1"/>
  <c r="O19" i="6"/>
  <c r="B25" i="8" s="1"/>
  <c r="O31" i="6"/>
  <c r="R18" i="6"/>
  <c r="H85" i="7" s="1"/>
  <c r="O8" i="6"/>
  <c r="AO17" i="12"/>
  <c r="B60" i="14"/>
  <c r="B61" i="14" s="1"/>
  <c r="AY5" i="12"/>
  <c r="CO4" i="12" s="1"/>
  <c r="AO54" i="12"/>
  <c r="AO16" i="12"/>
  <c r="AY6" i="12"/>
  <c r="AO14" i="12"/>
  <c r="AY4" i="12"/>
  <c r="AO11" i="12"/>
  <c r="AY11" i="12" s="1"/>
  <c r="CO10" i="12" s="1"/>
  <c r="P41" i="12"/>
  <c r="B137" i="14"/>
  <c r="B139" i="14" s="1"/>
  <c r="AO57" i="11"/>
  <c r="B43" i="14"/>
  <c r="B73" i="14" s="1"/>
  <c r="W7" i="14" s="1"/>
  <c r="B72" i="14"/>
  <c r="CO4" i="11"/>
  <c r="AY15" i="11"/>
  <c r="CO14" i="11" s="1"/>
  <c r="AY15" i="12"/>
  <c r="CO14" i="12" s="1"/>
  <c r="G137" i="13"/>
  <c r="AY16" i="11"/>
  <c r="CO15" i="11" s="1"/>
  <c r="CO5" i="11"/>
  <c r="AY17" i="12"/>
  <c r="CO16" i="12" s="1"/>
  <c r="CO6" i="12"/>
  <c r="AO56" i="11"/>
  <c r="AY46" i="11"/>
  <c r="CO45" i="11" s="1"/>
  <c r="AY17" i="11"/>
  <c r="CO16" i="11" s="1"/>
  <c r="CO6" i="11"/>
  <c r="AY47" i="12"/>
  <c r="CO46" i="12" s="1"/>
  <c r="AO57" i="12"/>
  <c r="CO3" i="11"/>
  <c r="AY14" i="11"/>
  <c r="CO13" i="11" s="1"/>
  <c r="B72" i="13"/>
  <c r="B43" i="13"/>
  <c r="B73" i="13" s="1"/>
  <c r="W7" i="13" s="1"/>
  <c r="AZ30" i="6"/>
  <c r="CP29" i="6" s="1"/>
  <c r="AZ49" i="6"/>
  <c r="CP48" i="6" s="1"/>
  <c r="AZ50" i="6"/>
  <c r="CP49" i="6" s="1"/>
  <c r="H12" i="7"/>
  <c r="N41" i="1"/>
  <c r="B58" i="7"/>
  <c r="G58" i="7" s="1"/>
  <c r="B72" i="5"/>
  <c r="B281" i="7"/>
  <c r="B311" i="7" s="1"/>
  <c r="B310" i="7"/>
  <c r="B437" i="5"/>
  <c r="B7" i="8"/>
  <c r="G28" i="7"/>
  <c r="H17" i="7"/>
  <c r="I5" i="8"/>
  <c r="O36" i="6"/>
  <c r="B437" i="7"/>
  <c r="B31" i="8"/>
  <c r="B130" i="7"/>
  <c r="H88" i="7"/>
  <c r="I24" i="8"/>
  <c r="J28" i="7"/>
  <c r="L28" i="7" s="1"/>
  <c r="N28" i="7" s="1"/>
  <c r="H28" i="7" s="1"/>
  <c r="B515" i="4"/>
  <c r="G58" i="5"/>
  <c r="G58" i="4"/>
  <c r="B280" i="4"/>
  <c r="B438" i="4"/>
  <c r="B468" i="4" s="1"/>
  <c r="W12" i="4" s="1"/>
  <c r="B467" i="4"/>
  <c r="D14" i="8"/>
  <c r="Q42" i="6"/>
  <c r="B231" i="4"/>
  <c r="B202" i="4"/>
  <c r="B232" i="4" s="1"/>
  <c r="W9" i="4" s="1"/>
  <c r="W18" i="5"/>
  <c r="V31" i="5" s="1"/>
  <c r="W21" i="5"/>
  <c r="B516" i="7"/>
  <c r="B546" i="7" s="1"/>
  <c r="B545" i="7"/>
  <c r="B202" i="7"/>
  <c r="B232" i="7" s="1"/>
  <c r="B231" i="7"/>
  <c r="B72" i="4"/>
  <c r="B43" i="4"/>
  <c r="B73" i="4" s="1"/>
  <c r="W7" i="4" s="1"/>
  <c r="W18" i="4" s="1"/>
  <c r="V31" i="4" s="1"/>
  <c r="B14" i="8"/>
  <c r="O42" i="6"/>
  <c r="T14" i="6"/>
  <c r="B515" i="5"/>
  <c r="B231" i="5"/>
  <c r="B202" i="5"/>
  <c r="B232" i="5" s="1"/>
  <c r="W9" i="5" s="1"/>
  <c r="B280" i="5"/>
  <c r="AZ37" i="6" l="1"/>
  <c r="CP36" i="6" s="1"/>
  <c r="B32" i="8"/>
  <c r="D32" i="8" s="1"/>
  <c r="AZ19" i="6"/>
  <c r="CP18" i="6" s="1"/>
  <c r="U8" i="6"/>
  <c r="D11" i="8" s="1"/>
  <c r="AZ23" i="6"/>
  <c r="CP22" i="6" s="1"/>
  <c r="S8" i="6"/>
  <c r="T8" i="6" s="1"/>
  <c r="E14" i="7"/>
  <c r="R8" i="6"/>
  <c r="H14" i="7" s="1"/>
  <c r="AZ40" i="6"/>
  <c r="CP39" i="6" s="1"/>
  <c r="B27" i="6"/>
  <c r="O27" i="6"/>
  <c r="B13" i="8"/>
  <c r="D13" i="8" s="1"/>
  <c r="S31" i="6"/>
  <c r="T31" i="6" s="1"/>
  <c r="U31" i="6"/>
  <c r="R31" i="6"/>
  <c r="AP38" i="6" s="1"/>
  <c r="DL71" i="6" s="1"/>
  <c r="O28" i="6"/>
  <c r="U19" i="6"/>
  <c r="AP31" i="6" s="1"/>
  <c r="DL62" i="6" s="1"/>
  <c r="R19" i="6"/>
  <c r="E86" i="7"/>
  <c r="S19" i="6"/>
  <c r="AO56" i="12"/>
  <c r="G137" i="14"/>
  <c r="CO5" i="12"/>
  <c r="AY16" i="12"/>
  <c r="CO15" i="12" s="1"/>
  <c r="AY14" i="12"/>
  <c r="CO13" i="12" s="1"/>
  <c r="CO3" i="12"/>
  <c r="B140" i="13"/>
  <c r="B152" i="13" s="1"/>
  <c r="W8" i="13" s="1"/>
  <c r="W18" i="13" s="1"/>
  <c r="V31" i="13" s="1"/>
  <c r="B151" i="13"/>
  <c r="W21" i="14"/>
  <c r="W21" i="13"/>
  <c r="B140" i="14"/>
  <c r="B152" i="14" s="1"/>
  <c r="W8" i="14" s="1"/>
  <c r="W18" i="14" s="1"/>
  <c r="V31" i="14" s="1"/>
  <c r="B151" i="14"/>
  <c r="B60" i="7"/>
  <c r="B137" i="7"/>
  <c r="Q40" i="6"/>
  <c r="B516" i="5"/>
  <c r="B546" i="5" s="1"/>
  <c r="W13" i="5" s="1"/>
  <c r="B545" i="5"/>
  <c r="B516" i="4"/>
  <c r="B546" i="4" s="1"/>
  <c r="W13" i="4" s="1"/>
  <c r="B545" i="4"/>
  <c r="B438" i="7"/>
  <c r="B468" i="7" s="1"/>
  <c r="B467" i="7"/>
  <c r="B438" i="5"/>
  <c r="B468" i="5" s="1"/>
  <c r="W12" i="5" s="1"/>
  <c r="B467" i="5"/>
  <c r="D31" i="8"/>
  <c r="B281" i="4"/>
  <c r="B311" i="4" s="1"/>
  <c r="W10" i="4" s="1"/>
  <c r="B310" i="4"/>
  <c r="B310" i="5"/>
  <c r="B281" i="5"/>
  <c r="B311" i="5" s="1"/>
  <c r="W10" i="5" s="1"/>
  <c r="AP10" i="6" l="1"/>
  <c r="DL72" i="16"/>
  <c r="AZ39" i="16"/>
  <c r="CP38" i="16" s="1"/>
  <c r="DL72" i="15"/>
  <c r="AZ39" i="15"/>
  <c r="CP38" i="15" s="1"/>
  <c r="U27" i="6"/>
  <c r="F34" i="7"/>
  <c r="B61" i="7"/>
  <c r="AZ21" i="6"/>
  <c r="CP20" i="6" s="1"/>
  <c r="S27" i="6"/>
  <c r="T27" i="6" s="1"/>
  <c r="AZ38" i="6"/>
  <c r="CP37" i="6" s="1"/>
  <c r="F5" i="8"/>
  <c r="B5" i="8" s="1"/>
  <c r="B4" i="8"/>
  <c r="B11" i="8"/>
  <c r="B17" i="8" s="1"/>
  <c r="O40" i="6"/>
  <c r="O35" i="6"/>
  <c r="R27" i="6"/>
  <c r="J34" i="7" s="1"/>
  <c r="S28" i="6"/>
  <c r="T28" i="6" s="1"/>
  <c r="F109" i="7"/>
  <c r="U28" i="6"/>
  <c r="AP32" i="6" s="1"/>
  <c r="DL63" i="6" s="1"/>
  <c r="R28" i="6"/>
  <c r="J109" i="7" s="1"/>
  <c r="D16" i="8"/>
  <c r="H86" i="7"/>
  <c r="B23" i="8"/>
  <c r="T19" i="6"/>
  <c r="B30" i="8"/>
  <c r="AZ31" i="6"/>
  <c r="CP30" i="6" s="1"/>
  <c r="D30" i="8"/>
  <c r="D35" i="8" s="1"/>
  <c r="R33" i="6"/>
  <c r="AZ39" i="6"/>
  <c r="CP38" i="6" s="1"/>
  <c r="AO39" i="12"/>
  <c r="AY39" i="12" s="1"/>
  <c r="CO38" i="12" s="1"/>
  <c r="AO39" i="11"/>
  <c r="AY39" i="11" s="1"/>
  <c r="CO38" i="11" s="1"/>
  <c r="AZ22" i="6"/>
  <c r="CP21" i="6" s="1"/>
  <c r="AO22" i="12"/>
  <c r="AY22" i="12" s="1"/>
  <c r="CO21" i="12" s="1"/>
  <c r="AO22" i="11"/>
  <c r="AY22" i="11" s="1"/>
  <c r="CO21" i="11" s="1"/>
  <c r="AZ6" i="6"/>
  <c r="G137" i="7"/>
  <c r="O41" i="6"/>
  <c r="D17" i="8"/>
  <c r="F24" i="8"/>
  <c r="B24" i="8" s="1"/>
  <c r="B140" i="7"/>
  <c r="AP11" i="6" l="1"/>
  <c r="DL30" i="6" s="1"/>
  <c r="DL29" i="6"/>
  <c r="AZ10" i="6"/>
  <c r="CP9" i="6" s="1"/>
  <c r="AZ42" i="6"/>
  <c r="CP41" i="6" s="1"/>
  <c r="AZ4" i="6"/>
  <c r="Q41" i="6"/>
  <c r="B8" i="8"/>
  <c r="AP54" i="6"/>
  <c r="AZ5" i="6"/>
  <c r="AZ15" i="6" s="1"/>
  <c r="CP14" i="6" s="1"/>
  <c r="B27" i="8"/>
  <c r="AZ7" i="6"/>
  <c r="AZ17" i="6" s="1"/>
  <c r="CP16" i="6" s="1"/>
  <c r="B16" i="8"/>
  <c r="AZ32" i="6"/>
  <c r="CP31" i="6" s="1"/>
  <c r="D36" i="8"/>
  <c r="AZ27" i="6"/>
  <c r="CP26" i="6" s="1"/>
  <c r="AZ34" i="6"/>
  <c r="CP33" i="6" s="1"/>
  <c r="AZ35" i="6"/>
  <c r="CP34" i="6" s="1"/>
  <c r="AZ28" i="6"/>
  <c r="CP27" i="6" s="1"/>
  <c r="AZ43" i="6"/>
  <c r="CP42" i="6" s="1"/>
  <c r="AP55" i="6"/>
  <c r="B121" i="7"/>
  <c r="B35" i="8"/>
  <c r="B36" i="8"/>
  <c r="AZ33" i="6"/>
  <c r="CP32" i="6" s="1"/>
  <c r="AZ26" i="6"/>
  <c r="CP25" i="6" s="1"/>
  <c r="AZ14" i="6"/>
  <c r="CP13" i="6" s="1"/>
  <c r="CP3" i="6"/>
  <c r="AZ16" i="6"/>
  <c r="CP15" i="6" s="1"/>
  <c r="CP5" i="6"/>
  <c r="CP4" i="6"/>
  <c r="AZ46" i="6"/>
  <c r="CP45" i="6" s="1"/>
  <c r="AP56" i="6"/>
  <c r="B42" i="7"/>
  <c r="B43" i="7" s="1"/>
  <c r="B73" i="7" s="1"/>
  <c r="W7" i="7" s="1"/>
  <c r="AZ11" i="6" l="1"/>
  <c r="CP10" i="6" s="1"/>
  <c r="CP6" i="6"/>
  <c r="AZ47" i="6"/>
  <c r="CP46" i="6" s="1"/>
  <c r="AP57" i="6"/>
  <c r="B122" i="7"/>
  <c r="B152" i="7" s="1"/>
  <c r="W8" i="7" s="1"/>
  <c r="W18" i="7" s="1"/>
  <c r="V31" i="7" s="1"/>
  <c r="B151" i="7"/>
  <c r="W21" i="7"/>
  <c r="B72" i="7"/>
</calcChain>
</file>

<file path=xl/comments1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3.xml><?xml version="1.0" encoding="utf-8"?>
<comments xmlns="http://schemas.openxmlformats.org/spreadsheetml/2006/main">
  <authors>
    <author/>
    <author>Glenn Reynders</author>
  </authors>
  <commentList>
    <comment ref="X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3" authorId="1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4.xml><?xml version="1.0" encoding="utf-8"?>
<comments xmlns="http://schemas.openxmlformats.org/spreadsheetml/2006/main">
  <authors>
    <author/>
    <author>Glenn Reynders</author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W52" authorId="1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5.xml><?xml version="1.0" encoding="utf-8"?>
<comments xmlns="http://schemas.openxmlformats.org/spreadsheetml/2006/main">
  <authors>
    <author/>
    <author>Glenn Reynders</author>
  </authors>
  <commentList>
    <comment ref="W2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W2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Z37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Z51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5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W54" authorId="1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6.xml><?xml version="1.0" encoding="utf-8"?>
<comments xmlns="http://schemas.openxmlformats.org/spreadsheetml/2006/main">
  <authors>
    <author/>
    <author>Glenn Reynders</author>
  </authors>
  <commentList>
    <comment ref="X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3" authorId="1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7.xml><?xml version="1.0" encoding="utf-8"?>
<comments xmlns="http://schemas.openxmlformats.org/spreadsheetml/2006/main">
  <authors>
    <author/>
    <author>Glenn Reynders</author>
  </authors>
  <commentList>
    <comment ref="X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2" authorId="1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sharedStrings.xml><?xml version="1.0" encoding="utf-8"?>
<sst xmlns="http://schemas.openxmlformats.org/spreadsheetml/2006/main" count="19513" uniqueCount="521">
  <si>
    <t>Thermal properties: Detached Single Family House before1945</t>
  </si>
  <si>
    <t>Global geometrical data</t>
  </si>
  <si>
    <t>Surface properties</t>
  </si>
  <si>
    <t>Component properties</t>
  </si>
  <si>
    <t>Tabula</t>
  </si>
  <si>
    <t>W/m²K</t>
  </si>
  <si>
    <t>Protected volume</t>
  </si>
  <si>
    <t>m³</t>
  </si>
  <si>
    <t>Window area</t>
  </si>
  <si>
    <t>m²</t>
  </si>
  <si>
    <t>ID</t>
  </si>
  <si>
    <t>From Zone</t>
  </si>
  <si>
    <t>To Zone</t>
  </si>
  <si>
    <t>Construction type</t>
  </si>
  <si>
    <t>Area [m²]</t>
  </si>
  <si>
    <t>Orientation</t>
  </si>
  <si>
    <t>U-waarde</t>
  </si>
  <si>
    <t>U*A</t>
  </si>
  <si>
    <t>Cth</t>
  </si>
  <si>
    <t>Cth2</t>
  </si>
  <si>
    <t>Roof</t>
  </si>
  <si>
    <t>U=</t>
  </si>
  <si>
    <t>C=</t>
  </si>
  <si>
    <t>C2=</t>
  </si>
  <si>
    <t>W1</t>
  </si>
  <si>
    <t>Wall External</t>
  </si>
  <si>
    <t>front</t>
  </si>
  <si>
    <t>layers</t>
  </si>
  <si>
    <t>thickness [m]</t>
  </si>
  <si>
    <t>lambda [W/mK]</t>
  </si>
  <si>
    <t>rho [kg/m³]</t>
  </si>
  <si>
    <t>c [J/kgK]</t>
  </si>
  <si>
    <t>R [m²K/W]</t>
  </si>
  <si>
    <t>C [J/m²K]</t>
  </si>
  <si>
    <t>Usable floor area</t>
  </si>
  <si>
    <t>Front</t>
  </si>
  <si>
    <t>Gf</t>
  </si>
  <si>
    <t>(%)</t>
  </si>
  <si>
    <t>W2</t>
  </si>
  <si>
    <t>right</t>
  </si>
  <si>
    <t>tiled roof</t>
  </si>
  <si>
    <t>*voegen niet ingerekend</t>
  </si>
  <si>
    <t>Day zone</t>
  </si>
  <si>
    <t>Right</t>
  </si>
  <si>
    <t>W3</t>
  </si>
  <si>
    <t>back</t>
  </si>
  <si>
    <t>air gap</t>
  </si>
  <si>
    <t>Night zone</t>
  </si>
  <si>
    <t>Back</t>
  </si>
  <si>
    <t>W4</t>
  </si>
  <si>
    <t>left</t>
  </si>
  <si>
    <t>insulation</t>
  </si>
  <si>
    <t>Left</t>
  </si>
  <si>
    <t>W5</t>
  </si>
  <si>
    <t>Window</t>
  </si>
  <si>
    <t>woodboard</t>
  </si>
  <si>
    <t>Ff</t>
  </si>
  <si>
    <t>W6</t>
  </si>
  <si>
    <t>gipspleister</t>
  </si>
  <si>
    <t>W7</t>
  </si>
  <si>
    <t>W8</t>
  </si>
  <si>
    <t>W9</t>
  </si>
  <si>
    <t>ground</t>
  </si>
  <si>
    <t>Floor</t>
  </si>
  <si>
    <t>Wall external</t>
  </si>
  <si>
    <t>Summarizing ratios</t>
  </si>
  <si>
    <t>W10</t>
  </si>
  <si>
    <t>W11</t>
  </si>
  <si>
    <t>Door</t>
  </si>
  <si>
    <t>compactness</t>
  </si>
  <si>
    <t>m</t>
  </si>
  <si>
    <t>W12</t>
  </si>
  <si>
    <t>Cement plaster</t>
  </si>
  <si>
    <t>Unusable floor area</t>
  </si>
  <si>
    <t>envelope surface/ total floor</t>
  </si>
  <si>
    <t>W13</t>
  </si>
  <si>
    <t>BrickHe</t>
  </si>
  <si>
    <t>Attic (h&gt;1.8m)</t>
  </si>
  <si>
    <t>envelope surface/ usable floor area</t>
  </si>
  <si>
    <t>W14</t>
  </si>
  <si>
    <t>gypsum</t>
  </si>
  <si>
    <t>Attic (h&lt;1.8m)</t>
  </si>
  <si>
    <t>W15</t>
  </si>
  <si>
    <t>Window area/ total floor area</t>
  </si>
  <si>
    <t>W16</t>
  </si>
  <si>
    <t>Wall internal</t>
  </si>
  <si>
    <t>Window area/ usable floor area</t>
  </si>
  <si>
    <t>W17</t>
  </si>
  <si>
    <t>Window area/envelope area</t>
  </si>
  <si>
    <t>W18</t>
  </si>
  <si>
    <t>pleister</t>
  </si>
  <si>
    <t>Total floor surface</t>
  </si>
  <si>
    <t>W19</t>
  </si>
  <si>
    <t>metselwerk</t>
  </si>
  <si>
    <t>= usable area x</t>
  </si>
  <si>
    <t>Nightzone/usable floor area</t>
  </si>
  <si>
    <t>W20</t>
  </si>
  <si>
    <t>front/back</t>
  </si>
  <si>
    <t>W21</t>
  </si>
  <si>
    <t>Floor internal</t>
  </si>
  <si>
    <t>envelope surface area</t>
  </si>
  <si>
    <t>W22</t>
  </si>
  <si>
    <t>W23</t>
  </si>
  <si>
    <t>wooden floor</t>
  </si>
  <si>
    <t>*klopt niet -&gt; hout is lichter dan water slimme!</t>
  </si>
  <si>
    <t>cavity</t>
  </si>
  <si>
    <t>Total UA</t>
  </si>
  <si>
    <t>W/K</t>
  </si>
  <si>
    <t>wooden ceiling</t>
  </si>
  <si>
    <t>Zone number</t>
  </si>
  <si>
    <t>Volume [m³]</t>
  </si>
  <si>
    <t>type</t>
  </si>
  <si>
    <t>Set temperature</t>
  </si>
  <si>
    <t>A_g</t>
  </si>
  <si>
    <t>UA_walls+roof</t>
  </si>
  <si>
    <t>window</t>
  </si>
  <si>
    <t>Night Zone</t>
  </si>
  <si>
    <t>UA_windows</t>
  </si>
  <si>
    <t>Attic</t>
  </si>
  <si>
    <t>unheated</t>
  </si>
  <si>
    <t>inf</t>
  </si>
  <si>
    <t>g-waarde</t>
  </si>
  <si>
    <t>Cair</t>
  </si>
  <si>
    <t>MJ</t>
  </si>
  <si>
    <t>C_walls+roof</t>
  </si>
  <si>
    <t>MJ/K</t>
  </si>
  <si>
    <t>C_int</t>
  </si>
  <si>
    <t>C_floor</t>
  </si>
  <si>
    <t>tiles</t>
  </si>
  <si>
    <t>screed</t>
  </si>
  <si>
    <t>PUR</t>
  </si>
  <si>
    <t>Concrete</t>
  </si>
  <si>
    <t>Isolatie</t>
  </si>
  <si>
    <t>infiltration rate (n_{50})</t>
  </si>
  <si>
    <t>Tabula data</t>
  </si>
  <si>
    <t>Type</t>
  </si>
  <si>
    <t>Allacker</t>
  </si>
  <si>
    <t>Total floor surface area</t>
  </si>
  <si>
    <t>Total envelope area</t>
  </si>
  <si>
    <t>Exterior wall</t>
  </si>
  <si>
    <t>Exterior wall to unheated spaces</t>
  </si>
  <si>
    <t>Total exterior wall</t>
  </si>
  <si>
    <t>Floor on soil</t>
  </si>
  <si>
    <t>Floor bordering unheated spaces</t>
  </si>
  <si>
    <t>Floor bordering outdoor spaces</t>
  </si>
  <si>
    <t>Total Floor on ground</t>
  </si>
  <si>
    <t>Doors</t>
  </si>
  <si>
    <t>Windows N</t>
  </si>
  <si>
    <t>Windows E</t>
  </si>
  <si>
    <t>Windows S</t>
  </si>
  <si>
    <t>Windows W</t>
  </si>
  <si>
    <t>Total windows</t>
  </si>
  <si>
    <t>Compactness</t>
  </si>
  <si>
    <t>Total envelope area/Total floor</t>
  </si>
  <si>
    <t>Total envelope area/Usable floor</t>
  </si>
  <si>
    <t>Window/total envelope</t>
  </si>
  <si>
    <t>Window/total floor</t>
  </si>
  <si>
    <t>Window/usable floor</t>
  </si>
  <si>
    <t>n50</t>
  </si>
  <si>
    <t>1/h</t>
  </si>
  <si>
    <t>N53</t>
  </si>
  <si>
    <t>Ratio: Tabula/Allacker</t>
  </si>
  <si>
    <t>Total ground Floor</t>
  </si>
  <si>
    <t>Windows</t>
  </si>
  <si>
    <t>Berekening verwarming voor multizone EL²EP detached house</t>
  </si>
  <si>
    <t>Berekening volgens EN12381-2003</t>
  </si>
  <si>
    <t>T_e,d</t>
  </si>
  <si>
    <t>°C</t>
  </si>
  <si>
    <t>Samenvatting</t>
  </si>
  <si>
    <t>Zone</t>
  </si>
  <si>
    <t>Q</t>
  </si>
  <si>
    <t>Transmissieverliezen</t>
  </si>
  <si>
    <t>W</t>
  </si>
  <si>
    <t>Buitenwanden + Ramen</t>
  </si>
  <si>
    <t>Naar zone</t>
  </si>
  <si>
    <t>wandtype</t>
  </si>
  <si>
    <t>Oppervlakte [m²]</t>
  </si>
  <si>
    <t>Orientatie</t>
  </si>
  <si>
    <t>f_k</t>
  </si>
  <si>
    <t>Totaal</t>
  </si>
  <si>
    <t>Vloeren boven grond/nietverwarmde ruimte</t>
  </si>
  <si>
    <t>Naar Zone</t>
  </si>
  <si>
    <t>Oppervlakte</t>
  </si>
  <si>
    <t>Ag</t>
  </si>
  <si>
    <t>P</t>
  </si>
  <si>
    <t>dw</t>
  </si>
  <si>
    <t>B</t>
  </si>
  <si>
    <t>dt</t>
  </si>
  <si>
    <t>U'</t>
  </si>
  <si>
    <t>Binnenwanden/Binnenvloeren</t>
  </si>
  <si>
    <t>Van</t>
  </si>
  <si>
    <t>Naar</t>
  </si>
  <si>
    <t>Opp</t>
  </si>
  <si>
    <t>Ti1</t>
  </si>
  <si>
    <t>Ti2</t>
  </si>
  <si>
    <t>Totaal transmissie:</t>
  </si>
  <si>
    <t>HT</t>
  </si>
  <si>
    <t>Ventilatieverliezen</t>
  </si>
  <si>
    <t>infiltratie</t>
  </si>
  <si>
    <t>n50=</t>
  </si>
  <si>
    <t>tab D.7</t>
  </si>
  <si>
    <t>e_i=</t>
  </si>
  <si>
    <t>tab D.8</t>
  </si>
  <si>
    <t>eps=</t>
  </si>
  <si>
    <t>tab D.9</t>
  </si>
  <si>
    <t>V_inf</t>
  </si>
  <si>
    <t>m³/h</t>
  </si>
  <si>
    <t>Hygienische vent</t>
  </si>
  <si>
    <t>V_min</t>
  </si>
  <si>
    <t>eff</t>
  </si>
  <si>
    <t>V_i=</t>
  </si>
  <si>
    <t>n=</t>
  </si>
  <si>
    <t>H_V</t>
  </si>
  <si>
    <t>Intermitterend verwarmen</t>
  </si>
  <si>
    <t>f_R,H</t>
  </si>
  <si>
    <t>Tab D10b: 3K,1h</t>
  </si>
  <si>
    <t>H_RH</t>
  </si>
  <si>
    <t>TOTAAL</t>
  </si>
  <si>
    <t>H</t>
  </si>
  <si>
    <t>W45</t>
  </si>
  <si>
    <t>W50</t>
  </si>
  <si>
    <t>W51</t>
  </si>
  <si>
    <t>W54</t>
  </si>
  <si>
    <t>W55</t>
  </si>
  <si>
    <t>W69</t>
  </si>
  <si>
    <t>geen ontworpen ventilatiesysteem!</t>
  </si>
  <si>
    <t>W46</t>
  </si>
  <si>
    <t>W56</t>
  </si>
  <si>
    <t>W57</t>
  </si>
  <si>
    <t>W70</t>
  </si>
  <si>
    <t>constante temp</t>
  </si>
  <si>
    <t>W58</t>
  </si>
  <si>
    <t>W59</t>
  </si>
  <si>
    <t>W71</t>
  </si>
  <si>
    <t>W76</t>
  </si>
  <si>
    <t>Tab D10b: 3K,2h</t>
  </si>
  <si>
    <t>W60</t>
  </si>
  <si>
    <t>W61</t>
  </si>
  <si>
    <t>W67</t>
  </si>
  <si>
    <t>W74</t>
  </si>
  <si>
    <t>W62</t>
  </si>
  <si>
    <t>W63</t>
  </si>
  <si>
    <t>W68</t>
  </si>
  <si>
    <t>W75</t>
  </si>
  <si>
    <t>W25</t>
  </si>
  <si>
    <t>W26</t>
  </si>
  <si>
    <t>W27</t>
  </si>
  <si>
    <t>W28</t>
  </si>
  <si>
    <t>W78</t>
  </si>
  <si>
    <t>W29</t>
  </si>
  <si>
    <t>W30</t>
  </si>
  <si>
    <t>W31</t>
  </si>
  <si>
    <t>W47</t>
  </si>
  <si>
    <t>W52</t>
  </si>
  <si>
    <t>W32</t>
  </si>
  <si>
    <t>W33</t>
  </si>
  <si>
    <t>W48</t>
  </si>
  <si>
    <t>W72</t>
  </si>
  <si>
    <t>aanname dat berging dient als wasplaats! Anders V_min=0</t>
  </si>
  <si>
    <t>W34</t>
  </si>
  <si>
    <t>W35</t>
  </si>
  <si>
    <t>W36</t>
  </si>
  <si>
    <t>W49</t>
  </si>
  <si>
    <t>W53</t>
  </si>
  <si>
    <t>W64</t>
  </si>
  <si>
    <t>W65</t>
  </si>
  <si>
    <t>W66</t>
  </si>
  <si>
    <t>W73</t>
  </si>
  <si>
    <t>W77</t>
  </si>
  <si>
    <t>Qnom</t>
  </si>
  <si>
    <t>Everything outside insulation layer is ignored (ventilated cavity)</t>
  </si>
  <si>
    <t>Brick</t>
  </si>
  <si>
    <t>Air gap</t>
  </si>
  <si>
    <t>Insulation</t>
  </si>
  <si>
    <t>1 cm isolatie om Uwaarde te halen. In specificatie : geen isolatie?</t>
  </si>
  <si>
    <t>Brick I</t>
  </si>
  <si>
    <t>EPS: wij hebben dat thuis en ons huis is van die periode</t>
  </si>
  <si>
    <t>Plaster</t>
  </si>
  <si>
    <t>concrete</t>
  </si>
  <si>
    <t>double glazing</t>
  </si>
  <si>
    <t>Assuptions</t>
  </si>
  <si>
    <t>A_wall</t>
  </si>
  <si>
    <t>(Front and back / Total)</t>
  </si>
  <si>
    <t>GF_frontBack/ Total_frontBack</t>
  </si>
  <si>
    <t>(pitched roof front back oriented)</t>
  </si>
  <si>
    <t>EPS</t>
  </si>
  <si>
    <t>3 cm isolatie to reach tabula value!</t>
  </si>
  <si>
    <t>GF_leftRight/Total_leftRight</t>
  </si>
  <si>
    <t>Gf_windows/Total_Windows</t>
  </si>
  <si>
    <t>Physical parameters</t>
  </si>
  <si>
    <t>DayZone</t>
  </si>
  <si>
    <t>UA</t>
  </si>
  <si>
    <t>vent</t>
  </si>
  <si>
    <t>vent+inf</t>
  </si>
  <si>
    <t>Uawin</t>
  </si>
  <si>
    <t>hwi</t>
  </si>
  <si>
    <t>Uafl</t>
  </si>
  <si>
    <t>(niet gereduceerde!)</t>
  </si>
  <si>
    <t>Losstot</t>
  </si>
  <si>
    <t>Total</t>
  </si>
  <si>
    <t>Inside insul.</t>
  </si>
  <si>
    <t>Cw</t>
  </si>
  <si>
    <t>J/K</t>
  </si>
  <si>
    <t>Cwi</t>
  </si>
  <si>
    <t>Cfl</t>
  </si>
  <si>
    <t>Cwalls</t>
  </si>
  <si>
    <t>Ctotal</t>
  </si>
  <si>
    <t>Uafi</t>
  </si>
  <si>
    <t>Cfi</t>
  </si>
  <si>
    <t>NightZone</t>
  </si>
  <si>
    <t>Uar</t>
  </si>
  <si>
    <t>Cr</t>
  </si>
  <si>
    <t>Thermal properties: Detached Single Family House 71-90</t>
  </si>
  <si>
    <t>d=</t>
  </si>
  <si>
    <t>Parameters greybox: 4state day zone, 4 state night zone, 1 state interior floor</t>
  </si>
  <si>
    <t>(Models DayZone_5state_B, NightZone_4state_A)</t>
  </si>
  <si>
    <t>Parameter</t>
  </si>
  <si>
    <t>Theoretical</t>
  </si>
  <si>
    <t>TO paste in dymola</t>
  </si>
  <si>
    <t>parameter</t>
  </si>
  <si>
    <t>Real</t>
  </si>
  <si>
    <t>abs1D</t>
  </si>
  <si>
    <t>;</t>
  </si>
  <si>
    <t>=</t>
  </si>
  <si>
    <t>abs2D</t>
  </si>
  <si>
    <t>abs3D</t>
  </si>
  <si>
    <t>abs4D</t>
  </si>
  <si>
    <t>CiD</t>
  </si>
  <si>
    <t>CwD</t>
  </si>
  <si>
    <t>CwiD</t>
  </si>
  <si>
    <t>CflD</t>
  </si>
  <si>
    <t>f1D</t>
  </si>
  <si>
    <t>f2D</t>
  </si>
  <si>
    <t>f3D</t>
  </si>
  <si>
    <t>f4D</t>
  </si>
  <si>
    <t>hwD</t>
  </si>
  <si>
    <t>hflD</t>
  </si>
  <si>
    <t>hwiD</t>
  </si>
  <si>
    <t>infD</t>
  </si>
  <si>
    <t>UwD</t>
  </si>
  <si>
    <t>UflD</t>
  </si>
  <si>
    <t>abs1N</t>
  </si>
  <si>
    <t>abs2N</t>
  </si>
  <si>
    <t>abs3N</t>
  </si>
  <si>
    <t>CiN</t>
  </si>
  <si>
    <t>CwN</t>
  </si>
  <si>
    <t>CwiN</t>
  </si>
  <si>
    <t>f1N</t>
  </si>
  <si>
    <t>f2N</t>
  </si>
  <si>
    <t> 5.339205e-02</t>
  </si>
  <si>
    <t>f3N</t>
  </si>
  <si>
    <t> 6.711553e-01</t>
  </si>
  <si>
    <t>hwN</t>
  </si>
  <si>
    <t> 4.631922e+02</t>
  </si>
  <si>
    <t>hwiN</t>
  </si>
  <si>
    <t>infN</t>
  </si>
  <si>
    <t> 3.735657e+01</t>
  </si>
  <si>
    <t>UwN</t>
  </si>
  <si>
    <t>abs5D</t>
  </si>
  <si>
    <t> 1.693800e-01</t>
  </si>
  <si>
    <t>abs5N</t>
  </si>
  <si>
    <t> 3.395373e-01</t>
  </si>
  <si>
    <t>CfiD </t>
  </si>
  <si>
    <t> 1.385834e+07</t>
  </si>
  <si>
    <t>CfiN</t>
  </si>
  <si>
    <t> 4.368417e+07</t>
  </si>
  <si>
    <t>f5D </t>
  </si>
  <si>
    <t> 6.941760e-02</t>
  </si>
  <si>
    <t>f5N </t>
  </si>
  <si>
    <t> 1.291481e-01</t>
  </si>
  <si>
    <t>UfDN</t>
  </si>
  <si>
    <t> 2.955246e+02</t>
  </si>
  <si>
    <t>Ufi</t>
  </si>
  <si>
    <t> 4.609140e+02</t>
  </si>
  <si>
    <t>UfND</t>
  </si>
  <si>
    <t> 3.468365e+02</t>
  </si>
  <si>
    <t>Check absD</t>
  </si>
  <si>
    <t>Check fi</t>
  </si>
  <si>
    <t>Estimated PRBS</t>
  </si>
  <si>
    <t>DayZone_5state_B</t>
  </si>
  <si>
    <t>Coefficients:</t>
  </si>
  <si>
    <t>Estimate</t>
  </si>
  <si>
    <t>Std.</t>
  </si>
  <si>
    <t>Error</t>
  </si>
  <si>
    <t>t</t>
  </si>
  <si>
    <t>value</t>
  </si>
  <si>
    <t>Pr(&gt;|t|)</t>
  </si>
  <si>
    <t>Ti0</t>
  </si>
  <si>
    <t>&lt;2e-16</t>
  </si>
  <si>
    <t>***</t>
  </si>
  <si>
    <t>Tw0</t>
  </si>
  <si>
    <t>Twi0</t>
  </si>
  <si>
    <t>Tfi0</t>
  </si>
  <si>
    <t>Tfl0</t>
  </si>
  <si>
    <t>abs1</t>
  </si>
  <si>
    <t>abs2</t>
  </si>
  <si>
    <t>abs3</t>
  </si>
  <si>
    <t>abs4</t>
  </si>
  <si>
    <t>abs5</t>
  </si>
  <si>
    <t>Ci</t>
  </si>
  <si>
    <t>e11</t>
  </si>
  <si>
    <t>e22</t>
  </si>
  <si>
    <t>e33</t>
  </si>
  <si>
    <t>e44</t>
  </si>
  <si>
    <t>e55</t>
  </si>
  <si>
    <t>f1</t>
  </si>
  <si>
    <t>f2</t>
  </si>
  <si>
    <t>f3</t>
  </si>
  <si>
    <t>f4</t>
  </si>
  <si>
    <t>f5</t>
  </si>
  <si>
    <t>hcAw</t>
  </si>
  <si>
    <t>hfl</t>
  </si>
  <si>
    <t>p11</t>
  </si>
  <si>
    <t>p22</t>
  </si>
  <si>
    <t>p33</t>
  </si>
  <si>
    <t>p44</t>
  </si>
  <si>
    <t>p55</t>
  </si>
  <si>
    <t>Re</t>
  </si>
  <si>
    <t>UfiA</t>
  </si>
  <si>
    <t>UfiB</t>
  </si>
  <si>
    <t>Ufl</t>
  </si>
  <si>
    <t>NightZone_4state_B</t>
  </si>
  <si>
    <t>&lt;</t>
  </si>
  <si>
    <t>TfiN0</t>
  </si>
  <si>
    <t>CfiD</t>
  </si>
  <si>
    <t>**</t>
  </si>
  <si>
    <t>e66</t>
  </si>
  <si>
    <t>.</t>
  </si>
  <si>
    <t>f5D</t>
  </si>
  <si>
    <t>f5N</t>
  </si>
  <si>
    <t>p99</t>
  </si>
  <si>
    <t>Wall</t>
  </si>
  <si>
    <t>Estimated In Use</t>
  </si>
  <si>
    <t>[1]</t>
  </si>
  <si>
    <t>*</t>
  </si>
  <si>
    <t>MultiZoneWall_2state_A</t>
  </si>
  <si>
    <t>TfiD0</t>
  </si>
  <si>
    <t xml:space="preserve">Tabula </t>
  </si>
  <si>
    <t>RC</t>
  </si>
  <si>
    <t>GBPRBS</t>
  </si>
  <si>
    <t>GBINUSE</t>
  </si>
  <si>
    <t>SOLNEWS IN USE</t>
  </si>
  <si>
    <t>##</t>
  </si>
  <si>
    <t>DayZone_5state_E</t>
  </si>
  <si>
    <t>abs1E</t>
  </si>
  <si>
    <t>abs1S</t>
  </si>
  <si>
    <t>abs1W</t>
  </si>
  <si>
    <t>abs2E</t>
  </si>
  <si>
    <t>abs2S</t>
  </si>
  <si>
    <t>abs2W</t>
  </si>
  <si>
    <t>abs3E</t>
  </si>
  <si>
    <t>abs3S</t>
  </si>
  <si>
    <t>abs3W</t>
  </si>
  <si>
    <t>abs4E</t>
  </si>
  <si>
    <t>abs4N</t>
  </si>
  <si>
    <t>abs4S</t>
  </si>
  <si>
    <t>abs4W</t>
  </si>
  <si>
    <t>abs5E</t>
  </si>
  <si>
    <t>abs5S</t>
  </si>
  <si>
    <t>abs5W</t>
  </si>
  <si>
    <t>NightZone_4state_E</t>
  </si>
  <si>
    <t>---</t>
  </si>
  <si>
    <t>Signif.</t>
  </si>
  <si>
    <t>codes:</t>
  </si>
  <si>
    <t>'***'</t>
  </si>
  <si>
    <t>'**'</t>
  </si>
  <si>
    <t>SolNESW INUSE</t>
  </si>
  <si>
    <t>parameter Real</t>
  </si>
  <si>
    <t>abs1ED</t>
  </si>
  <si>
    <t>abs1ND</t>
  </si>
  <si>
    <t>abs1SD</t>
  </si>
  <si>
    <t>abs1WD</t>
  </si>
  <si>
    <t>abs2ED</t>
  </si>
  <si>
    <t>abs2ND</t>
  </si>
  <si>
    <t>abs2SD</t>
  </si>
  <si>
    <t>abs2WD</t>
  </si>
  <si>
    <t>abs3ED</t>
  </si>
  <si>
    <t>abs3ND</t>
  </si>
  <si>
    <t>abs3SD</t>
  </si>
  <si>
    <t>abs3WD</t>
  </si>
  <si>
    <t>abs4ED</t>
  </si>
  <si>
    <t>abs4ND</t>
  </si>
  <si>
    <t>abs4SD</t>
  </si>
  <si>
    <t>abs4WD</t>
  </si>
  <si>
    <t>abs5ED</t>
  </si>
  <si>
    <t>abs5ND</t>
  </si>
  <si>
    <t>abs5SD</t>
  </si>
  <si>
    <t>abs5WD</t>
  </si>
  <si>
    <t>hcAwD</t>
  </si>
  <si>
    <t>abs1EN</t>
  </si>
  <si>
    <t>abs1NN</t>
  </si>
  <si>
    <t>abs1SN</t>
  </si>
  <si>
    <t>abs1WN</t>
  </si>
  <si>
    <t>abs2EN</t>
  </si>
  <si>
    <t>abs2NN</t>
  </si>
  <si>
    <t>abs2SN</t>
  </si>
  <si>
    <t>abs2WN</t>
  </si>
  <si>
    <t>abs3EN</t>
  </si>
  <si>
    <t>abs3NN</t>
  </si>
  <si>
    <t>abs3SN</t>
  </si>
  <si>
    <t>abs3WN</t>
  </si>
  <si>
    <t>abs5EN</t>
  </si>
  <si>
    <t>abs5NN</t>
  </si>
  <si>
    <t>abs5SN</t>
  </si>
  <si>
    <t>abs5WN</t>
  </si>
  <si>
    <t>hcAwN</t>
  </si>
  <si>
    <t>Uf</t>
  </si>
  <si>
    <t>fframe</t>
  </si>
  <si>
    <t>v50</t>
  </si>
  <si>
    <t>plaster</t>
  </si>
  <si>
    <t>number of floors</t>
  </si>
  <si>
    <t>height floor</t>
  </si>
  <si>
    <t>width facade</t>
  </si>
  <si>
    <t>depth building</t>
  </si>
  <si>
    <t>Afacade</t>
  </si>
  <si>
    <t>Area common wall</t>
  </si>
  <si>
    <t>C</t>
  </si>
  <si>
    <t>Common Wall</t>
  </si>
  <si>
    <t>ga</t>
  </si>
  <si>
    <t>SolNESW THEO</t>
  </si>
  <si>
    <t>## Estimate Std. Error t value 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</si>
</sst>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 * #,##0.00_ ;_ * \-#,##0.00_ ;_ * \-??_ ;_ @_ "/>
    <numFmt numFmtId="165" formatCode="0.000"/>
    <numFmt numFmtId="166" formatCode="0.0"/>
    <numFmt numFmtId="167" formatCode="0.0000E+00"/>
    <numFmt numFmtId="168" formatCode="0.00E+000"/>
  </numFmts>
  <fonts count="3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5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i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2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DCE6F2"/>
        <bgColor rgb="FFF2F2F2"/>
      </patternFill>
    </fill>
    <fill>
      <patternFill patternType="solid">
        <fgColor rgb="FF95B3D7"/>
        <bgColor rgb="FFA7C0DE"/>
      </patternFill>
    </fill>
    <fill>
      <patternFill patternType="solid">
        <fgColor rgb="FFB9CDE5"/>
        <bgColor rgb="FFA7C0DE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DCE6F2"/>
      </patternFill>
    </fill>
    <fill>
      <patternFill patternType="solid">
        <fgColor rgb="FF8064A2"/>
        <bgColor rgb="FF7F7F7F"/>
      </patternFill>
    </fill>
    <fill>
      <patternFill patternType="solid">
        <fgColor rgb="FFCCC1DA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2DCDB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7B7B7"/>
      </patternFill>
    </fill>
    <fill>
      <patternFill patternType="solid">
        <fgColor rgb="FFC3D69B"/>
        <bgColor rgb="FFBFBFB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 style="thick">
        <color rgb="FF7F7F7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auto="1"/>
      </left>
      <right/>
      <top style="thick">
        <color auto="1"/>
      </top>
      <bottom style="thick">
        <color rgb="FF95B3D7"/>
      </bottom>
      <diagonal/>
    </border>
    <border>
      <left/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9" fontId="22" fillId="0" borderId="0"/>
    <xf numFmtId="0" fontId="6" fillId="0" borderId="0"/>
    <xf numFmtId="0" fontId="23" fillId="0" borderId="21" applyNumberFormat="0" applyFill="0" applyAlignment="0" applyProtection="0"/>
    <xf numFmtId="0" fontId="24" fillId="17" borderId="22" applyNumberFormat="0" applyAlignment="0" applyProtection="0"/>
    <xf numFmtId="0" fontId="25" fillId="18" borderId="23" applyNumberFormat="0" applyAlignment="0" applyProtection="0"/>
    <xf numFmtId="0" fontId="3" fillId="19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7" fillId="23" borderId="0" applyNumberFormat="0" applyBorder="0" applyAlignment="0" applyProtection="0"/>
    <xf numFmtId="0" fontId="28" fillId="28" borderId="0" applyNumberFormat="0" applyBorder="0" applyAlignment="0" applyProtection="0"/>
    <xf numFmtId="43" fontId="22" fillId="0" borderId="0" applyFont="0" applyFill="0" applyBorder="0" applyAlignment="0" applyProtection="0"/>
  </cellStyleXfs>
  <cellXfs count="319">
    <xf numFmtId="0" fontId="0" fillId="0" borderId="0" xfId="0"/>
    <xf numFmtId="0" fontId="0" fillId="10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5" fillId="10" borderId="0" xfId="2" applyFont="1" applyFill="1" applyBorder="1" applyAlignment="1" applyProtection="1">
      <alignment horizontal="center"/>
    </xf>
    <xf numFmtId="0" fontId="6" fillId="0" borderId="4" xfId="2" applyFont="1" applyFill="1" applyBorder="1" applyAlignment="1" applyProtection="1"/>
    <xf numFmtId="0" fontId="0" fillId="3" borderId="5" xfId="2" applyFont="1" applyFill="1" applyBorder="1" applyAlignment="1" applyProtection="1"/>
    <xf numFmtId="0" fontId="22" fillId="3" borderId="6" xfId="2" applyFont="1" applyFill="1" applyBorder="1" applyAlignment="1" applyProtection="1"/>
    <xf numFmtId="2" fontId="22" fillId="3" borderId="6" xfId="2" applyNumberFormat="1" applyFont="1" applyFill="1" applyBorder="1" applyAlignment="1" applyProtection="1"/>
    <xf numFmtId="0" fontId="0" fillId="3" borderId="3" xfId="2" applyFont="1" applyFill="1" applyBorder="1" applyAlignment="1" applyProtection="1"/>
    <xf numFmtId="0" fontId="0" fillId="3" borderId="7" xfId="2" applyFont="1" applyFill="1" applyBorder="1" applyAlignment="1" applyProtection="1">
      <alignment horizontal="center"/>
    </xf>
    <xf numFmtId="0" fontId="0" fillId="3" borderId="4" xfId="2" applyFont="1" applyFill="1" applyBorder="1" applyAlignment="1" applyProtection="1">
      <alignment horizontal="center"/>
    </xf>
    <xf numFmtId="0" fontId="0" fillId="3" borderId="8" xfId="2" applyFont="1" applyFill="1" applyBorder="1" applyAlignment="1" applyProtection="1">
      <alignment horizontal="center"/>
    </xf>
    <xf numFmtId="2" fontId="6" fillId="0" borderId="0" xfId="2" applyNumberFormat="1" applyFont="1" applyFill="1" applyBorder="1" applyAlignment="1" applyProtection="1">
      <alignment horizontal="center"/>
    </xf>
    <xf numFmtId="0" fontId="6" fillId="0" borderId="0" xfId="2" applyFont="1" applyFill="1" applyBorder="1" applyAlignment="1" applyProtection="1"/>
    <xf numFmtId="0" fontId="6" fillId="10" borderId="0" xfId="2" applyFont="1" applyFill="1" applyBorder="1" applyAlignment="1" applyProtection="1"/>
    <xf numFmtId="0" fontId="0" fillId="3" borderId="7" xfId="2" applyFont="1" applyFill="1" applyBorder="1" applyAlignment="1" applyProtection="1"/>
    <xf numFmtId="0" fontId="22" fillId="3" borderId="4" xfId="2" applyFont="1" applyFill="1" applyBorder="1" applyAlignment="1" applyProtection="1"/>
    <xf numFmtId="0" fontId="0" fillId="3" borderId="4" xfId="2" applyFont="1" applyFill="1" applyBorder="1" applyAlignment="1" applyProtection="1">
      <alignment horizontal="right"/>
    </xf>
    <xf numFmtId="165" fontId="22" fillId="3" borderId="4" xfId="2" applyNumberFormat="1" applyFont="1" applyFill="1" applyBorder="1" applyAlignment="1" applyProtection="1">
      <alignment horizontal="center"/>
    </xf>
    <xf numFmtId="0" fontId="22" fillId="3" borderId="8" xfId="2" applyFont="1" applyFill="1" applyBorder="1" applyAlignment="1" applyProtection="1"/>
    <xf numFmtId="0" fontId="7" fillId="0" borderId="9" xfId="0" applyFont="1" applyBorder="1"/>
    <xf numFmtId="0" fontId="0" fillId="0" borderId="10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2" fontId="6" fillId="0" borderId="0" xfId="2" applyNumberFormat="1" applyFont="1" applyFill="1" applyBorder="1" applyAlignment="1" applyProtection="1"/>
    <xf numFmtId="2" fontId="6" fillId="10" borderId="0" xfId="2" applyNumberFormat="1" applyFont="1" applyFill="1" applyBorder="1" applyAlignment="1" applyProtection="1"/>
    <xf numFmtId="0" fontId="0" fillId="0" borderId="7" xfId="0" applyBorder="1"/>
    <xf numFmtId="0" fontId="8" fillId="0" borderId="4" xfId="0" applyFont="1" applyBorder="1"/>
    <xf numFmtId="0" fontId="8" fillId="0" borderId="8" xfId="0" applyFont="1" applyBorder="1"/>
    <xf numFmtId="1" fontId="22" fillId="3" borderId="0" xfId="2" applyNumberFormat="1" applyFont="1" applyFill="1" applyBorder="1" applyAlignment="1" applyProtection="1"/>
    <xf numFmtId="0" fontId="0" fillId="3" borderId="0" xfId="2" applyFont="1" applyFill="1" applyBorder="1" applyAlignment="1" applyProtection="1"/>
    <xf numFmtId="0" fontId="0" fillId="0" borderId="2" xfId="0" applyFont="1" applyBorder="1"/>
    <xf numFmtId="10" fontId="0" fillId="0" borderId="0" xfId="0" applyNumberFormat="1" applyBorder="1"/>
    <xf numFmtId="2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165" fontId="0" fillId="0" borderId="0" xfId="0" applyNumberFormat="1" applyBorder="1"/>
    <xf numFmtId="0" fontId="0" fillId="0" borderId="5" xfId="0" applyFont="1" applyBorder="1"/>
    <xf numFmtId="166" fontId="0" fillId="0" borderId="6" xfId="0" applyNumberFormat="1" applyBorder="1"/>
    <xf numFmtId="0" fontId="0" fillId="0" borderId="6" xfId="0" applyFont="1" applyBorder="1"/>
    <xf numFmtId="0" fontId="0" fillId="0" borderId="2" xfId="0" applyFont="1" applyBorder="1"/>
    <xf numFmtId="166" fontId="0" fillId="0" borderId="0" xfId="0" applyNumberFormat="1" applyBorder="1"/>
    <xf numFmtId="0" fontId="0" fillId="0" borderId="0" xfId="0" applyFont="1" applyBorder="1"/>
    <xf numFmtId="10" fontId="0" fillId="0" borderId="0" xfId="0" applyNumberFormat="1" applyBorder="1"/>
    <xf numFmtId="2" fontId="0" fillId="0" borderId="11" xfId="0" applyNumberFormat="1" applyFont="1" applyBorder="1"/>
    <xf numFmtId="0" fontId="0" fillId="0" borderId="9" xfId="0" applyBorder="1"/>
    <xf numFmtId="165" fontId="0" fillId="0" borderId="10" xfId="0" applyNumberFormat="1" applyBorder="1"/>
    <xf numFmtId="0" fontId="0" fillId="0" borderId="12" xfId="0" applyBorder="1"/>
    <xf numFmtId="0" fontId="0" fillId="3" borderId="5" xfId="2" applyFont="1" applyFill="1" applyBorder="1" applyAlignment="1" applyProtection="1">
      <alignment horizontal="right"/>
    </xf>
    <xf numFmtId="0" fontId="0" fillId="0" borderId="2" xfId="0" applyFont="1" applyBorder="1" applyAlignment="1">
      <alignment horizontal="right"/>
    </xf>
    <xf numFmtId="2" fontId="0" fillId="0" borderId="0" xfId="0" applyNumberFormat="1" applyFont="1" applyBorder="1"/>
    <xf numFmtId="0" fontId="0" fillId="0" borderId="0" xfId="0" applyFont="1" applyBorder="1"/>
    <xf numFmtId="1" fontId="22" fillId="3" borderId="6" xfId="2" applyNumberFormat="1" applyFont="1" applyFill="1" applyBorder="1" applyAlignment="1" applyProtection="1"/>
    <xf numFmtId="0" fontId="0" fillId="0" borderId="11" xfId="0" applyFont="1" applyBorder="1"/>
    <xf numFmtId="9" fontId="0" fillId="0" borderId="0" xfId="1" applyFont="1" applyBorder="1" applyAlignment="1" applyProtection="1"/>
    <xf numFmtId="2" fontId="0" fillId="0" borderId="0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2" xfId="0" applyNumberFormat="1" applyFont="1" applyBorder="1"/>
    <xf numFmtId="165" fontId="0" fillId="0" borderId="6" xfId="0" applyNumberFormat="1" applyBorder="1"/>
    <xf numFmtId="0" fontId="0" fillId="0" borderId="3" xfId="0" applyBorder="1"/>
    <xf numFmtId="0" fontId="5" fillId="4" borderId="0" xfId="2" applyFont="1" applyFill="1" applyBorder="1" applyAlignment="1" applyProtection="1"/>
    <xf numFmtId="2" fontId="5" fillId="4" borderId="0" xfId="2" applyNumberFormat="1" applyFont="1" applyFill="1" applyBorder="1" applyAlignment="1" applyProtection="1"/>
    <xf numFmtId="0" fontId="0" fillId="0" borderId="10" xfId="0" applyBorder="1"/>
    <xf numFmtId="0" fontId="5" fillId="2" borderId="0" xfId="2" applyFont="1" applyFill="1" applyBorder="1" applyAlignment="1" applyProtection="1">
      <alignment horizontal="center"/>
    </xf>
    <xf numFmtId="0" fontId="22" fillId="5" borderId="0" xfId="2" applyFont="1" applyFill="1" applyBorder="1" applyAlignment="1" applyProtection="1">
      <alignment horizontal="center"/>
    </xf>
    <xf numFmtId="1" fontId="22" fillId="5" borderId="0" xfId="2" applyNumberFormat="1" applyFont="1" applyFill="1" applyBorder="1" applyAlignment="1" applyProtection="1">
      <alignment horizontal="center"/>
    </xf>
    <xf numFmtId="2" fontId="0" fillId="11" borderId="6" xfId="0" applyNumberFormat="1" applyFill="1" applyBorder="1"/>
    <xf numFmtId="166" fontId="22" fillId="5" borderId="0" xfId="2" applyNumberFormat="1" applyFont="1" applyFill="1" applyBorder="1" applyAlignment="1" applyProtection="1">
      <alignment horizontal="center"/>
    </xf>
    <xf numFmtId="0" fontId="22" fillId="5" borderId="0" xfId="2" applyFont="1" applyFill="1" applyBorder="1" applyAlignment="1" applyProtection="1"/>
    <xf numFmtId="0" fontId="0" fillId="0" borderId="3" xfId="0" applyFont="1" applyBorder="1"/>
    <xf numFmtId="0" fontId="0" fillId="0" borderId="0" xfId="0" applyAlignment="1">
      <alignment horizontal="right"/>
    </xf>
    <xf numFmtId="0" fontId="0" fillId="12" borderId="0" xfId="0" applyFill="1"/>
    <xf numFmtId="0" fontId="0" fillId="0" borderId="0" xfId="0"/>
    <xf numFmtId="0" fontId="13" fillId="0" borderId="1" xfId="2" applyFont="1" applyFill="1" applyBorder="1" applyAlignment="1" applyProtection="1"/>
    <xf numFmtId="0" fontId="5" fillId="6" borderId="0" xfId="2" applyFont="1" applyFill="1" applyBorder="1" applyAlignment="1" applyProtection="1"/>
    <xf numFmtId="0" fontId="0" fillId="7" borderId="0" xfId="2" applyFont="1" applyFill="1" applyBorder="1" applyAlignment="1" applyProtection="1"/>
    <xf numFmtId="1" fontId="0" fillId="0" borderId="0" xfId="0" applyNumberFormat="1"/>
    <xf numFmtId="2" fontId="22" fillId="7" borderId="0" xfId="2" applyNumberFormat="1" applyFont="1" applyFill="1" applyBorder="1" applyAlignment="1" applyProtection="1"/>
    <xf numFmtId="166" fontId="22" fillId="7" borderId="0" xfId="2" applyNumberFormat="1" applyFont="1" applyFill="1" applyBorder="1" applyAlignment="1" applyProtection="1"/>
    <xf numFmtId="9" fontId="22" fillId="7" borderId="0" xfId="2" applyNumberFormat="1" applyFont="1" applyFill="1" applyBorder="1" applyAlignment="1" applyProtection="1"/>
    <xf numFmtId="10" fontId="22" fillId="7" borderId="0" xfId="2" applyNumberFormat="1" applyFont="1" applyFill="1" applyBorder="1" applyAlignment="1" applyProtection="1"/>
    <xf numFmtId="0" fontId="5" fillId="8" borderId="0" xfId="2" applyFont="1" applyFill="1" applyBorder="1" applyAlignment="1" applyProtection="1"/>
    <xf numFmtId="0" fontId="0" fillId="9" borderId="0" xfId="2" applyFont="1" applyFill="1" applyBorder="1" applyAlignment="1" applyProtection="1"/>
    <xf numFmtId="2" fontId="0" fillId="11" borderId="0" xfId="0" applyNumberFormat="1" applyFill="1"/>
    <xf numFmtId="2" fontId="14" fillId="13" borderId="13" xfId="2" applyNumberFormat="1" applyFont="1" applyFill="1" applyBorder="1" applyAlignment="1" applyProtection="1"/>
    <xf numFmtId="2" fontId="0" fillId="11" borderId="5" xfId="0" applyNumberFormat="1" applyFill="1" applyBorder="1"/>
    <xf numFmtId="2" fontId="0" fillId="11" borderId="3" xfId="0" applyNumberFormat="1" applyFill="1" applyBorder="1"/>
    <xf numFmtId="2" fontId="0" fillId="11" borderId="2" xfId="0" applyNumberFormat="1" applyFill="1" applyBorder="1"/>
    <xf numFmtId="2" fontId="0" fillId="11" borderId="11" xfId="0" applyNumberFormat="1" applyFill="1" applyBorder="1"/>
    <xf numFmtId="2" fontId="15" fillId="0" borderId="2" xfId="2" applyNumberFormat="1" applyFont="1" applyBorder="1" applyAlignment="1" applyProtection="1"/>
    <xf numFmtId="2" fontId="0" fillId="11" borderId="0" xfId="0" applyNumberFormat="1" applyFill="1" applyBorder="1"/>
    <xf numFmtId="2" fontId="0" fillId="11" borderId="6" xfId="0" applyNumberFormat="1" applyFont="1" applyFill="1" applyBorder="1" applyAlignment="1">
      <alignment horizontal="left"/>
    </xf>
    <xf numFmtId="2" fontId="0" fillId="11" borderId="6" xfId="0" applyNumberFormat="1" applyFont="1" applyFill="1" applyBorder="1" applyAlignment="1">
      <alignment horizontal="right"/>
    </xf>
    <xf numFmtId="2" fontId="0" fillId="11" borderId="0" xfId="0" applyNumberFormat="1" applyFill="1" applyBorder="1" applyAlignment="1">
      <alignment horizontal="left"/>
    </xf>
    <xf numFmtId="2" fontId="0" fillId="11" borderId="0" xfId="0" applyNumberFormat="1" applyFill="1" applyBorder="1" applyAlignment="1">
      <alignment horizontal="right"/>
    </xf>
    <xf numFmtId="2" fontId="16" fillId="11" borderId="2" xfId="2" applyNumberFormat="1" applyFont="1" applyFill="1" applyBorder="1" applyAlignment="1" applyProtection="1"/>
    <xf numFmtId="2" fontId="0" fillId="0" borderId="0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14" fillId="13" borderId="14" xfId="2" applyNumberFormat="1" applyFont="1" applyFill="1" applyBorder="1" applyAlignment="1" applyProtection="1">
      <alignment horizontal="right"/>
    </xf>
    <xf numFmtId="2" fontId="17" fillId="14" borderId="14" xfId="2" applyNumberFormat="1" applyFont="1" applyFill="1" applyBorder="1" applyAlignment="1" applyProtection="1">
      <alignment horizontal="right"/>
    </xf>
    <xf numFmtId="2" fontId="18" fillId="15" borderId="0" xfId="0" applyNumberFormat="1" applyFont="1" applyFill="1" applyBorder="1" applyAlignment="1" applyProtection="1">
      <alignment horizontal="right"/>
    </xf>
    <xf numFmtId="2" fontId="0" fillId="11" borderId="9" xfId="0" applyNumberFormat="1" applyFill="1" applyBorder="1"/>
    <xf numFmtId="2" fontId="0" fillId="11" borderId="10" xfId="0" applyNumberFormat="1" applyFill="1" applyBorder="1"/>
    <xf numFmtId="2" fontId="0" fillId="11" borderId="12" xfId="0" applyNumberFormat="1" applyFill="1" applyBorder="1"/>
    <xf numFmtId="2" fontId="14" fillId="13" borderId="0" xfId="2" applyNumberFormat="1" applyFont="1" applyFill="1" applyBorder="1" applyAlignment="1" applyProtection="1">
      <alignment horizontal="right"/>
    </xf>
    <xf numFmtId="2" fontId="17" fillId="14" borderId="0" xfId="2" applyNumberFormat="1" applyFont="1" applyFill="1" applyBorder="1" applyAlignment="1" applyProtection="1">
      <alignment horizontal="right"/>
    </xf>
    <xf numFmtId="2" fontId="7" fillId="0" borderId="0" xfId="0" applyNumberFormat="1" applyFont="1" applyBorder="1"/>
    <xf numFmtId="2" fontId="8" fillId="0" borderId="0" xfId="0" applyNumberFormat="1" applyFont="1" applyBorder="1"/>
    <xf numFmtId="2" fontId="14" fillId="13" borderId="15" xfId="2" applyNumberFormat="1" applyFont="1" applyFill="1" applyBorder="1" applyAlignment="1" applyProtection="1"/>
    <xf numFmtId="2" fontId="17" fillId="14" borderId="15" xfId="2" applyNumberFormat="1" applyFont="1" applyFill="1" applyBorder="1" applyAlignment="1" applyProtection="1"/>
    <xf numFmtId="2" fontId="18" fillId="15" borderId="0" xfId="0" applyNumberFormat="1" applyFont="1" applyFill="1" applyBorder="1" applyAlignment="1" applyProtection="1"/>
    <xf numFmtId="2" fontId="6" fillId="0" borderId="0" xfId="0" applyNumberFormat="1" applyFont="1" applyBorder="1" applyAlignment="1" applyProtection="1">
      <alignment horizontal="left"/>
    </xf>
    <xf numFmtId="2" fontId="6" fillId="0" borderId="0" xfId="0" applyNumberFormat="1" applyFont="1" applyBorder="1" applyAlignment="1" applyProtection="1"/>
    <xf numFmtId="2" fontId="14" fillId="13" borderId="14" xfId="2" applyNumberFormat="1" applyFont="1" applyFill="1" applyBorder="1" applyAlignment="1" applyProtection="1"/>
    <xf numFmtId="2" fontId="17" fillId="14" borderId="14" xfId="2" applyNumberFormat="1" applyFont="1" applyFill="1" applyBorder="1" applyAlignment="1" applyProtection="1"/>
    <xf numFmtId="2" fontId="14" fillId="13" borderId="16" xfId="2" applyNumberFormat="1" applyFont="1" applyFill="1" applyBorder="1" applyAlignment="1" applyProtection="1"/>
    <xf numFmtId="2" fontId="18" fillId="15" borderId="2" xfId="0" applyNumberFormat="1" applyFont="1" applyFill="1" applyBorder="1" applyAlignment="1" applyProtection="1"/>
    <xf numFmtId="2" fontId="6" fillId="11" borderId="6" xfId="0" applyNumberFormat="1" applyFont="1" applyFill="1" applyBorder="1" applyAlignment="1" applyProtection="1"/>
    <xf numFmtId="2" fontId="7" fillId="11" borderId="2" xfId="0" applyNumberFormat="1" applyFont="1" applyFill="1" applyBorder="1"/>
    <xf numFmtId="2" fontId="14" fillId="13" borderId="17" xfId="2" applyNumberFormat="1" applyFont="1" applyFill="1" applyBorder="1" applyAlignment="1" applyProtection="1"/>
    <xf numFmtId="2" fontId="19" fillId="15" borderId="0" xfId="0" applyNumberFormat="1" applyFont="1" applyFill="1" applyBorder="1" applyAlignment="1" applyProtection="1"/>
    <xf numFmtId="2" fontId="16" fillId="16" borderId="18" xfId="2" applyNumberFormat="1" applyFont="1" applyFill="1" applyBorder="1" applyAlignment="1" applyProtection="1"/>
    <xf numFmtId="2" fontId="0" fillId="16" borderId="6" xfId="0" applyNumberFormat="1" applyFill="1" applyBorder="1"/>
    <xf numFmtId="2" fontId="0" fillId="16" borderId="3" xfId="0" applyNumberFormat="1" applyFill="1" applyBorder="1"/>
    <xf numFmtId="2" fontId="0" fillId="16" borderId="0" xfId="0" applyNumberFormat="1" applyFill="1" applyBorder="1"/>
    <xf numFmtId="2" fontId="0" fillId="16" borderId="11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2" fontId="0" fillId="16" borderId="12" xfId="0" applyNumberFormat="1" applyFill="1" applyBorder="1"/>
    <xf numFmtId="2" fontId="5" fillId="2" borderId="0" xfId="0" applyNumberFormat="1" applyFont="1" applyFill="1" applyBorder="1" applyAlignment="1" applyProtection="1"/>
    <xf numFmtId="2" fontId="0" fillId="0" borderId="2" xfId="0" applyNumberFormat="1" applyBorder="1"/>
    <xf numFmtId="2" fontId="17" fillId="14" borderId="19" xfId="2" applyNumberFormat="1" applyFont="1" applyFill="1" applyBorder="1" applyAlignment="1" applyProtection="1"/>
    <xf numFmtId="2" fontId="0" fillId="0" borderId="9" xfId="0" applyNumberFormat="1" applyBorder="1"/>
    <xf numFmtId="2" fontId="0" fillId="0" borderId="10" xfId="0" applyNumberFormat="1" applyBorder="1"/>
    <xf numFmtId="2" fontId="14" fillId="13" borderId="13" xfId="2" applyNumberFormat="1" applyFont="1" applyFill="1" applyBorder="1" applyAlignment="1" applyProtection="1">
      <alignment horizontal="right"/>
    </xf>
    <xf numFmtId="2" fontId="14" fillId="13" borderId="16" xfId="2" applyNumberFormat="1" applyFont="1" applyFill="1" applyBorder="1" applyAlignment="1" applyProtection="1">
      <alignment horizontal="right"/>
    </xf>
    <xf numFmtId="2" fontId="17" fillId="14" borderId="19" xfId="2" applyNumberFormat="1" applyFont="1" applyFill="1" applyBorder="1" applyAlignment="1" applyProtection="1">
      <alignment horizontal="right"/>
    </xf>
    <xf numFmtId="2" fontId="14" fillId="13" borderId="20" xfId="2" applyNumberFormat="1" applyFont="1" applyFill="1" applyBorder="1" applyAlignment="1" applyProtection="1"/>
    <xf numFmtId="2" fontId="7" fillId="0" borderId="2" xfId="0" applyNumberFormat="1" applyFont="1" applyBorder="1"/>
    <xf numFmtId="2" fontId="6" fillId="11" borderId="0" xfId="0" applyNumberFormat="1" applyFont="1" applyFill="1" applyBorder="1" applyAlignment="1" applyProtection="1"/>
    <xf numFmtId="0" fontId="6" fillId="12" borderId="0" xfId="2" applyFont="1" applyFill="1" applyBorder="1" applyAlignment="1" applyProtection="1"/>
    <xf numFmtId="0" fontId="7" fillId="0" borderId="0" xfId="0" applyFont="1"/>
    <xf numFmtId="0" fontId="20" fillId="0" borderId="0" xfId="0" applyFont="1"/>
    <xf numFmtId="0" fontId="21" fillId="0" borderId="0" xfId="0" applyFont="1"/>
    <xf numFmtId="2" fontId="0" fillId="0" borderId="0" xfId="0" applyNumberFormat="1"/>
    <xf numFmtId="0" fontId="6" fillId="0" borderId="0" xfId="2" applyFont="1" applyBorder="1" applyAlignment="1" applyProtection="1"/>
    <xf numFmtId="2" fontId="6" fillId="0" borderId="0" xfId="2" applyNumberFormat="1" applyBorder="1" applyAlignment="1" applyProtection="1"/>
    <xf numFmtId="167" fontId="0" fillId="0" borderId="0" xfId="0" applyNumberFormat="1"/>
    <xf numFmtId="168" fontId="0" fillId="0" borderId="0" xfId="0" applyNumberFormat="1"/>
    <xf numFmtId="0" fontId="25" fillId="18" borderId="23" xfId="5"/>
    <xf numFmtId="0" fontId="3" fillId="0" borderId="0" xfId="7"/>
    <xf numFmtId="0" fontId="23" fillId="0" borderId="21" xfId="3"/>
    <xf numFmtId="0" fontId="3" fillId="19" borderId="0" xfId="6"/>
    <xf numFmtId="165" fontId="3" fillId="19" borderId="0" xfId="6" applyNumberFormat="1"/>
    <xf numFmtId="0" fontId="3" fillId="20" borderId="0" xfId="8" quotePrefix="1"/>
    <xf numFmtId="0" fontId="3" fillId="20" borderId="0" xfId="8" applyFont="1"/>
    <xf numFmtId="0" fontId="3" fillId="20" borderId="0" xfId="8"/>
    <xf numFmtId="0" fontId="3" fillId="19" borderId="0" xfId="6" applyFont="1"/>
    <xf numFmtId="11" fontId="0" fillId="0" borderId="0" xfId="0" applyNumberFormat="1"/>
    <xf numFmtId="43" fontId="3" fillId="19" borderId="0" xfId="6" applyNumberFormat="1"/>
    <xf numFmtId="43" fontId="3" fillId="19" borderId="0" xfId="6" applyNumberFormat="1" applyFont="1"/>
    <xf numFmtId="0" fontId="24" fillId="17" borderId="22" xfId="4"/>
    <xf numFmtId="0" fontId="0" fillId="22" borderId="0" xfId="0" applyFill="1"/>
    <xf numFmtId="0" fontId="26" fillId="0" borderId="0" xfId="0" applyFont="1"/>
    <xf numFmtId="0" fontId="2" fillId="21" borderId="0" xfId="9"/>
    <xf numFmtId="165" fontId="2" fillId="21" borderId="0" xfId="9" applyNumberFormat="1"/>
    <xf numFmtId="43" fontId="2" fillId="21" borderId="0" xfId="9" applyNumberFormat="1"/>
    <xf numFmtId="0" fontId="27" fillId="23" borderId="0" xfId="10"/>
    <xf numFmtId="165" fontId="27" fillId="23" borderId="0" xfId="10" applyNumberFormat="1"/>
    <xf numFmtId="43" fontId="27" fillId="23" borderId="0" xfId="10" applyNumberFormat="1"/>
    <xf numFmtId="2" fontId="27" fillId="23" borderId="0" xfId="10" applyNumberFormat="1"/>
    <xf numFmtId="1" fontId="27" fillId="23" borderId="0" xfId="10" applyNumberFormat="1"/>
    <xf numFmtId="1" fontId="2" fillId="21" borderId="0" xfId="9" applyNumberFormat="1"/>
    <xf numFmtId="0" fontId="0" fillId="25" borderId="2" xfId="2" applyFont="1" applyFill="1" applyBorder="1" applyAlignment="1" applyProtection="1"/>
    <xf numFmtId="0" fontId="22" fillId="25" borderId="0" xfId="2" applyFont="1" applyFill="1" applyBorder="1" applyAlignment="1" applyProtection="1"/>
    <xf numFmtId="2" fontId="22" fillId="25" borderId="0" xfId="2" applyNumberFormat="1" applyFont="1" applyFill="1" applyBorder="1" applyAlignment="1" applyProtection="1"/>
    <xf numFmtId="0" fontId="0" fillId="25" borderId="11" xfId="2" applyFont="1" applyFill="1" applyBorder="1" applyAlignment="1" applyProtection="1"/>
    <xf numFmtId="0" fontId="7" fillId="26" borderId="9" xfId="0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0" xfId="0" applyFill="1" applyBorder="1"/>
    <xf numFmtId="0" fontId="0" fillId="26" borderId="11" xfId="0" applyFill="1" applyBorder="1"/>
    <xf numFmtId="0" fontId="0" fillId="25" borderId="5" xfId="2" applyFont="1" applyFill="1" applyBorder="1" applyAlignment="1" applyProtection="1"/>
    <xf numFmtId="1" fontId="22" fillId="25" borderId="6" xfId="2" applyNumberFormat="1" applyFont="1" applyFill="1" applyBorder="1" applyAlignment="1" applyProtection="1"/>
    <xf numFmtId="0" fontId="0" fillId="25" borderId="0" xfId="2" applyFont="1" applyFill="1" applyBorder="1" applyAlignment="1" applyProtection="1"/>
    <xf numFmtId="0" fontId="0" fillId="26" borderId="2" xfId="0" applyFont="1" applyFill="1" applyBorder="1"/>
    <xf numFmtId="10" fontId="0" fillId="26" borderId="0" xfId="0" applyNumberFormat="1" applyFill="1" applyBorder="1"/>
    <xf numFmtId="2" fontId="0" fillId="26" borderId="11" xfId="0" applyNumberFormat="1" applyFill="1" applyBorder="1"/>
    <xf numFmtId="166" fontId="0" fillId="26" borderId="0" xfId="0" applyNumberFormat="1" applyFill="1" applyBorder="1"/>
    <xf numFmtId="0" fontId="0" fillId="26" borderId="11" xfId="0" applyFont="1" applyFill="1" applyBorder="1"/>
    <xf numFmtId="0" fontId="0" fillId="26" borderId="0" xfId="0" applyFont="1" applyFill="1" applyBorder="1"/>
    <xf numFmtId="2" fontId="0" fillId="26" borderId="11" xfId="0" applyNumberFormat="1" applyFont="1" applyFill="1" applyBorder="1"/>
    <xf numFmtId="0" fontId="0" fillId="25" borderId="5" xfId="2" applyFont="1" applyFill="1" applyBorder="1" applyAlignment="1" applyProtection="1">
      <alignment horizontal="right"/>
    </xf>
    <xf numFmtId="0" fontId="22" fillId="25" borderId="6" xfId="2" applyFont="1" applyFill="1" applyBorder="1" applyAlignment="1" applyProtection="1"/>
    <xf numFmtId="0" fontId="0" fillId="25" borderId="3" xfId="2" applyFont="1" applyFill="1" applyBorder="1" applyAlignment="1" applyProtection="1"/>
    <xf numFmtId="0" fontId="0" fillId="26" borderId="2" xfId="0" applyFont="1" applyFill="1" applyBorder="1" applyAlignment="1">
      <alignment horizontal="right"/>
    </xf>
    <xf numFmtId="0" fontId="0" fillId="26" borderId="9" xfId="0" applyFill="1" applyBorder="1"/>
    <xf numFmtId="2" fontId="0" fillId="26" borderId="0" xfId="0" applyNumberFormat="1" applyFont="1" applyFill="1" applyBorder="1"/>
    <xf numFmtId="9" fontId="0" fillId="26" borderId="0" xfId="1" applyFont="1" applyFill="1" applyBorder="1" applyAlignment="1" applyProtection="1"/>
    <xf numFmtId="2" fontId="0" fillId="26" borderId="0" xfId="0" applyNumberFormat="1" applyFill="1" applyBorder="1"/>
    <xf numFmtId="2" fontId="22" fillId="25" borderId="6" xfId="2" applyNumberFormat="1" applyFont="1" applyFill="1" applyBorder="1" applyAlignment="1" applyProtection="1"/>
    <xf numFmtId="0" fontId="0" fillId="26" borderId="12" xfId="0" applyFill="1" applyBorder="1"/>
    <xf numFmtId="0" fontId="0" fillId="25" borderId="9" xfId="2" applyFont="1" applyFill="1" applyBorder="1" applyAlignment="1" applyProtection="1">
      <alignment horizontal="center"/>
    </xf>
    <xf numFmtId="0" fontId="0" fillId="25" borderId="10" xfId="2" applyFont="1" applyFill="1" applyBorder="1" applyAlignment="1" applyProtection="1">
      <alignment horizontal="center"/>
    </xf>
    <xf numFmtId="0" fontId="0" fillId="25" borderId="12" xfId="2" applyFont="1" applyFill="1" applyBorder="1" applyAlignment="1" applyProtection="1">
      <alignment horizontal="center"/>
    </xf>
    <xf numFmtId="0" fontId="0" fillId="26" borderId="5" xfId="0" applyFill="1" applyBorder="1" applyAlignment="1">
      <alignment horizontal="center"/>
    </xf>
    <xf numFmtId="0" fontId="0" fillId="26" borderId="6" xfId="0" applyFill="1" applyBorder="1" applyAlignment="1">
      <alignment horizontal="center"/>
    </xf>
    <xf numFmtId="2" fontId="0" fillId="26" borderId="6" xfId="0" applyNumberFormat="1" applyFill="1" applyBorder="1" applyAlignment="1">
      <alignment horizontal="center"/>
    </xf>
    <xf numFmtId="49" fontId="0" fillId="26" borderId="3" xfId="0" applyNumberFormat="1" applyFont="1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2" fontId="0" fillId="26" borderId="0" xfId="0" applyNumberFormat="1" applyFill="1" applyBorder="1" applyAlignment="1">
      <alignment horizontal="center"/>
    </xf>
    <xf numFmtId="49" fontId="0" fillId="26" borderId="11" xfId="0" applyNumberFormat="1" applyFont="1" applyFill="1" applyBorder="1" applyAlignment="1">
      <alignment horizontal="center"/>
    </xf>
    <xf numFmtId="164" fontId="4" fillId="26" borderId="0" xfId="2" applyNumberFormat="1" applyFont="1" applyFill="1" applyBorder="1" applyAlignment="1" applyProtection="1">
      <alignment vertical="center"/>
    </xf>
    <xf numFmtId="0" fontId="0" fillId="26" borderId="9" xfId="0" applyFill="1" applyBorder="1" applyAlignment="1">
      <alignment horizontal="center"/>
    </xf>
    <xf numFmtId="0" fontId="0" fillId="26" borderId="10" xfId="0" applyFill="1" applyBorder="1" applyAlignment="1">
      <alignment horizontal="center"/>
    </xf>
    <xf numFmtId="49" fontId="0" fillId="26" borderId="12" xfId="0" applyNumberFormat="1" applyFont="1" applyFill="1" applyBorder="1"/>
    <xf numFmtId="0" fontId="0" fillId="26" borderId="0" xfId="0" applyFill="1"/>
    <xf numFmtId="0" fontId="6" fillId="26" borderId="10" xfId="2" applyFont="1" applyFill="1" applyBorder="1" applyAlignment="1" applyProtection="1"/>
    <xf numFmtId="0" fontId="0" fillId="25" borderId="7" xfId="2" applyFont="1" applyFill="1" applyBorder="1" applyAlignment="1" applyProtection="1"/>
    <xf numFmtId="0" fontId="22" fillId="25" borderId="4" xfId="2" applyFont="1" applyFill="1" applyBorder="1" applyAlignment="1" applyProtection="1"/>
    <xf numFmtId="0" fontId="0" fillId="25" borderId="4" xfId="2" applyFont="1" applyFill="1" applyBorder="1" applyAlignment="1" applyProtection="1">
      <alignment horizontal="right"/>
    </xf>
    <xf numFmtId="165" fontId="22" fillId="25" borderId="4" xfId="2" applyNumberFormat="1" applyFont="1" applyFill="1" applyBorder="1" applyAlignment="1" applyProtection="1">
      <alignment horizontal="center"/>
    </xf>
    <xf numFmtId="0" fontId="22" fillId="25" borderId="8" xfId="2" applyFont="1" applyFill="1" applyBorder="1" applyAlignment="1" applyProtection="1"/>
    <xf numFmtId="0" fontId="0" fillId="26" borderId="7" xfId="0" applyFill="1" applyBorder="1"/>
    <xf numFmtId="0" fontId="8" fillId="26" borderId="4" xfId="0" applyFont="1" applyFill="1" applyBorder="1"/>
    <xf numFmtId="0" fontId="8" fillId="26" borderId="8" xfId="0" applyFont="1" applyFill="1" applyBorder="1"/>
    <xf numFmtId="165" fontId="0" fillId="26" borderId="0" xfId="0" applyNumberFormat="1" applyFill="1" applyBorder="1"/>
    <xf numFmtId="165" fontId="0" fillId="26" borderId="10" xfId="0" applyNumberFormat="1" applyFill="1" applyBorder="1"/>
    <xf numFmtId="0" fontId="0" fillId="26" borderId="6" xfId="0" applyFill="1" applyBorder="1"/>
    <xf numFmtId="0" fontId="0" fillId="26" borderId="5" xfId="0" applyFont="1" applyFill="1" applyBorder="1"/>
    <xf numFmtId="0" fontId="0" fillId="26" borderId="6" xfId="0" applyFont="1" applyFill="1" applyBorder="1"/>
    <xf numFmtId="165" fontId="0" fillId="26" borderId="6" xfId="0" applyNumberFormat="1" applyFill="1" applyBorder="1"/>
    <xf numFmtId="0" fontId="0" fillId="26" borderId="3" xfId="0" applyFill="1" applyBorder="1"/>
    <xf numFmtId="0" fontId="0" fillId="25" borderId="4" xfId="2" applyFont="1" applyFill="1" applyBorder="1" applyAlignment="1" applyProtection="1">
      <alignment horizontal="center"/>
    </xf>
    <xf numFmtId="0" fontId="0" fillId="26" borderId="3" xfId="0" applyFont="1" applyFill="1" applyBorder="1"/>
    <xf numFmtId="0" fontId="6" fillId="26" borderId="0" xfId="2" applyFont="1" applyFill="1" applyBorder="1" applyAlignment="1" applyProtection="1"/>
    <xf numFmtId="0" fontId="0" fillId="25" borderId="27" xfId="2" applyFont="1" applyFill="1" applyBorder="1" applyAlignment="1" applyProtection="1"/>
    <xf numFmtId="0" fontId="22" fillId="25" borderId="28" xfId="2" applyFont="1" applyFill="1" applyBorder="1" applyAlignment="1" applyProtection="1"/>
    <xf numFmtId="0" fontId="0" fillId="25" borderId="28" xfId="2" applyFont="1" applyFill="1" applyBorder="1" applyAlignment="1" applyProtection="1">
      <alignment horizontal="right"/>
    </xf>
    <xf numFmtId="0" fontId="0" fillId="25" borderId="28" xfId="2" applyFont="1" applyFill="1" applyBorder="1" applyAlignment="1" applyProtection="1">
      <alignment horizontal="center"/>
    </xf>
    <xf numFmtId="0" fontId="22" fillId="25" borderId="29" xfId="2" applyFont="1" applyFill="1" applyBorder="1" applyAlignment="1" applyProtection="1"/>
    <xf numFmtId="0" fontId="0" fillId="26" borderId="30" xfId="0" applyFill="1" applyBorder="1"/>
    <xf numFmtId="0" fontId="8" fillId="26" borderId="31" xfId="0" applyFont="1" applyFill="1" applyBorder="1"/>
    <xf numFmtId="0" fontId="8" fillId="26" borderId="32" xfId="0" applyFont="1" applyFill="1" applyBorder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29" borderId="0" xfId="0" applyFill="1"/>
    <xf numFmtId="11" fontId="0" fillId="29" borderId="0" xfId="0" applyNumberFormat="1" applyFill="1"/>
    <xf numFmtId="0" fontId="28" fillId="28" borderId="0" xfId="11"/>
    <xf numFmtId="11" fontId="28" fillId="28" borderId="0" xfId="11" applyNumberFormat="1" applyAlignment="1">
      <alignment horizontal="right"/>
    </xf>
    <xf numFmtId="11" fontId="28" fillId="28" borderId="0" xfId="11" applyNumberFormat="1"/>
    <xf numFmtId="165" fontId="28" fillId="28" borderId="0" xfId="11" applyNumberFormat="1" applyAlignment="1">
      <alignment horizontal="right"/>
    </xf>
    <xf numFmtId="2" fontId="28" fillId="28" borderId="0" xfId="11" applyNumberFormat="1" applyAlignment="1">
      <alignment horizontal="right"/>
    </xf>
    <xf numFmtId="1" fontId="28" fillId="28" borderId="0" xfId="11" applyNumberFormat="1" applyAlignment="1">
      <alignment horizontal="right"/>
    </xf>
    <xf numFmtId="0" fontId="28" fillId="28" borderId="0" xfId="11" applyAlignment="1">
      <alignment horizontal="right"/>
    </xf>
    <xf numFmtId="0" fontId="22" fillId="7" borderId="0" xfId="2" applyNumberFormat="1" applyFont="1" applyFill="1" applyBorder="1" applyAlignment="1" applyProtection="1"/>
    <xf numFmtId="2" fontId="0" fillId="11" borderId="6" xfId="0" applyNumberFormat="1" applyFill="1" applyBorder="1"/>
    <xf numFmtId="0" fontId="8" fillId="26" borderId="0" xfId="0" applyFont="1" applyFill="1" applyBorder="1"/>
    <xf numFmtId="0" fontId="0" fillId="30" borderId="0" xfId="0" applyFill="1" applyBorder="1"/>
    <xf numFmtId="0" fontId="0" fillId="30" borderId="10" xfId="0" applyFill="1" applyBorder="1"/>
    <xf numFmtId="2" fontId="2" fillId="21" borderId="0" xfId="9" applyNumberFormat="1"/>
    <xf numFmtId="0" fontId="1" fillId="21" borderId="0" xfId="9" applyFont="1"/>
    <xf numFmtId="43" fontId="0" fillId="25" borderId="27" xfId="12" applyFont="1" applyFill="1" applyBorder="1" applyAlignment="1" applyProtection="1"/>
    <xf numFmtId="43" fontId="22" fillId="25" borderId="28" xfId="12" applyFont="1" applyFill="1" applyBorder="1" applyAlignment="1" applyProtection="1"/>
    <xf numFmtId="43" fontId="0" fillId="25" borderId="28" xfId="12" applyFont="1" applyFill="1" applyBorder="1" applyAlignment="1" applyProtection="1">
      <alignment horizontal="right"/>
    </xf>
    <xf numFmtId="165" fontId="22" fillId="25" borderId="28" xfId="12" applyNumberFormat="1" applyFont="1" applyFill="1" applyBorder="1" applyAlignment="1" applyProtection="1">
      <alignment horizontal="center"/>
    </xf>
    <xf numFmtId="0" fontId="22" fillId="25" borderId="29" xfId="12" applyNumberFormat="1" applyFont="1" applyFill="1" applyBorder="1" applyAlignment="1" applyProtection="1"/>
    <xf numFmtId="0" fontId="0" fillId="26" borderId="33" xfId="0" applyFill="1" applyBorder="1"/>
    <xf numFmtId="0" fontId="8" fillId="26" borderId="34" xfId="0" applyFont="1" applyFill="1" applyBorder="1"/>
    <xf numFmtId="0" fontId="0" fillId="26" borderId="35" xfId="0" applyFill="1" applyBorder="1"/>
    <xf numFmtId="0" fontId="0" fillId="26" borderId="36" xfId="0" applyFill="1" applyBorder="1"/>
    <xf numFmtId="0" fontId="0" fillId="26" borderId="37" xfId="0" applyFill="1" applyBorder="1"/>
    <xf numFmtId="0" fontId="0" fillId="26" borderId="38" xfId="0" applyFont="1" applyFill="1" applyBorder="1"/>
    <xf numFmtId="0" fontId="0" fillId="26" borderId="38" xfId="0" applyFill="1" applyBorder="1"/>
    <xf numFmtId="165" fontId="0" fillId="26" borderId="38" xfId="0" applyNumberFormat="1" applyFill="1" applyBorder="1"/>
    <xf numFmtId="0" fontId="0" fillId="26" borderId="39" xfId="0" applyFill="1" applyBorder="1"/>
    <xf numFmtId="0" fontId="8" fillId="29" borderId="0" xfId="0" applyFont="1" applyFill="1" applyBorder="1"/>
    <xf numFmtId="2" fontId="0" fillId="11" borderId="6" xfId="0" applyNumberFormat="1" applyFill="1" applyBorder="1"/>
    <xf numFmtId="2" fontId="26" fillId="24" borderId="0" xfId="0" applyNumberFormat="1" applyFont="1" applyFill="1" applyBorder="1" applyAlignment="1">
      <alignment horizontal="center"/>
    </xf>
    <xf numFmtId="11" fontId="24" fillId="17" borderId="22" xfId="4" applyNumberFormat="1" applyAlignment="1">
      <alignment horizontal="right"/>
    </xf>
    <xf numFmtId="165" fontId="24" fillId="17" borderId="22" xfId="4" applyNumberFormat="1" applyAlignment="1">
      <alignment horizontal="right"/>
    </xf>
    <xf numFmtId="2" fontId="24" fillId="17" borderId="22" xfId="4" applyNumberFormat="1" applyAlignment="1">
      <alignment horizontal="right"/>
    </xf>
    <xf numFmtId="1" fontId="24" fillId="17" borderId="22" xfId="4" applyNumberFormat="1" applyAlignment="1">
      <alignment horizontal="right"/>
    </xf>
    <xf numFmtId="11" fontId="24" fillId="17" borderId="22" xfId="4" applyNumberFormat="1"/>
    <xf numFmtId="2" fontId="24" fillId="17" borderId="22" xfId="4" applyNumberFormat="1"/>
    <xf numFmtId="0" fontId="24" fillId="17" borderId="22" xfId="4" applyAlignment="1">
      <alignment horizontal="right"/>
    </xf>
    <xf numFmtId="0" fontId="0" fillId="31" borderId="0" xfId="0" applyFill="1"/>
    <xf numFmtId="0" fontId="28" fillId="31" borderId="0" xfId="11" applyFill="1"/>
    <xf numFmtId="11" fontId="28" fillId="31" borderId="0" xfId="11" applyNumberFormat="1" applyFill="1" applyAlignment="1">
      <alignment horizontal="right"/>
    </xf>
    <xf numFmtId="11" fontId="28" fillId="31" borderId="0" xfId="11" applyNumberFormat="1" applyFill="1"/>
    <xf numFmtId="11" fontId="0" fillId="31" borderId="0" xfId="0" applyNumberFormat="1" applyFill="1"/>
    <xf numFmtId="165" fontId="28" fillId="31" borderId="0" xfId="11" applyNumberFormat="1" applyFill="1" applyAlignment="1">
      <alignment horizontal="right"/>
    </xf>
    <xf numFmtId="2" fontId="28" fillId="31" borderId="0" xfId="11" applyNumberFormat="1" applyFill="1" applyAlignment="1">
      <alignment horizontal="right"/>
    </xf>
    <xf numFmtId="1" fontId="28" fillId="31" borderId="0" xfId="11" applyNumberFormat="1" applyFill="1" applyAlignment="1">
      <alignment horizontal="right"/>
    </xf>
    <xf numFmtId="0" fontId="28" fillId="31" borderId="0" xfId="11" applyFill="1" applyAlignment="1">
      <alignment horizontal="right"/>
    </xf>
    <xf numFmtId="2" fontId="0" fillId="11" borderId="3" xfId="0" applyNumberFormat="1" applyFont="1" applyFill="1" applyBorder="1"/>
    <xf numFmtId="2" fontId="0" fillId="11" borderId="6" xfId="0" applyNumberFormat="1" applyFill="1" applyBorder="1"/>
    <xf numFmtId="2" fontId="0" fillId="11" borderId="11" xfId="0" applyNumberFormat="1" applyFont="1" applyFill="1" applyBorder="1"/>
    <xf numFmtId="2" fontId="0" fillId="11" borderId="2" xfId="0" applyNumberFormat="1" applyFont="1" applyFill="1" applyBorder="1"/>
    <xf numFmtId="0" fontId="5" fillId="6" borderId="0" xfId="2" applyFont="1" applyFill="1" applyBorder="1" applyAlignment="1" applyProtection="1">
      <alignment horizontal="center"/>
    </xf>
    <xf numFmtId="2" fontId="0" fillId="11" borderId="6" xfId="0" applyNumberFormat="1" applyFont="1" applyFill="1" applyBorder="1"/>
    <xf numFmtId="2" fontId="26" fillId="24" borderId="24" xfId="0" applyNumberFormat="1" applyFont="1" applyFill="1" applyBorder="1" applyAlignment="1">
      <alignment horizontal="center"/>
    </xf>
    <xf numFmtId="2" fontId="26" fillId="24" borderId="25" xfId="0" applyNumberFormat="1" applyFont="1" applyFill="1" applyBorder="1" applyAlignment="1">
      <alignment horizontal="center"/>
    </xf>
    <xf numFmtId="2" fontId="26" fillId="24" borderId="26" xfId="0" applyNumberFormat="1" applyFont="1" applyFill="1" applyBorder="1" applyAlignment="1">
      <alignment horizontal="center"/>
    </xf>
    <xf numFmtId="0" fontId="0" fillId="27" borderId="24" xfId="0" applyFill="1" applyBorder="1" applyAlignment="1">
      <alignment horizontal="center"/>
    </xf>
    <xf numFmtId="0" fontId="0" fillId="27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</cellXfs>
  <cellStyles count="13">
    <cellStyle name="20% - Accent1" xfId="6" builtinId="30"/>
    <cellStyle name="20% - Accent2" xfId="9" builtinId="34"/>
    <cellStyle name="40% - Accent1 2" xfId="8"/>
    <cellStyle name="Accent3" xfId="10" builtinId="37"/>
    <cellStyle name="Calculation" xfId="4" builtinId="22"/>
    <cellStyle name="Check Cell" xfId="5" builtinId="23"/>
    <cellStyle name="Comma" xfId="12" builtinId="3"/>
    <cellStyle name="Heading 1" xfId="3" builtinId="16"/>
    <cellStyle name="Neutral" xfId="11" builtinId="28"/>
    <cellStyle name="Normal" xfId="0" builtinId="0"/>
    <cellStyle name="Normal 2" xfId="7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5B3D7"/>
      <rgbColor rgb="FFC0504D"/>
      <rgbColor rgb="FFF2F2F2"/>
      <rgbColor rgb="FFDCE6F2"/>
      <rgbColor rgb="FF660066"/>
      <rgbColor rgb="FFA5A5A5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C3D69B"/>
      <rgbColor rgb="FFA7C0DE"/>
      <rgbColor rgb="FFB7B7B7"/>
      <rgbColor rgb="FFCCC1DA"/>
      <rgbColor rgb="FFFFCC99"/>
      <rgbColor rgb="FF4F81BD"/>
      <rgbColor rgb="FF33CCCC"/>
      <rgbColor rgb="FF9BBB59"/>
      <rgbColor rgb="FFFFCC00"/>
      <rgbColor rgb="FFFF9900"/>
      <rgbColor rgb="FFFA7D00"/>
      <rgbColor rgb="FF8064A2"/>
      <rgbColor rgb="FF878787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nl-BE" b="1">
                <a:solidFill>
                  <a:srgbClr val="000000"/>
                </a:solidFill>
                <a:latin typeface="Calibri"/>
              </a:rPr>
              <a:t>Chart Title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'Tabula data'!$B$3</c:f>
              <c:strCache>
                <c:ptCount val="1"/>
                <c:pt idx="0">
                  <c:v>Tabula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('Tabula data'!$A$4:$A$7,'Tabula data'!$A$10,'Tabula data'!$A$14:$A$21,'Tabula data'!$A$26)</c:f>
              <c:strCache>
                <c:ptCount val="14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number of floors</c:v>
                </c:pt>
                <c:pt idx="7">
                  <c:v>height floor</c:v>
                </c:pt>
                <c:pt idx="8">
                  <c:v>width facade</c:v>
                </c:pt>
                <c:pt idx="9">
                  <c:v>depth building</c:v>
                </c:pt>
                <c:pt idx="10">
                  <c:v>Afacade</c:v>
                </c:pt>
                <c:pt idx="11">
                  <c:v>Area common wall</c:v>
                </c:pt>
                <c:pt idx="12">
                  <c:v>Doors</c:v>
                </c:pt>
                <c:pt idx="13">
                  <c:v>Total windows</c:v>
                </c:pt>
              </c:strCache>
            </c:strRef>
          </c:cat>
          <c:val>
            <c:numRef>
              <c:f>('Tabula data'!$B$4:$B$7,'Tabula data'!$B$10,'Tabula data'!$B$14:$B$21,'Tabula data'!$B$26)</c:f>
              <c:numCache>
                <c:formatCode>General</c:formatCode>
                <c:ptCount val="14"/>
                <c:pt idx="0">
                  <c:v>185.3</c:v>
                </c:pt>
                <c:pt idx="1">
                  <c:v>509.6</c:v>
                </c:pt>
                <c:pt idx="2">
                  <c:v>389.6</c:v>
                </c:pt>
                <c:pt idx="3">
                  <c:v>108.5</c:v>
                </c:pt>
                <c:pt idx="4" formatCode="0.0">
                  <c:v>143.20000000000002</c:v>
                </c:pt>
                <c:pt idx="5">
                  <c:v>96</c:v>
                </c:pt>
                <c:pt idx="6">
                  <c:v>2</c:v>
                </c:pt>
                <c:pt idx="7" formatCode="0.00">
                  <c:v>2.7501349163518616</c:v>
                </c:pt>
                <c:pt idx="8" formatCode="0.00">
                  <c:v>6.9282032302755088</c:v>
                </c:pt>
                <c:pt idx="9" formatCode="0.00">
                  <c:v>13.856406460551019</c:v>
                </c:pt>
                <c:pt idx="10" formatCode="0.00">
                  <c:v>38.106987222324868</c:v>
                </c:pt>
                <c:pt idx="11" formatCode="0.00">
                  <c:v>66.986025555350281</c:v>
                </c:pt>
                <c:pt idx="12">
                  <c:v>9.5</c:v>
                </c:pt>
                <c:pt idx="13">
                  <c:v>32.299999999999997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'Tabula data'!$D$3</c:f>
              <c:strCache>
                <c:ptCount val="1"/>
                <c:pt idx="0">
                  <c:v>Allacker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('Tabula data'!$A$4:$A$7,'Tabula data'!$A$10,'Tabula data'!$A$14:$A$21,'Tabula data'!$A$26)</c:f>
              <c:strCache>
                <c:ptCount val="14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number of floors</c:v>
                </c:pt>
                <c:pt idx="7">
                  <c:v>height floor</c:v>
                </c:pt>
                <c:pt idx="8">
                  <c:v>width facade</c:v>
                </c:pt>
                <c:pt idx="9">
                  <c:v>depth building</c:v>
                </c:pt>
                <c:pt idx="10">
                  <c:v>Afacade</c:v>
                </c:pt>
                <c:pt idx="11">
                  <c:v>Area common wall</c:v>
                </c:pt>
                <c:pt idx="12">
                  <c:v>Doors</c:v>
                </c:pt>
                <c:pt idx="13">
                  <c:v>Total windows</c:v>
                </c:pt>
              </c:strCache>
            </c:strRef>
          </c:cat>
          <c:val>
            <c:numRef>
              <c:f>('Tabula data'!$D$4:$D$7,'Tabula data'!$D$10,'Tabula data'!$D$21:$D$21,'Tabula data'!$D$26)</c:f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881408"/>
        <c:axId val="196911872"/>
      </c:barChart>
      <c:catAx>
        <c:axId val="196881408"/>
        <c:scaling>
          <c:orientation val="minMax"/>
        </c:scaling>
        <c:delete val="1"/>
        <c:axPos val="b"/>
        <c:majorTickMark val="out"/>
        <c:minorTickMark val="none"/>
        <c:tickLblPos val="nextTo"/>
        <c:crossAx val="196911872"/>
        <c:crossesAt val="0"/>
        <c:auto val="1"/>
        <c:lblAlgn val="ctr"/>
        <c:lblOffset val="100"/>
        <c:noMultiLvlLbl val="1"/>
      </c:catAx>
      <c:valAx>
        <c:axId val="196911872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numFmt formatCode="General" sourceLinked="1"/>
        <c:majorTickMark val="out"/>
        <c:minorTickMark val="none"/>
        <c:tickLblPos val="nextTo"/>
        <c:crossAx val="19688140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'Gebouwgegevens Tabula 2zone'!$AP$3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cat>
            <c:strRef>
              <c:f>'Gebouwgegevens Tabula 2zone'!$AO$9:$AO$12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'Gebouwgegevens Tabula 2zone'!$AP$9:$AP$12</c:f>
              <c:numCache>
                <c:formatCode>0.00E+00</c:formatCode>
                <c:ptCount val="4"/>
                <c:pt idx="0">
                  <c:v>1768166.3999999999</c:v>
                </c:pt>
                <c:pt idx="1">
                  <c:v>13429671.581219645</c:v>
                </c:pt>
                <c:pt idx="2">
                  <c:v>14644885.483000543</c:v>
                </c:pt>
                <c:pt idx="3">
                  <c:v>10652160</c:v>
                </c:pt>
              </c:numCache>
            </c:numRef>
          </c:val>
        </c:ser>
        <c:ser>
          <c:idx val="1"/>
          <c:order val="1"/>
          <c:tx>
            <c:strRef>
              <c:f>'Gebouwgegevens Tabula 2zone'!$BC$1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val>
            <c:numRef>
              <c:f>'Gebouwgegevens Tabula 2zone'!$BN$9:$BN$12</c:f>
              <c:numCache>
                <c:formatCode>0.000</c:formatCode>
                <c:ptCount val="4"/>
                <c:pt idx="0">
                  <c:v>2950000</c:v>
                </c:pt>
                <c:pt idx="1">
                  <c:v>23100000</c:v>
                </c:pt>
                <c:pt idx="2">
                  <c:v>30400000</c:v>
                </c:pt>
                <c:pt idx="3">
                  <c:v>15600000</c:v>
                </c:pt>
              </c:numCache>
            </c:numRef>
          </c:val>
        </c:ser>
        <c:ser>
          <c:idx val="2"/>
          <c:order val="2"/>
          <c:tx>
            <c:strRef>
              <c:f>'Gebouwgegevens Tabula 2zone'!$BQ$1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val>
            <c:numRef>
              <c:f>'Gebouwgegevens Tabula 2zone'!$CC$11:$CC$14</c:f>
              <c:numCache>
                <c:formatCode>0.00</c:formatCode>
                <c:ptCount val="4"/>
                <c:pt idx="0">
                  <c:v>3560000</c:v>
                </c:pt>
                <c:pt idx="1">
                  <c:v>32200000</c:v>
                </c:pt>
                <c:pt idx="2">
                  <c:v>25400000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239936"/>
        <c:axId val="197241472"/>
      </c:barChart>
      <c:catAx>
        <c:axId val="197239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97241472"/>
        <c:crosses val="autoZero"/>
        <c:auto val="1"/>
        <c:lblAlgn val="ctr"/>
        <c:lblOffset val="100"/>
        <c:noMultiLvlLbl val="0"/>
      </c:catAx>
      <c:valAx>
        <c:axId val="1972414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Capacity [J]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197239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'Gebouwgegevens Tabula 2zone'!$AP$3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'Gebouwgegevens Tabula 2zone'!$CA$21:$CA$26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'Gebouwgegevens Tabula 2zone'!$AP$19:$AP$24</c:f>
              <c:numCache>
                <c:formatCode>General</c:formatCode>
                <c:ptCount val="6"/>
                <c:pt idx="0">
                  <c:v>177.65852222619762</c:v>
                </c:pt>
                <c:pt idx="1">
                  <c:v>305.45454545454544</c:v>
                </c:pt>
                <c:pt idx="2">
                  <c:v>321.59308227688655</c:v>
                </c:pt>
                <c:pt idx="3" formatCode="0.00">
                  <c:v>165.7062043956044</c:v>
                </c:pt>
                <c:pt idx="4">
                  <c:v>125.28411280849714</c:v>
                </c:pt>
                <c:pt idx="5">
                  <c:v>49.472392638036808</c:v>
                </c:pt>
              </c:numCache>
            </c:numRef>
          </c:val>
        </c:ser>
        <c:ser>
          <c:idx val="1"/>
          <c:order val="1"/>
          <c:tx>
            <c:strRef>
              <c:f>'Gebouwgegevens Tabula 2zone'!$BC$1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'Gebouwgegevens Tabula 2zone'!$CA$21:$CA$26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'Gebouwgegevens Tabula 2zone'!$BN$19:$BN$24</c:f>
              <c:numCache>
                <c:formatCode>0</c:formatCode>
                <c:ptCount val="6"/>
                <c:pt idx="0">
                  <c:v>637</c:v>
                </c:pt>
                <c:pt idx="1">
                  <c:v>795</c:v>
                </c:pt>
                <c:pt idx="2">
                  <c:v>1310</c:v>
                </c:pt>
                <c:pt idx="3">
                  <c:v>253</c:v>
                </c:pt>
                <c:pt idx="4">
                  <c:v>217.39130434782609</c:v>
                </c:pt>
                <c:pt idx="5">
                  <c:v>81.900000000000006</c:v>
                </c:pt>
              </c:numCache>
            </c:numRef>
          </c:val>
        </c:ser>
        <c:ser>
          <c:idx val="2"/>
          <c:order val="2"/>
          <c:tx>
            <c:strRef>
              <c:f>'Gebouwgegevens Tabula 2zone'!$BQ$1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'Gebouwgegevens Tabula 2zone'!$CA$21:$CA$26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'Gebouwgegevens Tabula 2zone'!$CC$21:$CC$26</c:f>
              <c:numCache>
                <c:formatCode>0</c:formatCode>
                <c:ptCount val="6"/>
                <c:pt idx="0">
                  <c:v>278</c:v>
                </c:pt>
                <c:pt idx="1">
                  <c:v>215</c:v>
                </c:pt>
                <c:pt idx="2">
                  <c:v>457</c:v>
                </c:pt>
                <c:pt idx="3">
                  <c:v>272</c:v>
                </c:pt>
                <c:pt idx="4">
                  <c:v>326.79738562091507</c:v>
                </c:pt>
                <c:pt idx="5">
                  <c:v>75.900000000000006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318144"/>
        <c:axId val="197319680"/>
      </c:barChart>
      <c:catAx>
        <c:axId val="197318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7319680"/>
        <c:crosses val="autoZero"/>
        <c:auto val="1"/>
        <c:lblAlgn val="ctr"/>
        <c:lblOffset val="100"/>
        <c:noMultiLvlLbl val="0"/>
      </c:catAx>
      <c:valAx>
        <c:axId val="19731968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 transfer coefficients</a:t>
                </a:r>
                <a:r>
                  <a:rPr lang="en-US" baseline="0"/>
                  <a:t> [W/K]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318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2zone Ref 1'!$AO$3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cat>
            <c:strRef>
              <c:f>'Tabula 2zone Ref 1'!$AN$9:$AN$12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2zone Ref 1'!$AO$9:$AO$12</c:f>
              <c:numCache>
                <c:formatCode>0.00E+00</c:formatCode>
                <c:ptCount val="4"/>
                <c:pt idx="0">
                  <c:v>1768166.3999999999</c:v>
                </c:pt>
                <c:pt idx="1">
                  <c:v>13429671.581219645</c:v>
                </c:pt>
                <c:pt idx="2">
                  <c:v>14644885.483000543</c:v>
                </c:pt>
                <c:pt idx="3">
                  <c:v>10652160</c:v>
                </c:pt>
              </c:numCache>
            </c:numRef>
          </c:val>
        </c:ser>
        <c:ser>
          <c:idx val="1"/>
          <c:order val="1"/>
          <c:tx>
            <c:strRef>
              <c:f>'Tabula 2zone Ref 1'!$BB$1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val>
            <c:numRef>
              <c:f>'Tabula 2zone Ref 1'!$BM$9:$BM$12</c:f>
              <c:numCache>
                <c:formatCode>0.000</c:formatCode>
                <c:ptCount val="4"/>
                <c:pt idx="0">
                  <c:v>2950000</c:v>
                </c:pt>
                <c:pt idx="1">
                  <c:v>23100000</c:v>
                </c:pt>
                <c:pt idx="2">
                  <c:v>30400000</c:v>
                </c:pt>
                <c:pt idx="3">
                  <c:v>15600000</c:v>
                </c:pt>
              </c:numCache>
            </c:numRef>
          </c:val>
        </c:ser>
        <c:ser>
          <c:idx val="2"/>
          <c:order val="2"/>
          <c:tx>
            <c:strRef>
              <c:f>'Tabula 2zone Ref 1'!$BP$1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val>
            <c:numRef>
              <c:f>'Tabula 2zone Ref 1'!$CB$11:$CB$14</c:f>
              <c:numCache>
                <c:formatCode>0.00</c:formatCode>
                <c:ptCount val="4"/>
                <c:pt idx="0">
                  <c:v>3560000</c:v>
                </c:pt>
                <c:pt idx="1">
                  <c:v>32200000</c:v>
                </c:pt>
                <c:pt idx="2">
                  <c:v>25400000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9144576"/>
        <c:axId val="199146112"/>
      </c:barChart>
      <c:catAx>
        <c:axId val="199144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99146112"/>
        <c:crosses val="autoZero"/>
        <c:auto val="1"/>
        <c:lblAlgn val="ctr"/>
        <c:lblOffset val="100"/>
        <c:noMultiLvlLbl val="0"/>
      </c:catAx>
      <c:valAx>
        <c:axId val="19914611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Capacity [J]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199144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2zone Ref 1'!$AO$3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1'!$BZ$21:$BZ$26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1'!$AO$19:$AO$24</c:f>
              <c:numCache>
                <c:formatCode>0</c:formatCode>
                <c:ptCount val="6"/>
                <c:pt idx="0">
                  <c:v>273.46072875090488</c:v>
                </c:pt>
                <c:pt idx="1">
                  <c:v>399.20792079207922</c:v>
                </c:pt>
                <c:pt idx="2">
                  <c:v>515.26683938273379</c:v>
                </c:pt>
                <c:pt idx="3">
                  <c:v>103.48120439560441</c:v>
                </c:pt>
                <c:pt idx="4">
                  <c:v>25.716718303719439</c:v>
                </c:pt>
                <c:pt idx="5">
                  <c:v>30.991544965411222</c:v>
                </c:pt>
              </c:numCache>
            </c:numRef>
          </c:val>
        </c:ser>
        <c:ser>
          <c:idx val="1"/>
          <c:order val="1"/>
          <c:tx>
            <c:strRef>
              <c:f>'Tabula 2zone Ref 1'!$BB$1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1'!$BZ$21:$BZ$26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1'!$BM$19:$BM$24</c:f>
              <c:numCache>
                <c:formatCode>0</c:formatCode>
                <c:ptCount val="6"/>
                <c:pt idx="0">
                  <c:v>637</c:v>
                </c:pt>
                <c:pt idx="1">
                  <c:v>795</c:v>
                </c:pt>
                <c:pt idx="2">
                  <c:v>1310</c:v>
                </c:pt>
                <c:pt idx="3">
                  <c:v>253</c:v>
                </c:pt>
                <c:pt idx="4">
                  <c:v>217.39130434782609</c:v>
                </c:pt>
                <c:pt idx="5">
                  <c:v>81.900000000000006</c:v>
                </c:pt>
              </c:numCache>
            </c:numRef>
          </c:val>
        </c:ser>
        <c:ser>
          <c:idx val="2"/>
          <c:order val="2"/>
          <c:tx>
            <c:strRef>
              <c:f>'Tabula 2zone Ref 1'!$BP$1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1'!$BZ$21:$BZ$26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1'!$CB$21:$CB$26</c:f>
              <c:numCache>
                <c:formatCode>0</c:formatCode>
                <c:ptCount val="6"/>
                <c:pt idx="0">
                  <c:v>278</c:v>
                </c:pt>
                <c:pt idx="1">
                  <c:v>215</c:v>
                </c:pt>
                <c:pt idx="2">
                  <c:v>457</c:v>
                </c:pt>
                <c:pt idx="3">
                  <c:v>272</c:v>
                </c:pt>
                <c:pt idx="4">
                  <c:v>326.79738562091507</c:v>
                </c:pt>
                <c:pt idx="5">
                  <c:v>75.900000000000006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9185920"/>
        <c:axId val="199187456"/>
      </c:barChart>
      <c:catAx>
        <c:axId val="199185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9187456"/>
        <c:crosses val="autoZero"/>
        <c:auto val="1"/>
        <c:lblAlgn val="ctr"/>
        <c:lblOffset val="100"/>
        <c:noMultiLvlLbl val="0"/>
      </c:catAx>
      <c:valAx>
        <c:axId val="199187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 transfer coefficients</a:t>
                </a:r>
                <a:r>
                  <a:rPr lang="en-US" baseline="0"/>
                  <a:t> [W/K]</a:t>
                </a:r>
                <a:endParaRPr lang="en-US"/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99185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2zone Ref 2'!$AO$3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cat>
            <c:strRef>
              <c:f>'Tabula 2zone Ref 2'!$AN$9:$AN$12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2zone Ref 2'!$AO$9:$AO$12</c:f>
              <c:numCache>
                <c:formatCode>0.00E+00</c:formatCode>
                <c:ptCount val="4"/>
                <c:pt idx="0">
                  <c:v>1768166.3999999999</c:v>
                </c:pt>
                <c:pt idx="1">
                  <c:v>13429671.581219645</c:v>
                </c:pt>
                <c:pt idx="2">
                  <c:v>14644885.483000543</c:v>
                </c:pt>
                <c:pt idx="3">
                  <c:v>10652160</c:v>
                </c:pt>
              </c:numCache>
            </c:numRef>
          </c:val>
        </c:ser>
        <c:ser>
          <c:idx val="1"/>
          <c:order val="1"/>
          <c:tx>
            <c:strRef>
              <c:f>'Tabula 2zone Ref 2'!$BB$1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val>
            <c:numRef>
              <c:f>'Tabula 2zone Ref 2'!$BM$9:$BM$12</c:f>
              <c:numCache>
                <c:formatCode>0.000</c:formatCode>
                <c:ptCount val="4"/>
                <c:pt idx="0">
                  <c:v>2950000</c:v>
                </c:pt>
                <c:pt idx="1">
                  <c:v>23100000</c:v>
                </c:pt>
                <c:pt idx="2">
                  <c:v>30400000</c:v>
                </c:pt>
                <c:pt idx="3">
                  <c:v>15600000</c:v>
                </c:pt>
              </c:numCache>
            </c:numRef>
          </c:val>
        </c:ser>
        <c:ser>
          <c:idx val="2"/>
          <c:order val="2"/>
          <c:tx>
            <c:strRef>
              <c:f>'Tabula 2zone Ref 2'!$BP$1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val>
            <c:numRef>
              <c:f>'Tabula 2zone Ref 2'!$CB$11:$CB$14</c:f>
              <c:numCache>
                <c:formatCode>0.00</c:formatCode>
                <c:ptCount val="4"/>
                <c:pt idx="0">
                  <c:v>3560000</c:v>
                </c:pt>
                <c:pt idx="1">
                  <c:v>32200000</c:v>
                </c:pt>
                <c:pt idx="2">
                  <c:v>25400000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0286976"/>
        <c:axId val="200288512"/>
      </c:barChart>
      <c:catAx>
        <c:axId val="20028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0288512"/>
        <c:crosses val="autoZero"/>
        <c:auto val="1"/>
        <c:lblAlgn val="ctr"/>
        <c:lblOffset val="100"/>
        <c:noMultiLvlLbl val="0"/>
      </c:catAx>
      <c:valAx>
        <c:axId val="20028851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Capacity [J]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0028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2zone Ref 2'!$AO$3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2'!$BZ$21:$BZ$26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2'!$AO$19:$AO$24</c:f>
              <c:numCache>
                <c:formatCode>0</c:formatCode>
                <c:ptCount val="6"/>
                <c:pt idx="0">
                  <c:v>273.46072875090488</c:v>
                </c:pt>
                <c:pt idx="1">
                  <c:v>399.20792079207922</c:v>
                </c:pt>
                <c:pt idx="2">
                  <c:v>515.26683938273379</c:v>
                </c:pt>
                <c:pt idx="3">
                  <c:v>88.946204395604411</c:v>
                </c:pt>
                <c:pt idx="4">
                  <c:v>26.680087446828775</c:v>
                </c:pt>
                <c:pt idx="5">
                  <c:v>18.045651200954797</c:v>
                </c:pt>
              </c:numCache>
            </c:numRef>
          </c:val>
        </c:ser>
        <c:ser>
          <c:idx val="1"/>
          <c:order val="1"/>
          <c:tx>
            <c:strRef>
              <c:f>'Tabula 2zone Ref 2'!$BB$1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2'!$BZ$21:$BZ$26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2'!$BM$19:$BM$24</c:f>
              <c:numCache>
                <c:formatCode>0</c:formatCode>
                <c:ptCount val="6"/>
                <c:pt idx="0">
                  <c:v>637</c:v>
                </c:pt>
                <c:pt idx="1">
                  <c:v>795</c:v>
                </c:pt>
                <c:pt idx="2">
                  <c:v>1310</c:v>
                </c:pt>
                <c:pt idx="3">
                  <c:v>253</c:v>
                </c:pt>
                <c:pt idx="4">
                  <c:v>217.39130434782609</c:v>
                </c:pt>
                <c:pt idx="5">
                  <c:v>81.900000000000006</c:v>
                </c:pt>
              </c:numCache>
            </c:numRef>
          </c:val>
        </c:ser>
        <c:ser>
          <c:idx val="2"/>
          <c:order val="2"/>
          <c:tx>
            <c:strRef>
              <c:f>'Tabula 2zone Ref 2'!$BP$1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2zone Ref 2'!$BZ$21:$BZ$26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2zone Ref 2'!$CB$21:$CB$26</c:f>
              <c:numCache>
                <c:formatCode>0</c:formatCode>
                <c:ptCount val="6"/>
                <c:pt idx="0">
                  <c:v>278</c:v>
                </c:pt>
                <c:pt idx="1">
                  <c:v>215</c:v>
                </c:pt>
                <c:pt idx="2">
                  <c:v>457</c:v>
                </c:pt>
                <c:pt idx="3">
                  <c:v>272</c:v>
                </c:pt>
                <c:pt idx="4">
                  <c:v>326.79738562091507</c:v>
                </c:pt>
                <c:pt idx="5">
                  <c:v>75.900000000000006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0340608"/>
        <c:axId val="200342144"/>
      </c:barChart>
      <c:catAx>
        <c:axId val="200340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0342144"/>
        <c:crosses val="autoZero"/>
        <c:auto val="1"/>
        <c:lblAlgn val="ctr"/>
        <c:lblOffset val="100"/>
        <c:noMultiLvlLbl val="0"/>
      </c:catAx>
      <c:valAx>
        <c:axId val="20034214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 transfer coefficients</a:t>
                </a:r>
                <a:r>
                  <a:rPr lang="en-US" baseline="0"/>
                  <a:t> [W/K]</a:t>
                </a:r>
                <a:endParaRPr lang="en-US"/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00340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RefULG 1'!$AP$3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cat>
            <c:strRef>
              <c:f>'Tabula RefULG 1'!$AO$9:$AO$12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1'!$AP$9:$AP$12</c:f>
              <c:numCache>
                <c:formatCode>0.00E+00</c:formatCode>
                <c:ptCount val="4"/>
                <c:pt idx="0">
                  <c:v>1768166.3999999999</c:v>
                </c:pt>
                <c:pt idx="1">
                  <c:v>13429671.581219645</c:v>
                </c:pt>
                <c:pt idx="2">
                  <c:v>7322442.7415002715</c:v>
                </c:pt>
                <c:pt idx="3">
                  <c:v>10652160</c:v>
                </c:pt>
              </c:numCache>
            </c:numRef>
          </c:val>
        </c:ser>
        <c:ser>
          <c:idx val="1"/>
          <c:order val="1"/>
          <c:tx>
            <c:strRef>
              <c:f>'Tabula RefULG 1'!$BC$1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val>
            <c:numRef>
              <c:f>'Tabula RefULG 1'!$BN$9:$BN$12</c:f>
              <c:numCache>
                <c:formatCode>0.000</c:formatCode>
                <c:ptCount val="4"/>
                <c:pt idx="0">
                  <c:v>2950000</c:v>
                </c:pt>
                <c:pt idx="1">
                  <c:v>23100000</c:v>
                </c:pt>
                <c:pt idx="2">
                  <c:v>30400000</c:v>
                </c:pt>
                <c:pt idx="3">
                  <c:v>15600000</c:v>
                </c:pt>
              </c:numCache>
            </c:numRef>
          </c:val>
        </c:ser>
        <c:ser>
          <c:idx val="2"/>
          <c:order val="2"/>
          <c:tx>
            <c:strRef>
              <c:f>'Tabula RefULG 1'!$BQ$1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val>
            <c:numRef>
              <c:f>'Tabula RefULG 1'!$CC$11:$CC$14</c:f>
              <c:numCache>
                <c:formatCode>0.00</c:formatCode>
                <c:ptCount val="4"/>
                <c:pt idx="0">
                  <c:v>3560000</c:v>
                </c:pt>
                <c:pt idx="1">
                  <c:v>32200000</c:v>
                </c:pt>
                <c:pt idx="2">
                  <c:v>25400000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2838400"/>
        <c:axId val="202839936"/>
      </c:barChart>
      <c:catAx>
        <c:axId val="202838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2839936"/>
        <c:crosses val="autoZero"/>
        <c:auto val="1"/>
        <c:lblAlgn val="ctr"/>
        <c:lblOffset val="100"/>
        <c:noMultiLvlLbl val="0"/>
      </c:catAx>
      <c:valAx>
        <c:axId val="20283993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Capacity [J]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02838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RefULG 1'!$AP$3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1'!$CA$21:$CA$26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1'!$AP$19:$AP$24</c:f>
              <c:numCache>
                <c:formatCode>General</c:formatCode>
                <c:ptCount val="6"/>
                <c:pt idx="0">
                  <c:v>136.73036437545244</c:v>
                </c:pt>
                <c:pt idx="1">
                  <c:v>199.60396039603961</c:v>
                </c:pt>
                <c:pt idx="2">
                  <c:v>179.65020969510115</c:v>
                </c:pt>
                <c:pt idx="3" formatCode="0.00">
                  <c:v>96.501670329670333</c:v>
                </c:pt>
                <c:pt idx="4">
                  <c:v>125.28411280849714</c:v>
                </c:pt>
                <c:pt idx="5">
                  <c:v>25.518987341772153</c:v>
                </c:pt>
              </c:numCache>
            </c:numRef>
          </c:val>
        </c:ser>
        <c:ser>
          <c:idx val="1"/>
          <c:order val="1"/>
          <c:tx>
            <c:strRef>
              <c:f>'Tabula RefULG 1'!$BC$1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1'!$CA$21:$CA$26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1'!$BN$19:$BN$24</c:f>
              <c:numCache>
                <c:formatCode>0</c:formatCode>
                <c:ptCount val="6"/>
                <c:pt idx="0">
                  <c:v>637</c:v>
                </c:pt>
                <c:pt idx="1">
                  <c:v>795</c:v>
                </c:pt>
                <c:pt idx="2">
                  <c:v>1310</c:v>
                </c:pt>
                <c:pt idx="3">
                  <c:v>253</c:v>
                </c:pt>
                <c:pt idx="4">
                  <c:v>217.39130434782609</c:v>
                </c:pt>
                <c:pt idx="5">
                  <c:v>81.900000000000006</c:v>
                </c:pt>
              </c:numCache>
            </c:numRef>
          </c:val>
        </c:ser>
        <c:ser>
          <c:idx val="2"/>
          <c:order val="2"/>
          <c:tx>
            <c:strRef>
              <c:f>'Tabula RefULG 1'!$BQ$1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1'!$CA$21:$CA$26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1'!$CC$21:$CC$26</c:f>
              <c:numCache>
                <c:formatCode>0</c:formatCode>
                <c:ptCount val="6"/>
                <c:pt idx="0">
                  <c:v>278</c:v>
                </c:pt>
                <c:pt idx="1">
                  <c:v>215</c:v>
                </c:pt>
                <c:pt idx="2">
                  <c:v>457</c:v>
                </c:pt>
                <c:pt idx="3">
                  <c:v>272</c:v>
                </c:pt>
                <c:pt idx="4">
                  <c:v>326.79738562091507</c:v>
                </c:pt>
                <c:pt idx="5">
                  <c:v>75.900000000000006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2875648"/>
        <c:axId val="202877184"/>
      </c:barChart>
      <c:catAx>
        <c:axId val="20287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2877184"/>
        <c:crosses val="autoZero"/>
        <c:auto val="1"/>
        <c:lblAlgn val="ctr"/>
        <c:lblOffset val="100"/>
        <c:noMultiLvlLbl val="0"/>
      </c:catAx>
      <c:valAx>
        <c:axId val="20287718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 transfer coefficients</a:t>
                </a:r>
                <a:r>
                  <a:rPr lang="en-US" baseline="0"/>
                  <a:t> [W/K]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87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RefULG 2'!$AP$3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cat>
            <c:strRef>
              <c:f>'Tabula RefULG 2'!$AO$9:$AO$12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2'!$AP$9:$AP$12</c:f>
              <c:numCache>
                <c:formatCode>0.00E+00</c:formatCode>
                <c:ptCount val="4"/>
                <c:pt idx="0">
                  <c:v>1768166.3999999999</c:v>
                </c:pt>
                <c:pt idx="1">
                  <c:v>13429671.581219645</c:v>
                </c:pt>
                <c:pt idx="2">
                  <c:v>7322442.7415002715</c:v>
                </c:pt>
                <c:pt idx="3">
                  <c:v>10652160</c:v>
                </c:pt>
              </c:numCache>
            </c:numRef>
          </c:val>
        </c:ser>
        <c:ser>
          <c:idx val="1"/>
          <c:order val="1"/>
          <c:tx>
            <c:strRef>
              <c:f>'Tabula RefULG 2'!$BC$1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val>
            <c:numRef>
              <c:f>'Tabula RefULG 2'!$BN$9:$BN$12</c:f>
              <c:numCache>
                <c:formatCode>0.000</c:formatCode>
                <c:ptCount val="4"/>
                <c:pt idx="0">
                  <c:v>2950000</c:v>
                </c:pt>
                <c:pt idx="1">
                  <c:v>23100000</c:v>
                </c:pt>
                <c:pt idx="2">
                  <c:v>30400000</c:v>
                </c:pt>
                <c:pt idx="3">
                  <c:v>15600000</c:v>
                </c:pt>
              </c:numCache>
            </c:numRef>
          </c:val>
        </c:ser>
        <c:ser>
          <c:idx val="2"/>
          <c:order val="2"/>
          <c:tx>
            <c:strRef>
              <c:f>'Tabula RefULG 2'!$BQ$1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val>
            <c:numRef>
              <c:f>'Tabula RefULG 2'!$CC$11:$CC$14</c:f>
              <c:numCache>
                <c:formatCode>0.00</c:formatCode>
                <c:ptCount val="4"/>
                <c:pt idx="0">
                  <c:v>3560000</c:v>
                </c:pt>
                <c:pt idx="1">
                  <c:v>32200000</c:v>
                </c:pt>
                <c:pt idx="2">
                  <c:v>25400000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9411840"/>
        <c:axId val="99413376"/>
      </c:barChart>
      <c:catAx>
        <c:axId val="9941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99413376"/>
        <c:crosses val="autoZero"/>
        <c:auto val="1"/>
        <c:lblAlgn val="ctr"/>
        <c:lblOffset val="100"/>
        <c:noMultiLvlLbl val="0"/>
      </c:catAx>
      <c:valAx>
        <c:axId val="9941337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Capacity [J]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9941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'Tabula RefULG 2'!$AP$3</c:f>
              <c:strCache>
                <c:ptCount val="1"/>
                <c:pt idx="0">
                  <c:v>Theoretical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2'!$CA$21:$CA$26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2'!$AP$19:$AP$24</c:f>
              <c:numCache>
                <c:formatCode>General</c:formatCode>
                <c:ptCount val="6"/>
                <c:pt idx="0">
                  <c:v>136.73036437545244</c:v>
                </c:pt>
                <c:pt idx="1">
                  <c:v>199.60396039603961</c:v>
                </c:pt>
                <c:pt idx="2">
                  <c:v>223.43567964266481</c:v>
                </c:pt>
                <c:pt idx="3" formatCode="0.00">
                  <c:v>96.501670329670333</c:v>
                </c:pt>
                <c:pt idx="4">
                  <c:v>27.090531131726085</c:v>
                </c:pt>
                <c:pt idx="5">
                  <c:v>10.381307771180783</c:v>
                </c:pt>
              </c:numCache>
            </c:numRef>
          </c:val>
        </c:ser>
        <c:ser>
          <c:idx val="1"/>
          <c:order val="1"/>
          <c:tx>
            <c:strRef>
              <c:f>'Tabula RefULG 2'!$BC$1</c:f>
              <c:strCache>
                <c:ptCount val="1"/>
                <c:pt idx="0">
                  <c:v>Estimated PRBS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2'!$CA$21:$CA$26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2'!$BN$19:$BN$24</c:f>
              <c:numCache>
                <c:formatCode>0</c:formatCode>
                <c:ptCount val="6"/>
                <c:pt idx="0">
                  <c:v>637</c:v>
                </c:pt>
                <c:pt idx="1">
                  <c:v>795</c:v>
                </c:pt>
                <c:pt idx="2">
                  <c:v>1310</c:v>
                </c:pt>
                <c:pt idx="3">
                  <c:v>253</c:v>
                </c:pt>
                <c:pt idx="4">
                  <c:v>217.39130434782609</c:v>
                </c:pt>
                <c:pt idx="5">
                  <c:v>81.900000000000006</c:v>
                </c:pt>
              </c:numCache>
            </c:numRef>
          </c:val>
        </c:ser>
        <c:ser>
          <c:idx val="2"/>
          <c:order val="2"/>
          <c:tx>
            <c:strRef>
              <c:f>'Tabula RefULG 2'!$BQ$1</c:f>
              <c:strCache>
                <c:ptCount val="1"/>
                <c:pt idx="0">
                  <c:v>Estimated In Use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'Tabula RefULG 2'!$CA$21:$CA$26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2'!$CC$21:$CC$26</c:f>
              <c:numCache>
                <c:formatCode>0</c:formatCode>
                <c:ptCount val="6"/>
                <c:pt idx="0">
                  <c:v>278</c:v>
                </c:pt>
                <c:pt idx="1">
                  <c:v>215</c:v>
                </c:pt>
                <c:pt idx="2">
                  <c:v>457</c:v>
                </c:pt>
                <c:pt idx="3">
                  <c:v>272</c:v>
                </c:pt>
                <c:pt idx="4">
                  <c:v>326.79738562091507</c:v>
                </c:pt>
                <c:pt idx="5">
                  <c:v>75.900000000000006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9129600"/>
        <c:axId val="99135488"/>
      </c:barChart>
      <c:catAx>
        <c:axId val="99129600"/>
        <c:scaling>
          <c:orientation val="minMax"/>
        </c:scaling>
        <c:delete val="0"/>
        <c:axPos val="b"/>
        <c:majorTickMark val="out"/>
        <c:minorTickMark val="none"/>
        <c:tickLblPos val="nextTo"/>
        <c:crossAx val="99135488"/>
        <c:crosses val="autoZero"/>
        <c:auto val="1"/>
        <c:lblAlgn val="ctr"/>
        <c:lblOffset val="100"/>
        <c:noMultiLvlLbl val="0"/>
      </c:catAx>
      <c:valAx>
        <c:axId val="9913548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33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 transfer coefficients</a:t>
                </a:r>
                <a:r>
                  <a:rPr lang="en-US" baseline="0"/>
                  <a:t> [W/K]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129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5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9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2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3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4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5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6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7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2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2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3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7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8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9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1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3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4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5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6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7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9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9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0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1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3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5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6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7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8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9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1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3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8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9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3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7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1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2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4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6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0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1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2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3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4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8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0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2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6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7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8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9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0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1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5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6" name="AutoShape 21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7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8" name="AutoShape 1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9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455760</xdr:colOff>
      <xdr:row>9</xdr:row>
      <xdr:rowOff>181440</xdr:rowOff>
    </xdr:from>
    <xdr:to>
      <xdr:col>22</xdr:col>
      <xdr:colOff>112680</xdr:colOff>
      <xdr:row>31</xdr:row>
      <xdr:rowOff>142920</xdr:rowOff>
    </xdr:to>
    <xdr:graphicFrame macro="">
      <xdr:nvGraphicFramePr>
        <xdr:cNvPr id="4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9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0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1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84</xdr:col>
      <xdr:colOff>22411</xdr:colOff>
      <xdr:row>4</xdr:row>
      <xdr:rowOff>0</xdr:rowOff>
    </xdr:from>
    <xdr:to>
      <xdr:col>91</xdr:col>
      <xdr:colOff>308161</xdr:colOff>
      <xdr:row>18</xdr:row>
      <xdr:rowOff>76200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84</xdr:col>
      <xdr:colOff>0</xdr:colOff>
      <xdr:row>19</xdr:row>
      <xdr:rowOff>82923</xdr:rowOff>
    </xdr:from>
    <xdr:to>
      <xdr:col>91</xdr:col>
      <xdr:colOff>285750</xdr:colOff>
      <xdr:row>33</xdr:row>
      <xdr:rowOff>159123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5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7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9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6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8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2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4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0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2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3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2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4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8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0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4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6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7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3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0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2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3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6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8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4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2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4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8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5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0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4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6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7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8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6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0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2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3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6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8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7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0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1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2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3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4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5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6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7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8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89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0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1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2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3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4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5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6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7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8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199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0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1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2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3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4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5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6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7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8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09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0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1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2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3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4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5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6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7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8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19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0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1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2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3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4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5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6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7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8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29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0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1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2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3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4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5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6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7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8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39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40" name="AutoShape 17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41" name="AutoShape 16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42" name="AutoShape 15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43" name="AutoShape 14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44" name="AutoShape 13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245" name="AutoShape 12"/>
        <xdr:cNvSpPr>
          <a:spLocks noChangeArrowheads="1"/>
        </xdr:cNvSpPr>
      </xdr:nvSpPr>
      <xdr:spPr bwMode="auto">
        <a:xfrm>
          <a:off x="0" y="0"/>
          <a:ext cx="9334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22411</xdr:colOff>
      <xdr:row>4</xdr:row>
      <xdr:rowOff>0</xdr:rowOff>
    </xdr:from>
    <xdr:to>
      <xdr:col>90</xdr:col>
      <xdr:colOff>308161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83</xdr:col>
      <xdr:colOff>0</xdr:colOff>
      <xdr:row>19</xdr:row>
      <xdr:rowOff>82923</xdr:rowOff>
    </xdr:from>
    <xdr:to>
      <xdr:col>90</xdr:col>
      <xdr:colOff>285750</xdr:colOff>
      <xdr:row>33</xdr:row>
      <xdr:rowOff>159123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0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6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8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0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2" name="AutoShape 1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4" name="AutoShape 15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6" name="AutoShape 1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7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3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3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2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3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4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5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6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3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4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5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7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4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5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2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3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4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6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8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6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0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2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4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17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22411</xdr:colOff>
      <xdr:row>4</xdr:row>
      <xdr:rowOff>0</xdr:rowOff>
    </xdr:from>
    <xdr:to>
      <xdr:col>90</xdr:col>
      <xdr:colOff>308161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83</xdr:col>
      <xdr:colOff>0</xdr:colOff>
      <xdr:row>19</xdr:row>
      <xdr:rowOff>82923</xdr:rowOff>
    </xdr:from>
    <xdr:to>
      <xdr:col>90</xdr:col>
      <xdr:colOff>285750</xdr:colOff>
      <xdr:row>33</xdr:row>
      <xdr:rowOff>159123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4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0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4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5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6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8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0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2" name="AutoShape 1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3" name="AutoShape 16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4" name="AutoShape 15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5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6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7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5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3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3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8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8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294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2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3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6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7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8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09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0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2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3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4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5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6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8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19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4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5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7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2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0" name="AutoShape 8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1" name="AutoShape 7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2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4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5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6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7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8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3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0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1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2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1234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22411</xdr:colOff>
      <xdr:row>4</xdr:row>
      <xdr:rowOff>0</xdr:rowOff>
    </xdr:from>
    <xdr:to>
      <xdr:col>91</xdr:col>
      <xdr:colOff>308161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84</xdr:col>
      <xdr:colOff>0</xdr:colOff>
      <xdr:row>19</xdr:row>
      <xdr:rowOff>82923</xdr:rowOff>
    </xdr:from>
    <xdr:to>
      <xdr:col>91</xdr:col>
      <xdr:colOff>285750</xdr:colOff>
      <xdr:row>33</xdr:row>
      <xdr:rowOff>159123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9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0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2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4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5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6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8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0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1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2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3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4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5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6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7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8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9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0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1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2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3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4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5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6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7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8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9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2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3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4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5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6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7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8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9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0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1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2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3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4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5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6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7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8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9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0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1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2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3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4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5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6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7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8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9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0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1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2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3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4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5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6" name="AutoShape 17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7" name="AutoShape 16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8" name="AutoShape 15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9" name="AutoShape 14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0" name="AutoShape 13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1" name="AutoShape 12"/>
        <xdr:cNvSpPr>
          <a:spLocks noChangeArrowheads="1"/>
        </xdr:cNvSpPr>
      </xdr:nvSpPr>
      <xdr:spPr bwMode="auto">
        <a:xfrm>
          <a:off x="0" y="0"/>
          <a:ext cx="10134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17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1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15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14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1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04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05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06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07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08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09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1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1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1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18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19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2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2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2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2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24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25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26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27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28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29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30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31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32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33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34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35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2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3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4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5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7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0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1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2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3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4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5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36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37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38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39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40" name="AutoShape 13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41" name="AutoShape 12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42" name="AutoShape 11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43" name="AutoShape 10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1544" name="AutoShape 9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22411</xdr:colOff>
      <xdr:row>4</xdr:row>
      <xdr:rowOff>0</xdr:rowOff>
    </xdr:from>
    <xdr:to>
      <xdr:col>91</xdr:col>
      <xdr:colOff>308161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84</xdr:col>
      <xdr:colOff>0</xdr:colOff>
      <xdr:row>19</xdr:row>
      <xdr:rowOff>82923</xdr:rowOff>
    </xdr:from>
    <xdr:to>
      <xdr:col>91</xdr:col>
      <xdr:colOff>285750</xdr:colOff>
      <xdr:row>33</xdr:row>
      <xdr:rowOff>159123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9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0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2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3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4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5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6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8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0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1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2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3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4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5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6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7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8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29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0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1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2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3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4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5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6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7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8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39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0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1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2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3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4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5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6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7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8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49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0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1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2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3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4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5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6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7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8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59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0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1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2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3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4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5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6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7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8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69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0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1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2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3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4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5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6" name="AutoShape 17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7" name="AutoShape 16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8" name="AutoShape 15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79" name="AutoShape 14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0" name="AutoShape 13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76200</xdr:rowOff>
    </xdr:to>
    <xdr:sp macro="" textlink="">
      <xdr:nvSpPr>
        <xdr:cNvPr id="81" name="AutoShape 12"/>
        <xdr:cNvSpPr>
          <a:spLocks noChangeArrowheads="1"/>
        </xdr:cNvSpPr>
      </xdr:nvSpPr>
      <xdr:spPr bwMode="auto">
        <a:xfrm>
          <a:off x="0" y="0"/>
          <a:ext cx="8534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22542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2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3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4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5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6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7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8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89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0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76200</xdr:rowOff>
    </xdr:to>
    <xdr:sp macro="" textlink="">
      <xdr:nvSpPr>
        <xdr:cNvPr id="91" name="AutoShape 14"/>
        <xdr:cNvSpPr>
          <a:spLocks noChangeArrowheads="1"/>
        </xdr:cNvSpPr>
      </xdr:nvSpPr>
      <xdr:spPr bwMode="auto">
        <a:xfrm>
          <a:off x="0" y="0"/>
          <a:ext cx="79248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1"/>
  <sheetViews>
    <sheetView workbookViewId="0">
      <selection sqref="A1:G1"/>
    </sheetView>
  </sheetViews>
  <sheetFormatPr defaultRowHeight="15" x14ac:dyDescent="0.25"/>
  <cols>
    <col min="1" max="1" width="20.5703125"/>
    <col min="2" max="2" width="12.28515625"/>
    <col min="4" max="4" width="22.140625"/>
    <col min="6" max="6" width="7.140625"/>
    <col min="7" max="7" width="5.5703125"/>
    <col min="8" max="8" width="7.7109375"/>
    <col min="9" max="9" width="9.140625" style="1"/>
    <col min="11" max="11" width="10.42578125" style="2"/>
    <col min="12" max="12" width="8" style="2"/>
    <col min="13" max="13" width="16.85546875" style="2"/>
    <col min="14" max="14" width="12.5703125"/>
    <col min="15" max="15" width="11.28515625"/>
    <col min="16" max="17" width="9.28515625" style="3"/>
    <col min="18" max="18" width="12.140625"/>
    <col min="19" max="19" width="11.7109375"/>
    <col min="20" max="20" width="12.140625"/>
    <col min="21" max="21" width="3.140625" style="1"/>
    <col min="22" max="22" width="3"/>
  </cols>
  <sheetData>
    <row r="1" spans="1:33" ht="20.25" customHeight="1" x14ac:dyDescent="0.25">
      <c r="A1" s="310" t="s">
        <v>0</v>
      </c>
      <c r="B1" s="310"/>
      <c r="C1" s="310"/>
      <c r="D1" s="310"/>
      <c r="E1" s="310"/>
      <c r="F1" s="310"/>
      <c r="G1" s="310"/>
    </row>
    <row r="3" spans="1:33" x14ac:dyDescent="0.25">
      <c r="A3" s="307" t="s">
        <v>1</v>
      </c>
      <c r="B3" s="307"/>
      <c r="C3" s="307"/>
      <c r="D3" s="307"/>
      <c r="E3" s="307"/>
      <c r="F3" s="307"/>
      <c r="G3" s="307"/>
      <c r="H3" s="307"/>
      <c r="J3" s="307" t="s">
        <v>2</v>
      </c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4"/>
      <c r="V3" s="307" t="s">
        <v>3</v>
      </c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</row>
    <row r="4" spans="1:33" ht="15.75" customHeight="1" x14ac:dyDescent="0.25">
      <c r="Y4" s="5" t="s">
        <v>4</v>
      </c>
      <c r="Z4" s="5">
        <v>1.7</v>
      </c>
      <c r="AA4" s="5" t="s">
        <v>5</v>
      </c>
    </row>
    <row r="5" spans="1:33" ht="15" customHeight="1" x14ac:dyDescent="0.25">
      <c r="A5" s="6" t="s">
        <v>6</v>
      </c>
      <c r="B5" s="7">
        <v>766</v>
      </c>
      <c r="C5" s="7" t="s">
        <v>7</v>
      </c>
      <c r="D5" s="6" t="s">
        <v>8</v>
      </c>
      <c r="E5" s="7"/>
      <c r="F5" s="7"/>
      <c r="G5" s="8">
        <f>SUM(H7:H14)</f>
        <v>41.199999999999996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33" ht="15" customHeight="1" x14ac:dyDescent="0.25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'Tabula data'!B10*0.55/2</f>
        <v>39.38000000000001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86.723980850137835</v>
      </c>
      <c r="R6" s="30">
        <f t="shared" ref="R6:R28" si="2">VLOOKUP(M6,$W$5:$AD$391,8,0)*N6</f>
        <v>17716274.400000006</v>
      </c>
      <c r="S6" s="30">
        <f t="shared" ref="S6:S28" si="3">R6/N6</f>
        <v>449880.00000000006</v>
      </c>
      <c r="T6" s="30">
        <f t="shared" ref="T6:T28" si="4">VLOOKUP(M6,$W$5:$AF$391,10,0)*N6</f>
        <v>17716274.400000006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</row>
    <row r="7" spans="1:33" ht="15" customHeight="1" x14ac:dyDescent="0.25">
      <c r="A7" s="6" t="s">
        <v>34</v>
      </c>
      <c r="B7" s="35">
        <v>279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0.26213592233009714</v>
      </c>
      <c r="G7" s="24" t="s">
        <v>37</v>
      </c>
      <c r="H7" s="39">
        <v>10.8</v>
      </c>
      <c r="J7" t="s">
        <v>38</v>
      </c>
      <c r="K7" s="40">
        <v>0</v>
      </c>
      <c r="L7" s="41">
        <v>1</v>
      </c>
      <c r="M7" s="41" t="s">
        <v>25</v>
      </c>
      <c r="N7" s="42">
        <f>'Tabula data'!B10*0.45*0.5</f>
        <v>32.220000000000006</v>
      </c>
      <c r="O7" s="43" t="s">
        <v>39</v>
      </c>
      <c r="P7" s="30">
        <f t="shared" si="0"/>
        <v>2.2022341505875525</v>
      </c>
      <c r="Q7" s="30">
        <f t="shared" si="1"/>
        <v>70.955984331930949</v>
      </c>
      <c r="R7" s="30">
        <f t="shared" si="2"/>
        <v>14495133.600000003</v>
      </c>
      <c r="S7" s="30">
        <f t="shared" si="3"/>
        <v>449880</v>
      </c>
      <c r="T7" s="30">
        <f t="shared" si="4"/>
        <v>14495133.600000003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</row>
    <row r="8" spans="1:33" ht="15" customHeight="1" x14ac:dyDescent="0.25">
      <c r="A8" s="45" t="s">
        <v>42</v>
      </c>
      <c r="B8" s="46">
        <f>B7-B9</f>
        <v>167.39999999999998</v>
      </c>
      <c r="C8" s="47" t="s">
        <v>9</v>
      </c>
      <c r="D8" s="37" t="s">
        <v>43</v>
      </c>
      <c r="E8" s="24" t="s">
        <v>36</v>
      </c>
      <c r="F8" s="38">
        <f t="shared" si="5"/>
        <v>0.22572815533980586</v>
      </c>
      <c r="G8" s="24" t="s">
        <v>37</v>
      </c>
      <c r="H8" s="39">
        <v>9.3000000000000007</v>
      </c>
      <c r="J8" t="s">
        <v>44</v>
      </c>
      <c r="K8" s="40">
        <v>0</v>
      </c>
      <c r="L8" s="41">
        <v>1</v>
      </c>
      <c r="M8" s="41" t="s">
        <v>25</v>
      </c>
      <c r="N8" s="42">
        <f>N6</f>
        <v>39.38000000000001</v>
      </c>
      <c r="O8" s="43" t="s">
        <v>45</v>
      </c>
      <c r="P8" s="30">
        <f t="shared" si="0"/>
        <v>2.2022341505875525</v>
      </c>
      <c r="Q8" s="30">
        <f t="shared" si="1"/>
        <v>86.723980850137835</v>
      </c>
      <c r="R8" s="30">
        <f t="shared" si="2"/>
        <v>17716274.400000006</v>
      </c>
      <c r="S8" s="30">
        <f t="shared" si="3"/>
        <v>449880.00000000006</v>
      </c>
      <c r="T8" s="30">
        <f t="shared" si="4"/>
        <v>17716274.400000006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33" ht="15" customHeight="1" x14ac:dyDescent="0.25">
      <c r="A9" s="48" t="s">
        <v>47</v>
      </c>
      <c r="B9" s="49">
        <f>0.4*B7</f>
        <v>111.60000000000001</v>
      </c>
      <c r="C9" s="24"/>
      <c r="D9" s="37" t="s">
        <v>48</v>
      </c>
      <c r="E9" s="24" t="s">
        <v>36</v>
      </c>
      <c r="F9" s="38">
        <f t="shared" si="5"/>
        <v>0.29611650485436897</v>
      </c>
      <c r="G9" s="24" t="s">
        <v>37</v>
      </c>
      <c r="H9" s="39">
        <v>12.2</v>
      </c>
      <c r="J9" t="s">
        <v>49</v>
      </c>
      <c r="K9" s="40">
        <v>0</v>
      </c>
      <c r="L9" s="41">
        <v>1</v>
      </c>
      <c r="M9" s="41" t="s">
        <v>25</v>
      </c>
      <c r="N9" s="42">
        <f>N7</f>
        <v>32.220000000000006</v>
      </c>
      <c r="O9" s="43" t="s">
        <v>50</v>
      </c>
      <c r="P9" s="30">
        <f t="shared" si="0"/>
        <v>2.2022341505875525</v>
      </c>
      <c r="Q9" s="30">
        <f t="shared" si="1"/>
        <v>70.955984331930949</v>
      </c>
      <c r="R9" s="30">
        <f t="shared" si="2"/>
        <v>14495133.600000003</v>
      </c>
      <c r="S9" s="30">
        <f t="shared" si="3"/>
        <v>449880</v>
      </c>
      <c r="T9" s="30">
        <f t="shared" si="4"/>
        <v>14495133.600000003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33" ht="15" customHeight="1" x14ac:dyDescent="0.25">
      <c r="A10" s="23"/>
      <c r="B10" s="24"/>
      <c r="C10" s="24"/>
      <c r="D10" s="37" t="s">
        <v>52</v>
      </c>
      <c r="E10" s="50" t="s">
        <v>36</v>
      </c>
      <c r="F10" s="38">
        <f t="shared" si="5"/>
        <v>0.2160194174757282</v>
      </c>
      <c r="G10" s="24" t="s">
        <v>37</v>
      </c>
      <c r="H10" s="39">
        <v>8.9</v>
      </c>
      <c r="J10" t="s">
        <v>53</v>
      </c>
      <c r="K10" s="40">
        <v>0</v>
      </c>
      <c r="L10" s="41">
        <v>1</v>
      </c>
      <c r="M10" s="41" t="s">
        <v>54</v>
      </c>
      <c r="N10" s="42">
        <f>H7</f>
        <v>10.8</v>
      </c>
      <c r="O10" s="43" t="s">
        <v>26</v>
      </c>
      <c r="P10" s="30">
        <f t="shared" si="0"/>
        <v>5</v>
      </c>
      <c r="Q10" s="30">
        <f t="shared" si="1"/>
        <v>54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33" ht="15" customHeight="1" x14ac:dyDescent="0.25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9.3000000000000007</v>
      </c>
      <c r="O11" s="43" t="s">
        <v>39</v>
      </c>
      <c r="P11" s="30">
        <f t="shared" si="0"/>
        <v>5</v>
      </c>
      <c r="Q11" s="30">
        <f t="shared" si="1"/>
        <v>46.5</v>
      </c>
      <c r="R11" s="30">
        <f t="shared" si="2"/>
        <v>0</v>
      </c>
      <c r="S11" s="30">
        <f t="shared" si="3"/>
        <v>0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33" ht="15" customHeight="1" x14ac:dyDescent="0.25">
      <c r="A12" s="23"/>
      <c r="B12" s="24"/>
      <c r="C12" s="24"/>
      <c r="D12" s="37" t="s">
        <v>43</v>
      </c>
      <c r="E12" s="50" t="s">
        <v>56</v>
      </c>
      <c r="F12" s="51">
        <f t="shared" si="5"/>
        <v>0</v>
      </c>
      <c r="G12" s="24"/>
      <c r="H12" s="52">
        <v>0</v>
      </c>
      <c r="J12" t="s">
        <v>59</v>
      </c>
      <c r="K12" s="40">
        <v>0</v>
      </c>
      <c r="L12" s="41">
        <v>1</v>
      </c>
      <c r="M12" s="41" t="s">
        <v>54</v>
      </c>
      <c r="N12" s="42">
        <f>H9</f>
        <v>12.2</v>
      </c>
      <c r="O12" s="43" t="s">
        <v>45</v>
      </c>
      <c r="P12" s="30">
        <f t="shared" si="0"/>
        <v>5</v>
      </c>
      <c r="Q12" s="30">
        <f t="shared" si="1"/>
        <v>61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33" ht="15" customHeight="1" x14ac:dyDescent="0.25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f>H10</f>
        <v>8.9</v>
      </c>
      <c r="O13" s="43" t="s">
        <v>50</v>
      </c>
      <c r="P13" s="30">
        <f t="shared" si="0"/>
        <v>5</v>
      </c>
      <c r="Q13" s="30">
        <f t="shared" si="1"/>
        <v>44.5</v>
      </c>
      <c r="R13" s="30">
        <f t="shared" si="2"/>
        <v>0</v>
      </c>
      <c r="S13" s="30">
        <f t="shared" si="3"/>
        <v>0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33" ht="15" customHeight="1" x14ac:dyDescent="0.25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'Tabula data'!B14</f>
        <v>96</v>
      </c>
      <c r="O14" s="43"/>
      <c r="P14" s="30">
        <f t="shared" si="0"/>
        <v>2.5990099009900991</v>
      </c>
      <c r="Q14" s="30">
        <f t="shared" si="1"/>
        <v>249.50495049504951</v>
      </c>
      <c r="R14" s="30">
        <f t="shared" si="2"/>
        <v>43166208</v>
      </c>
      <c r="S14" s="30">
        <f t="shared" si="3"/>
        <v>449648</v>
      </c>
      <c r="T14" s="30">
        <f t="shared" si="4"/>
        <v>43166208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SUM(AD17:AD19)</f>
        <v>449880</v>
      </c>
      <c r="AG14" s="14"/>
    </row>
    <row r="15" spans="1:33" ht="15" customHeight="1" x14ac:dyDescent="0.25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f>'Tabula data'!B7</f>
        <v>108.5</v>
      </c>
      <c r="O15" s="43"/>
      <c r="P15" s="30">
        <f t="shared" si="0"/>
        <v>1.6975498473547073</v>
      </c>
      <c r="Q15" s="30">
        <f t="shared" si="1"/>
        <v>184.18415843798573</v>
      </c>
      <c r="R15" s="30">
        <f t="shared" si="2"/>
        <v>8455405</v>
      </c>
      <c r="S15" s="30">
        <f t="shared" si="3"/>
        <v>77930</v>
      </c>
      <c r="T15" s="30">
        <f t="shared" si="4"/>
        <v>4581955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33" ht="15" customHeight="1" x14ac:dyDescent="0.25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'Tabula data'!B21</f>
        <v>9.5</v>
      </c>
      <c r="O16" s="43"/>
      <c r="P16" s="30">
        <f t="shared" si="0"/>
        <v>4</v>
      </c>
      <c r="Q16" s="30">
        <f t="shared" si="1"/>
        <v>38</v>
      </c>
      <c r="R16" s="30">
        <f t="shared" si="2"/>
        <v>346940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25">
      <c r="A17" s="53"/>
      <c r="B17" s="22"/>
      <c r="C17" s="22"/>
      <c r="D17" s="37" t="s">
        <v>69</v>
      </c>
      <c r="E17" s="24"/>
      <c r="F17" s="58">
        <f>B5/B27</f>
        <v>1.2783711615487316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25">
      <c r="A18" s="6" t="s">
        <v>73</v>
      </c>
      <c r="B18" s="60">
        <v>0</v>
      </c>
      <c r="C18" s="7" t="s">
        <v>9</v>
      </c>
      <c r="D18" s="37" t="s">
        <v>74</v>
      </c>
      <c r="E18" s="24"/>
      <c r="F18" s="58">
        <f>B27/B24</f>
        <v>2.1476702508960575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v>0</v>
      </c>
      <c r="O18" s="43" t="s">
        <v>39</v>
      </c>
      <c r="P18" s="30">
        <f t="shared" si="0"/>
        <v>2.2022341505875525</v>
      </c>
      <c r="Q18" s="30">
        <f t="shared" si="1"/>
        <v>0</v>
      </c>
      <c r="R18" s="30">
        <f t="shared" si="2"/>
        <v>0</v>
      </c>
      <c r="S18" s="30" t="e">
        <f t="shared" si="3"/>
        <v>#DIV/0!</v>
      </c>
      <c r="T18" s="30">
        <f t="shared" si="4"/>
        <v>0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25">
      <c r="A19" s="23" t="s">
        <v>77</v>
      </c>
      <c r="B19" s="24">
        <v>0</v>
      </c>
      <c r="C19" s="24"/>
      <c r="D19" s="37" t="s">
        <v>78</v>
      </c>
      <c r="E19" s="24"/>
      <c r="F19" s="58">
        <f>B27/B7</f>
        <v>2.1476702508960575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25">
      <c r="A20" s="23" t="s">
        <v>81</v>
      </c>
      <c r="B20" s="49">
        <f>B18-B19</f>
        <v>0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v>0</v>
      </c>
      <c r="O20" s="43" t="s">
        <v>50</v>
      </c>
      <c r="P20" s="30">
        <f t="shared" si="0"/>
        <v>2.2022341505875525</v>
      </c>
      <c r="Q20" s="30">
        <f t="shared" si="1"/>
        <v>0</v>
      </c>
      <c r="R20" s="30">
        <f t="shared" si="2"/>
        <v>0</v>
      </c>
      <c r="S20" s="30" t="e">
        <f t="shared" si="3"/>
        <v>#DIV/0!</v>
      </c>
      <c r="T20" s="30">
        <f t="shared" si="4"/>
        <v>0</v>
      </c>
      <c r="U20" s="31"/>
      <c r="V20" s="3"/>
      <c r="AE20" s="14"/>
      <c r="AF20" s="14"/>
      <c r="AG20" s="14"/>
    </row>
    <row r="21" spans="1:33" ht="15" customHeight="1" x14ac:dyDescent="0.25">
      <c r="A21" s="23"/>
      <c r="B21" s="24"/>
      <c r="C21" s="24"/>
      <c r="D21" s="37" t="s">
        <v>83</v>
      </c>
      <c r="E21" s="59"/>
      <c r="F21" s="62">
        <f>G5/B24</f>
        <v>0.14767025089605734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SUM(AD23:AD25)</f>
        <v>150360</v>
      </c>
      <c r="AG21" s="14"/>
    </row>
    <row r="22" spans="1:33" ht="15" customHeight="1" x14ac:dyDescent="0.25">
      <c r="A22" s="23"/>
      <c r="B22" s="24"/>
      <c r="C22" s="24"/>
      <c r="D22" s="37" t="s">
        <v>86</v>
      </c>
      <c r="E22" s="59"/>
      <c r="F22" s="62">
        <f>G5/B7</f>
        <v>0.14767025089605734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0</v>
      </c>
      <c r="O22" s="43" t="s">
        <v>39</v>
      </c>
      <c r="P22" s="30">
        <f t="shared" si="0"/>
        <v>5</v>
      </c>
      <c r="Q22" s="30">
        <f t="shared" si="1"/>
        <v>0</v>
      </c>
      <c r="R22" s="30">
        <f t="shared" si="2"/>
        <v>0</v>
      </c>
      <c r="S22" s="30" t="e">
        <f t="shared" si="3"/>
        <v>#DIV/0!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25">
      <c r="A23" s="53"/>
      <c r="B23" s="22"/>
      <c r="C23" s="22"/>
      <c r="D23" s="23" t="s">
        <v>88</v>
      </c>
      <c r="E23" s="24"/>
      <c r="F23" s="38">
        <f>G5/B27</f>
        <v>6.875834445927903E-2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25">
      <c r="A24" s="6" t="s">
        <v>91</v>
      </c>
      <c r="B24" s="60">
        <f>B18+B7</f>
        <v>279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25">
      <c r="A25" s="23" t="s">
        <v>94</v>
      </c>
      <c r="B25" s="63">
        <f>B24/B7</f>
        <v>1</v>
      </c>
      <c r="C25" s="24"/>
      <c r="D25" s="23" t="s">
        <v>95</v>
      </c>
      <c r="E25" s="24"/>
      <c r="F25" s="63">
        <f>B9/B7</f>
        <v>0.4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v>0</v>
      </c>
      <c r="O25" s="43" t="s">
        <v>97</v>
      </c>
      <c r="P25" s="30">
        <f t="shared" si="0"/>
        <v>1.6975498473547073</v>
      </c>
      <c r="Q25" s="30">
        <f t="shared" si="1"/>
        <v>0</v>
      </c>
      <c r="R25" s="30">
        <f t="shared" si="2"/>
        <v>0</v>
      </c>
      <c r="S25" s="30" t="e">
        <f t="shared" si="3"/>
        <v>#DIV/0!</v>
      </c>
      <c r="T25" s="30">
        <f t="shared" si="4"/>
        <v>0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25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'Tabula data'!B4-'Tabula data'!B14</f>
        <v>89.300000000000011</v>
      </c>
      <c r="O26" s="43"/>
      <c r="P26" s="30">
        <f t="shared" si="0"/>
        <v>2.0224719101123596</v>
      </c>
      <c r="Q26" s="30">
        <f t="shared" si="1"/>
        <v>180.60674157303373</v>
      </c>
      <c r="R26" s="30">
        <f t="shared" si="2"/>
        <v>15030083.000000002</v>
      </c>
      <c r="S26" s="30">
        <f t="shared" si="3"/>
        <v>168310</v>
      </c>
      <c r="T26" s="30">
        <f t="shared" si="4"/>
        <v>15030083.000000002</v>
      </c>
      <c r="U26" s="31"/>
      <c r="V26" s="3"/>
      <c r="AE26" s="14"/>
      <c r="AF26" s="14"/>
      <c r="AG26" s="14"/>
    </row>
    <row r="27" spans="1:33" ht="15" customHeight="1" x14ac:dyDescent="0.25">
      <c r="A27" s="6" t="s">
        <v>100</v>
      </c>
      <c r="B27" s="8">
        <v>599.20000000000005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SUM(N6:N9)</f>
        <v>143.20000000000005</v>
      </c>
      <c r="O27" s="43"/>
      <c r="P27" s="30">
        <f t="shared" si="0"/>
        <v>1.9926199261992623</v>
      </c>
      <c r="Q27" s="30">
        <f t="shared" si="1"/>
        <v>285.34317343173444</v>
      </c>
      <c r="R27" s="30">
        <f t="shared" si="2"/>
        <v>21531552.000000007</v>
      </c>
      <c r="S27" s="30">
        <f t="shared" si="3"/>
        <v>150360</v>
      </c>
      <c r="T27" s="30">
        <f t="shared" si="4"/>
        <v>21531552.000000007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2.0224719101123596</v>
      </c>
      <c r="AA27" s="17" t="s">
        <v>5</v>
      </c>
      <c r="AB27" s="17"/>
      <c r="AC27" s="17" t="s">
        <v>22</v>
      </c>
      <c r="AD27" s="20">
        <f>SUM(AD29:AD33)</f>
        <v>168310</v>
      </c>
      <c r="AE27" s="14" t="s">
        <v>23</v>
      </c>
      <c r="AF27" s="14">
        <f>SUM(AD29:AD32)</f>
        <v>168310</v>
      </c>
      <c r="AG27" s="14"/>
    </row>
    <row r="28" spans="1:33" ht="15" customHeight="1" x14ac:dyDescent="0.25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v>0</v>
      </c>
      <c r="O28" s="43"/>
      <c r="P28" s="30">
        <f t="shared" si="0"/>
        <v>1.9926199261992623</v>
      </c>
      <c r="Q28" s="30">
        <f t="shared" si="1"/>
        <v>0</v>
      </c>
      <c r="R28" s="30">
        <f t="shared" si="2"/>
        <v>0</v>
      </c>
      <c r="S28" s="30" t="e">
        <f t="shared" si="3"/>
        <v>#DIV/0!</v>
      </c>
      <c r="T28" s="30">
        <f t="shared" si="4"/>
        <v>0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25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0.9</v>
      </c>
      <c r="AA29" s="47">
        <v>1950</v>
      </c>
      <c r="AB29" s="47">
        <v>840</v>
      </c>
      <c r="AC29" s="67">
        <f>Y29/Z29</f>
        <v>2.2222222222222223E-2</v>
      </c>
      <c r="AD29" s="68">
        <f>Y29*AA29*AB29</f>
        <v>32760</v>
      </c>
      <c r="AE29" s="14" t="s">
        <v>104</v>
      </c>
      <c r="AF29" s="14"/>
      <c r="AG29" s="14"/>
    </row>
    <row r="30" spans="1:33" ht="15" customHeight="1" x14ac:dyDescent="0.25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25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70">
        <f>SUM(Q4:Q28)</f>
        <v>1458.9989543019408</v>
      </c>
      <c r="R31" s="69" t="s">
        <v>107</v>
      </c>
      <c r="W31" s="23"/>
      <c r="X31" s="24" t="s">
        <v>108</v>
      </c>
      <c r="Y31" s="24">
        <v>0.02</v>
      </c>
      <c r="Z31" s="24">
        <v>0.9</v>
      </c>
      <c r="AA31" s="24">
        <v>1950</v>
      </c>
      <c r="AB31" s="24">
        <v>840</v>
      </c>
      <c r="AC31" s="44">
        <f>Y31/Z31</f>
        <v>2.2222222222222223E-2</v>
      </c>
      <c r="AD31" s="25">
        <f>Y31*AA31*AB31</f>
        <v>32760</v>
      </c>
      <c r="AE31" s="14"/>
      <c r="AF31" s="14"/>
      <c r="AG31" s="14"/>
    </row>
    <row r="32" spans="1:33" ht="15" customHeight="1" x14ac:dyDescent="0.25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25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25">
      <c r="A34" s="72" t="s">
        <v>109</v>
      </c>
      <c r="B34" s="72" t="s">
        <v>110</v>
      </c>
      <c r="C34" s="72"/>
      <c r="D34" s="72" t="s">
        <v>111</v>
      </c>
      <c r="E34" s="307" t="s">
        <v>112</v>
      </c>
      <c r="F34" s="307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25">
      <c r="A35" s="73">
        <v>1</v>
      </c>
      <c r="B35" s="74">
        <f>3.2*G35</f>
        <v>535.67999999999995</v>
      </c>
      <c r="C35" s="73"/>
      <c r="D35" s="73" t="s">
        <v>42</v>
      </c>
      <c r="E35" s="308">
        <v>21</v>
      </c>
      <c r="F35" s="308"/>
      <c r="G35" s="76">
        <f>VLOOKUP(D35,A7:B23,2,0)</f>
        <v>167.39999999999998</v>
      </c>
      <c r="K35"/>
      <c r="L35"/>
      <c r="M35" t="s">
        <v>114</v>
      </c>
      <c r="N35" s="3">
        <f>SUM(Q6:Q9,Q15)</f>
        <v>499.54408880212327</v>
      </c>
      <c r="O35" s="3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25">
      <c r="A36" s="73">
        <v>2</v>
      </c>
      <c r="B36" s="74">
        <f>2.2*G36</f>
        <v>245.52000000000004</v>
      </c>
      <c r="C36" s="73"/>
      <c r="D36" s="73" t="s">
        <v>116</v>
      </c>
      <c r="E36" s="77">
        <v>16</v>
      </c>
      <c r="F36" s="77"/>
      <c r="G36" s="76">
        <f>VLOOKUP(D36,A8:B24,2,0)</f>
        <v>111.60000000000001</v>
      </c>
      <c r="K36"/>
      <c r="L36"/>
      <c r="M36" t="s">
        <v>117</v>
      </c>
      <c r="N36" s="3">
        <f>SUM(Q10:Q13)</f>
        <v>206</v>
      </c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25">
      <c r="A37" s="73">
        <v>3</v>
      </c>
      <c r="B37" s="74">
        <f>G37*2</f>
        <v>0</v>
      </c>
      <c r="C37" s="73"/>
      <c r="D37" s="73" t="s">
        <v>118</v>
      </c>
      <c r="E37" s="309" t="s">
        <v>119</v>
      </c>
      <c r="F37" s="309"/>
      <c r="G37" s="76">
        <f>B18</f>
        <v>0</v>
      </c>
      <c r="K37"/>
      <c r="L37"/>
      <c r="M37" t="s">
        <v>120</v>
      </c>
      <c r="N37" s="3">
        <f>'Verwarming Tabula'!B60</f>
        <v>138.03320000000002</v>
      </c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25">
      <c r="K38"/>
      <c r="L38"/>
      <c r="M38"/>
      <c r="N38" s="3"/>
      <c r="P38"/>
      <c r="Q38"/>
      <c r="AE38" s="14"/>
      <c r="AF38" s="14"/>
      <c r="AG38" s="14"/>
    </row>
    <row r="39" spans="1:33" ht="15" customHeight="1" x14ac:dyDescent="0.25">
      <c r="B39" s="3"/>
      <c r="K39"/>
      <c r="L39"/>
      <c r="M39" t="s">
        <v>122</v>
      </c>
      <c r="N39" s="3">
        <f>B5*1.204*1012*5/1000000</f>
        <v>4.6666558399999998</v>
      </c>
      <c r="O39" t="s">
        <v>123</v>
      </c>
      <c r="Q39"/>
      <c r="AE39" s="14"/>
      <c r="AF39" s="14"/>
      <c r="AG39" s="14"/>
    </row>
    <row r="40" spans="1:33" ht="15" customHeight="1" x14ac:dyDescent="0.25">
      <c r="K40"/>
      <c r="L40"/>
      <c r="M40" t="s">
        <v>124</v>
      </c>
      <c r="N40" s="3">
        <f>SUM(R6:R9,R15)/1000000</f>
        <v>72.878221000000011</v>
      </c>
      <c r="O40" t="s">
        <v>125</v>
      </c>
      <c r="P40" s="3">
        <f>SUM(T6:T9,T15)/1000000</f>
        <v>69.004771000000019</v>
      </c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SUM(AD42:AD45)</f>
        <v>449648</v>
      </c>
      <c r="AG40" s="14"/>
    </row>
    <row r="41" spans="1:33" ht="15" customHeight="1" x14ac:dyDescent="0.25">
      <c r="K41"/>
      <c r="L41"/>
      <c r="M41" t="s">
        <v>126</v>
      </c>
      <c r="N41" s="3">
        <f>SUM(R26:R27)/1000000</f>
        <v>36.56163500000001</v>
      </c>
      <c r="O41" t="s">
        <v>125</v>
      </c>
      <c r="P41" s="3">
        <f>SUM(T26:T27)/1000000</f>
        <v>36.56163500000001</v>
      </c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25">
      <c r="K42"/>
      <c r="L42"/>
      <c r="M42" t="s">
        <v>127</v>
      </c>
      <c r="N42" s="3">
        <f>R14/1000000</f>
        <v>43.166207999999997</v>
      </c>
      <c r="P42" s="3">
        <f>T14/1000000</f>
        <v>43.166207999999997</v>
      </c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25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25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25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25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25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25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25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25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25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1"/>
  <sheetViews>
    <sheetView workbookViewId="0">
      <selection sqref="A1:G1"/>
    </sheetView>
  </sheetViews>
  <sheetFormatPr defaultRowHeight="15" x14ac:dyDescent="0.25"/>
  <cols>
    <col min="1" max="1" width="20.5703125"/>
    <col min="2" max="2" width="12.28515625"/>
    <col min="3" max="3" width="6.85546875"/>
    <col min="4" max="4" width="22.140625"/>
    <col min="5" max="5" width="9.85546875"/>
    <col min="6" max="6" width="7.140625"/>
    <col min="7" max="7" width="5.5703125"/>
    <col min="8" max="8" width="7.7109375"/>
    <col min="9" max="9" width="2.7109375" style="1"/>
    <col min="10" max="10" width="4.85546875"/>
    <col min="11" max="11" width="10.42578125" style="2"/>
    <col min="12" max="12" width="8" style="2"/>
    <col min="13" max="13" width="16.85546875" style="2"/>
    <col min="14" max="14" width="9.42578125"/>
    <col min="15" max="15" width="11.28515625"/>
    <col min="16" max="17" width="9.28515625" style="3"/>
    <col min="18" max="18" width="12.140625"/>
    <col min="19" max="19" width="11.7109375"/>
    <col min="20" max="20" width="12.140625"/>
    <col min="21" max="21" width="3.140625" style="1"/>
    <col min="22" max="22" width="3"/>
    <col min="23" max="23" width="3.5703125"/>
    <col min="24" max="24" width="18.42578125"/>
    <col min="25" max="25" width="8.5703125"/>
    <col min="26" max="26" width="15.85546875"/>
    <col min="27" max="28" width="8.5703125"/>
    <col min="29" max="29" width="9.5703125"/>
    <col min="30" max="35" width="8.5703125"/>
    <col min="36" max="37" width="8.5703125" style="80"/>
    <col min="38" max="1025" width="8.5703125"/>
  </cols>
  <sheetData>
    <row r="1" spans="1:41" ht="20.25" customHeight="1" x14ac:dyDescent="0.25">
      <c r="A1" s="310" t="s">
        <v>0</v>
      </c>
      <c r="B1" s="310"/>
      <c r="C1" s="310"/>
      <c r="D1" s="310"/>
      <c r="E1" s="310"/>
      <c r="F1" s="310"/>
      <c r="G1" s="310"/>
    </row>
    <row r="3" spans="1:41" x14ac:dyDescent="0.25">
      <c r="A3" s="307" t="s">
        <v>1</v>
      </c>
      <c r="B3" s="307"/>
      <c r="C3" s="307"/>
      <c r="D3" s="307"/>
      <c r="E3" s="307"/>
      <c r="F3" s="307"/>
      <c r="G3" s="307"/>
      <c r="H3" s="307"/>
      <c r="J3" s="307" t="s">
        <v>2</v>
      </c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4"/>
      <c r="V3" s="307" t="s">
        <v>3</v>
      </c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</row>
    <row r="4" spans="1:41" ht="15.75" customHeight="1" x14ac:dyDescent="0.25">
      <c r="Y4" s="5" t="s">
        <v>4</v>
      </c>
      <c r="Z4" s="5">
        <v>1.7</v>
      </c>
      <c r="AA4" s="5" t="s">
        <v>5</v>
      </c>
    </row>
    <row r="5" spans="1:41" ht="15" customHeight="1" x14ac:dyDescent="0.25">
      <c r="A5" s="6" t="s">
        <v>6</v>
      </c>
      <c r="B5" s="7">
        <f>502</f>
        <v>502</v>
      </c>
      <c r="C5" s="7" t="s">
        <v>7</v>
      </c>
      <c r="D5" s="6" t="s">
        <v>8</v>
      </c>
      <c r="E5" s="7"/>
      <c r="F5" s="7"/>
      <c r="G5" s="8">
        <f>SUM(H7:H14)</f>
        <v>14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41" ht="15" customHeight="1" x14ac:dyDescent="0.25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10.7*3.5-N10-2*1*2.5</f>
        <v>25.449999999999996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56.0468591324532</v>
      </c>
      <c r="R6" s="30">
        <f t="shared" ref="R6:R28" si="2">VLOOKUP(M6,$W$5:$AD$391,8,0)*N6</f>
        <v>11449445.999999998</v>
      </c>
      <c r="S6" s="30">
        <f t="shared" ref="S6:S28" si="3">R6/N6</f>
        <v>449880</v>
      </c>
      <c r="T6" s="30">
        <f t="shared" ref="T6:T28" si="4">VLOOKUP(M6,$W$5:$AF$391,10,0)*N6</f>
        <v>10304195.999999998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  <c r="AL6" t="s">
        <v>6</v>
      </c>
      <c r="AN6" s="81">
        <f>B5</f>
        <v>502</v>
      </c>
      <c r="AO6" t="str">
        <f>C5</f>
        <v>m³</v>
      </c>
    </row>
    <row r="7" spans="1:41" ht="15" customHeight="1" x14ac:dyDescent="0.25">
      <c r="A7" s="6" t="s">
        <v>34</v>
      </c>
      <c r="B7" s="35">
        <f>N14</f>
        <v>104.86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0.5</v>
      </c>
      <c r="G7" s="24" t="s">
        <v>37</v>
      </c>
      <c r="H7" s="39">
        <f>N10</f>
        <v>7</v>
      </c>
      <c r="J7" t="s">
        <v>38</v>
      </c>
      <c r="K7" s="40">
        <v>0</v>
      </c>
      <c r="L7" s="41">
        <v>1</v>
      </c>
      <c r="M7" s="41" t="s">
        <v>25</v>
      </c>
      <c r="N7" s="42">
        <f>9.8*3.5*2.5*1</f>
        <v>85.750000000000014</v>
      </c>
      <c r="O7" s="43" t="s">
        <v>39</v>
      </c>
      <c r="P7" s="30">
        <f t="shared" si="0"/>
        <v>2.2022341505875525</v>
      </c>
      <c r="Q7" s="30">
        <f t="shared" si="1"/>
        <v>188.84157841288265</v>
      </c>
      <c r="R7" s="30">
        <f t="shared" si="2"/>
        <v>38577210.000000007</v>
      </c>
      <c r="S7" s="30">
        <f t="shared" si="3"/>
        <v>449880</v>
      </c>
      <c r="T7" s="30">
        <f t="shared" si="4"/>
        <v>34718460.000000007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  <c r="AM7" t="s">
        <v>133</v>
      </c>
      <c r="AN7">
        <v>0.6</v>
      </c>
    </row>
    <row r="8" spans="1:41" ht="15" customHeight="1" x14ac:dyDescent="0.25">
      <c r="A8" s="45" t="s">
        <v>42</v>
      </c>
      <c r="B8" s="46">
        <f>B7-B9</f>
        <v>59.291999999999994</v>
      </c>
      <c r="C8" s="47" t="s">
        <v>9</v>
      </c>
      <c r="D8" s="37" t="s">
        <v>43</v>
      </c>
      <c r="E8" s="24" t="s">
        <v>36</v>
      </c>
      <c r="F8" s="38">
        <f t="shared" si="5"/>
        <v>0</v>
      </c>
      <c r="G8" s="24" t="s">
        <v>37</v>
      </c>
      <c r="H8" s="39">
        <f>N11</f>
        <v>0</v>
      </c>
      <c r="J8" t="s">
        <v>44</v>
      </c>
      <c r="K8" s="40">
        <v>0</v>
      </c>
      <c r="L8" s="41">
        <v>1</v>
      </c>
      <c r="M8" s="41" t="s">
        <v>25</v>
      </c>
      <c r="N8" s="42">
        <f>10.7*3.5-N12</f>
        <v>32.449999999999996</v>
      </c>
      <c r="O8" s="43" t="s">
        <v>45</v>
      </c>
      <c r="P8" s="30">
        <f t="shared" si="0"/>
        <v>2.2022341505875525</v>
      </c>
      <c r="Q8" s="30">
        <f t="shared" si="1"/>
        <v>71.462498186566066</v>
      </c>
      <c r="R8" s="30">
        <f t="shared" si="2"/>
        <v>14598605.999999998</v>
      </c>
      <c r="S8" s="30">
        <f t="shared" si="3"/>
        <v>449880</v>
      </c>
      <c r="T8" s="30">
        <f t="shared" si="4"/>
        <v>13138355.999999998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41" ht="15" customHeight="1" x14ac:dyDescent="0.25">
      <c r="A9" s="48" t="s">
        <v>47</v>
      </c>
      <c r="B9" s="49">
        <f>3.2*7.12*2</f>
        <v>45.568000000000005</v>
      </c>
      <c r="C9" s="24"/>
      <c r="D9" s="37" t="s">
        <v>48</v>
      </c>
      <c r="E9" s="24" t="s">
        <v>36</v>
      </c>
      <c r="F9" s="38">
        <f t="shared" si="5"/>
        <v>0.35714285714285715</v>
      </c>
      <c r="G9" s="24" t="s">
        <v>37</v>
      </c>
      <c r="H9" s="39">
        <f>N12</f>
        <v>5</v>
      </c>
      <c r="J9" t="s">
        <v>49</v>
      </c>
      <c r="K9" s="40">
        <v>0</v>
      </c>
      <c r="L9" s="41">
        <v>1</v>
      </c>
      <c r="M9" s="41" t="s">
        <v>25</v>
      </c>
      <c r="N9" s="42">
        <f>9.8*3.5-N13</f>
        <v>34.300000000000004</v>
      </c>
      <c r="O9" s="43" t="s">
        <v>50</v>
      </c>
      <c r="P9" s="30">
        <f t="shared" si="0"/>
        <v>2.2022341505875525</v>
      </c>
      <c r="Q9" s="30">
        <f t="shared" si="1"/>
        <v>75.536631365153056</v>
      </c>
      <c r="R9" s="30">
        <f t="shared" si="2"/>
        <v>15430884.000000002</v>
      </c>
      <c r="S9" s="30">
        <f t="shared" si="3"/>
        <v>449880</v>
      </c>
      <c r="T9" s="30">
        <f t="shared" si="4"/>
        <v>13887384.000000002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41" ht="15" customHeight="1" x14ac:dyDescent="0.25">
      <c r="A10" s="23"/>
      <c r="B10" s="24"/>
      <c r="C10" s="24"/>
      <c r="D10" s="37" t="s">
        <v>52</v>
      </c>
      <c r="E10" s="50" t="s">
        <v>36</v>
      </c>
      <c r="F10" s="38">
        <f t="shared" si="5"/>
        <v>0</v>
      </c>
      <c r="G10" s="24" t="s">
        <v>37</v>
      </c>
      <c r="H10" s="39">
        <f>N13</f>
        <v>0</v>
      </c>
      <c r="J10" t="s">
        <v>53</v>
      </c>
      <c r="K10" s="40">
        <v>0</v>
      </c>
      <c r="L10" s="41">
        <v>1</v>
      </c>
      <c r="M10" s="41" t="s">
        <v>54</v>
      </c>
      <c r="N10" s="42">
        <v>7</v>
      </c>
      <c r="O10" s="43" t="s">
        <v>26</v>
      </c>
      <c r="P10" s="30">
        <f t="shared" si="0"/>
        <v>5</v>
      </c>
      <c r="Q10" s="30">
        <f t="shared" si="1"/>
        <v>35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41" ht="15" customHeight="1" x14ac:dyDescent="0.25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0</v>
      </c>
      <c r="O11" s="43" t="s">
        <v>39</v>
      </c>
      <c r="P11" s="30">
        <f t="shared" si="0"/>
        <v>5</v>
      </c>
      <c r="Q11" s="30">
        <f t="shared" si="1"/>
        <v>0</v>
      </c>
      <c r="R11" s="30">
        <f t="shared" si="2"/>
        <v>0</v>
      </c>
      <c r="S11" s="30" t="e">
        <f t="shared" si="3"/>
        <v>#DIV/0!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41" ht="15" customHeight="1" x14ac:dyDescent="0.25">
      <c r="A12" s="23"/>
      <c r="B12" s="24"/>
      <c r="C12" s="24"/>
      <c r="D12" s="37" t="s">
        <v>43</v>
      </c>
      <c r="E12" s="50" t="s">
        <v>56</v>
      </c>
      <c r="F12" s="51">
        <f t="shared" si="5"/>
        <v>0.14285714285714285</v>
      </c>
      <c r="G12" s="24"/>
      <c r="H12" s="52">
        <f>N22</f>
        <v>2</v>
      </c>
      <c r="J12" t="s">
        <v>59</v>
      </c>
      <c r="K12" s="40">
        <v>0</v>
      </c>
      <c r="L12" s="41">
        <v>1</v>
      </c>
      <c r="M12" s="41" t="s">
        <v>54</v>
      </c>
      <c r="N12" s="42">
        <v>5</v>
      </c>
      <c r="O12" s="43" t="s">
        <v>45</v>
      </c>
      <c r="P12" s="30">
        <f t="shared" si="0"/>
        <v>5</v>
      </c>
      <c r="Q12" s="30">
        <f t="shared" si="1"/>
        <v>25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41" ht="15" customHeight="1" x14ac:dyDescent="0.25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v>0</v>
      </c>
      <c r="O13" s="43" t="s">
        <v>50</v>
      </c>
      <c r="P13" s="30">
        <f t="shared" si="0"/>
        <v>5</v>
      </c>
      <c r="Q13" s="30">
        <f t="shared" si="1"/>
        <v>0</v>
      </c>
      <c r="R13" s="30">
        <f t="shared" si="2"/>
        <v>0</v>
      </c>
      <c r="S13" s="30" t="e">
        <f t="shared" si="3"/>
        <v>#DIV/0!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41" ht="15" customHeight="1" x14ac:dyDescent="0.25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10.7*9.8</f>
        <v>104.86</v>
      </c>
      <c r="O14" s="43"/>
      <c r="P14" s="30">
        <f t="shared" si="0"/>
        <v>2.5990099009900991</v>
      </c>
      <c r="Q14" s="30">
        <f t="shared" si="1"/>
        <v>272.53217821782181</v>
      </c>
      <c r="R14" s="30">
        <f t="shared" si="2"/>
        <v>47150089.280000001</v>
      </c>
      <c r="S14" s="30">
        <f t="shared" si="3"/>
        <v>449648</v>
      </c>
      <c r="T14" s="30">
        <f t="shared" si="4"/>
        <v>10155481.279999999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SUM(AD18:AD19)</f>
        <v>404880</v>
      </c>
      <c r="AG14" s="14"/>
    </row>
    <row r="15" spans="1:41" ht="15" customHeight="1" x14ac:dyDescent="0.25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v>29</v>
      </c>
      <c r="O15" s="43"/>
      <c r="P15" s="30">
        <f t="shared" si="0"/>
        <v>1.6975498473547073</v>
      </c>
      <c r="Q15" s="30">
        <f t="shared" si="1"/>
        <v>49.228945573286509</v>
      </c>
      <c r="R15" s="30">
        <f t="shared" si="2"/>
        <v>2259970</v>
      </c>
      <c r="S15" s="30">
        <f t="shared" si="3"/>
        <v>77930</v>
      </c>
      <c r="T15" s="30">
        <f t="shared" si="4"/>
        <v>1224670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41" ht="15" customHeight="1" x14ac:dyDescent="0.25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2*1*2.5+1*2.5</f>
        <v>7.5</v>
      </c>
      <c r="O16" s="43"/>
      <c r="P16" s="30">
        <f t="shared" si="0"/>
        <v>4</v>
      </c>
      <c r="Q16" s="30">
        <f t="shared" si="1"/>
        <v>30</v>
      </c>
      <c r="R16" s="30">
        <f t="shared" si="2"/>
        <v>273900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25">
      <c r="A17" s="53"/>
      <c r="B17" s="22"/>
      <c r="C17" s="22"/>
      <c r="D17" s="37" t="s">
        <v>69</v>
      </c>
      <c r="E17" s="24"/>
      <c r="F17" s="58">
        <f>B5/B27</f>
        <v>1.0879517640207914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25">
      <c r="A18" s="6" t="s">
        <v>73</v>
      </c>
      <c r="B18" s="60">
        <f>N26</f>
        <v>76.183999999999997</v>
      </c>
      <c r="C18" s="7" t="s">
        <v>9</v>
      </c>
      <c r="D18" s="37" t="s">
        <v>74</v>
      </c>
      <c r="E18" s="24"/>
      <c r="F18" s="58">
        <f>B27/B24</f>
        <v>2.5486484807930534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f>7.12*(7.5-3.5)/2</f>
        <v>14.24</v>
      </c>
      <c r="O18" s="43" t="s">
        <v>39</v>
      </c>
      <c r="P18" s="30">
        <f t="shared" si="0"/>
        <v>2.2022341505875525</v>
      </c>
      <c r="Q18" s="30">
        <f t="shared" si="1"/>
        <v>31.359814304366747</v>
      </c>
      <c r="R18" s="30">
        <f t="shared" si="2"/>
        <v>6406291.2000000002</v>
      </c>
      <c r="S18" s="30">
        <f t="shared" si="3"/>
        <v>449880</v>
      </c>
      <c r="T18" s="30">
        <f t="shared" si="4"/>
        <v>5765491.2000000002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25">
      <c r="A19" s="23" t="s">
        <v>77</v>
      </c>
      <c r="B19" s="24">
        <f>22</f>
        <v>22</v>
      </c>
      <c r="C19" s="24"/>
      <c r="D19" s="37" t="s">
        <v>78</v>
      </c>
      <c r="E19" s="24"/>
      <c r="F19" s="58">
        <f>B27/B7</f>
        <v>4.4003196219406586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25">
      <c r="A20" s="23" t="s">
        <v>81</v>
      </c>
      <c r="B20" s="49">
        <f>B18-B19</f>
        <v>54.183999999999997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f>7.12*(7.5-3.5)/2</f>
        <v>14.24</v>
      </c>
      <c r="O20" s="43" t="s">
        <v>50</v>
      </c>
      <c r="P20" s="30">
        <f t="shared" si="0"/>
        <v>2.2022341505875525</v>
      </c>
      <c r="Q20" s="30">
        <f t="shared" si="1"/>
        <v>31.359814304366747</v>
      </c>
      <c r="R20" s="30">
        <f t="shared" si="2"/>
        <v>6406291.2000000002</v>
      </c>
      <c r="S20" s="30">
        <f t="shared" si="3"/>
        <v>449880</v>
      </c>
      <c r="T20" s="30">
        <f t="shared" si="4"/>
        <v>5765491.2000000002</v>
      </c>
      <c r="U20" s="31"/>
      <c r="V20" s="3"/>
      <c r="AE20" s="14"/>
      <c r="AF20" s="14"/>
      <c r="AG20" s="14"/>
    </row>
    <row r="21" spans="1:33" ht="15" customHeight="1" x14ac:dyDescent="0.25">
      <c r="A21" s="23"/>
      <c r="B21" s="24"/>
      <c r="C21" s="24"/>
      <c r="D21" s="37" t="s">
        <v>83</v>
      </c>
      <c r="E21" s="59"/>
      <c r="F21" s="62">
        <f>G5/B24</f>
        <v>7.732926802324297E-2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SUM(AD23:AD26)</f>
        <v>150360</v>
      </c>
      <c r="AG21" s="14"/>
    </row>
    <row r="22" spans="1:33" ht="15" customHeight="1" x14ac:dyDescent="0.25">
      <c r="A22" s="23"/>
      <c r="B22" s="24"/>
      <c r="C22" s="24"/>
      <c r="D22" s="37" t="s">
        <v>86</v>
      </c>
      <c r="E22" s="59"/>
      <c r="F22" s="62">
        <f>G5/B7</f>
        <v>0.13351134846461948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2</v>
      </c>
      <c r="O22" s="43" t="s">
        <v>39</v>
      </c>
      <c r="P22" s="30">
        <f t="shared" si="0"/>
        <v>5</v>
      </c>
      <c r="Q22" s="30">
        <f t="shared" si="1"/>
        <v>10</v>
      </c>
      <c r="R22" s="30">
        <f t="shared" si="2"/>
        <v>0</v>
      </c>
      <c r="S22" s="30">
        <f t="shared" si="3"/>
        <v>0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25">
      <c r="A23" s="53"/>
      <c r="B23" s="22"/>
      <c r="C23" s="22"/>
      <c r="D23" s="23" t="s">
        <v>88</v>
      </c>
      <c r="E23" s="24"/>
      <c r="F23" s="38">
        <f>G5/B27</f>
        <v>3.034128425555992E-2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25">
      <c r="A24" s="6" t="s">
        <v>91</v>
      </c>
      <c r="B24" s="60">
        <f>B18+B7</f>
        <v>181.04399999999998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25">
      <c r="A25" s="23" t="s">
        <v>94</v>
      </c>
      <c r="B25" s="63">
        <f>B24/B7</f>
        <v>1.7265306122448978</v>
      </c>
      <c r="C25" s="24"/>
      <c r="D25" s="23" t="s">
        <v>95</v>
      </c>
      <c r="E25" s="24"/>
      <c r="F25" s="63">
        <f>B9/B7</f>
        <v>0.43456036620255584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f>SQRT(3.56^2+3^2)*10.7*2</f>
        <v>99.627515556697489</v>
      </c>
      <c r="O25" s="43" t="s">
        <v>97</v>
      </c>
      <c r="P25" s="30">
        <f t="shared" si="0"/>
        <v>1.6975498473547073</v>
      </c>
      <c r="Q25" s="30">
        <f t="shared" si="1"/>
        <v>169.12267382560054</v>
      </c>
      <c r="R25" s="30">
        <f t="shared" si="2"/>
        <v>7763972.2873334354</v>
      </c>
      <c r="S25" s="30">
        <f t="shared" si="3"/>
        <v>77930</v>
      </c>
      <c r="T25" s="30">
        <f t="shared" si="4"/>
        <v>4207269.9819593346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25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7.12*10.7</f>
        <v>76.183999999999997</v>
      </c>
      <c r="O26" s="43"/>
      <c r="P26" s="30">
        <f t="shared" si="0"/>
        <v>2.0895522388059704</v>
      </c>
      <c r="Q26" s="30">
        <f t="shared" si="1"/>
        <v>159.19044776119404</v>
      </c>
      <c r="R26" s="30">
        <f t="shared" si="2"/>
        <v>13206496.4</v>
      </c>
      <c r="S26" s="30">
        <f t="shared" si="3"/>
        <v>173350</v>
      </c>
      <c r="T26" s="30">
        <f t="shared" si="4"/>
        <v>13206496.4</v>
      </c>
      <c r="U26" s="31"/>
      <c r="V26" s="3"/>
      <c r="AE26" s="14"/>
      <c r="AF26" s="14"/>
      <c r="AG26" s="14"/>
    </row>
    <row r="27" spans="1:33" ht="15" customHeight="1" x14ac:dyDescent="0.25">
      <c r="A27" s="6" t="s">
        <v>100</v>
      </c>
      <c r="B27" s="8">
        <f>SUM(N6:N25)</f>
        <v>461.41751555669748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8.7*3.5+9.8*3.5+7.12*3.5*2+7.5*3.5</f>
        <v>140.84</v>
      </c>
      <c r="O27" s="43"/>
      <c r="P27" s="30">
        <f t="shared" si="0"/>
        <v>1.9926199261992623</v>
      </c>
      <c r="Q27" s="30">
        <f t="shared" si="1"/>
        <v>280.64059040590411</v>
      </c>
      <c r="R27" s="30">
        <f t="shared" si="2"/>
        <v>21176702.400000002</v>
      </c>
      <c r="S27" s="30">
        <f t="shared" si="3"/>
        <v>150360</v>
      </c>
      <c r="T27" s="30">
        <f t="shared" si="4"/>
        <v>21176702.400000002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2.0895522388059704</v>
      </c>
      <c r="AA27" s="17" t="s">
        <v>5</v>
      </c>
      <c r="AB27" s="17"/>
      <c r="AC27" s="17" t="s">
        <v>22</v>
      </c>
      <c r="AD27" s="20">
        <f>SUM(AD29:AD33)</f>
        <v>173350</v>
      </c>
      <c r="AE27" s="14" t="s">
        <v>23</v>
      </c>
      <c r="AF27" s="14">
        <f>SUM(AD29:AD32)</f>
        <v>173350</v>
      </c>
      <c r="AG27" s="14"/>
    </row>
    <row r="28" spans="1:33" ht="15" customHeight="1" x14ac:dyDescent="0.25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f>7.12*2</f>
        <v>14.24</v>
      </c>
      <c r="O28" s="43"/>
      <c r="P28" s="30">
        <f t="shared" si="0"/>
        <v>1.9926199261992623</v>
      </c>
      <c r="Q28" s="30">
        <f t="shared" si="1"/>
        <v>28.374907749077497</v>
      </c>
      <c r="R28" s="30">
        <f t="shared" si="2"/>
        <v>2141126.4</v>
      </c>
      <c r="S28" s="30">
        <f t="shared" si="3"/>
        <v>150360</v>
      </c>
      <c r="T28" s="30">
        <f t="shared" si="4"/>
        <v>2141126.4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25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1.4</v>
      </c>
      <c r="AA29" s="47">
        <v>2100</v>
      </c>
      <c r="AB29" s="47">
        <v>840</v>
      </c>
      <c r="AC29" s="67">
        <f>Y29/Z29</f>
        <v>1.4285714285714287E-2</v>
      </c>
      <c r="AD29" s="68">
        <f>Y29*AA29*AB29</f>
        <v>35280</v>
      </c>
      <c r="AE29" s="14" t="s">
        <v>104</v>
      </c>
      <c r="AF29" s="14"/>
      <c r="AG29" s="14"/>
    </row>
    <row r="30" spans="1:33" ht="15" customHeight="1" x14ac:dyDescent="0.25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25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69">
        <f>SUM(Q1:Q25)</f>
        <v>1045.4909933224974</v>
      </c>
      <c r="R31" s="69" t="s">
        <v>107</v>
      </c>
      <c r="W31" s="23"/>
      <c r="X31" s="24" t="s">
        <v>108</v>
      </c>
      <c r="Y31" s="24">
        <v>0.02</v>
      </c>
      <c r="Z31" s="24">
        <v>1.4</v>
      </c>
      <c r="AA31" s="24">
        <v>2100</v>
      </c>
      <c r="AB31" s="24">
        <v>840</v>
      </c>
      <c r="AC31" s="44">
        <f>Y31/Z31</f>
        <v>1.4285714285714287E-2</v>
      </c>
      <c r="AD31" s="25">
        <f>Y31*AA31*AB31</f>
        <v>35280</v>
      </c>
      <c r="AE31" s="14"/>
      <c r="AF31" s="14"/>
      <c r="AG31" s="14"/>
    </row>
    <row r="32" spans="1:33" ht="15" customHeight="1" x14ac:dyDescent="0.25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25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25">
      <c r="A34" s="72" t="s">
        <v>109</v>
      </c>
      <c r="B34" s="72" t="s">
        <v>110</v>
      </c>
      <c r="C34" s="72"/>
      <c r="D34" s="72" t="s">
        <v>111</v>
      </c>
      <c r="E34" s="307" t="s">
        <v>112</v>
      </c>
      <c r="F34" s="307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25">
      <c r="A35" s="73">
        <v>1</v>
      </c>
      <c r="B35" s="74">
        <f>3.5*G35</f>
        <v>207.52199999999999</v>
      </c>
      <c r="C35" s="73"/>
      <c r="D35" s="73" t="s">
        <v>42</v>
      </c>
      <c r="E35" s="308">
        <v>21</v>
      </c>
      <c r="F35" s="308"/>
      <c r="G35" s="76">
        <f>VLOOKUP(D35,A7:B23,2,0)</f>
        <v>59.291999999999994</v>
      </c>
      <c r="K35"/>
      <c r="L35"/>
      <c r="M35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25">
      <c r="A36" s="73">
        <v>2</v>
      </c>
      <c r="B36" s="74">
        <f>3.5*G36</f>
        <v>159.48800000000003</v>
      </c>
      <c r="C36" s="73"/>
      <c r="D36" s="73" t="s">
        <v>116</v>
      </c>
      <c r="E36" s="77">
        <v>16</v>
      </c>
      <c r="F36" s="77"/>
      <c r="G36" s="76">
        <f>VLOOKUP(D36,A8:B24,2,0)</f>
        <v>45.568000000000005</v>
      </c>
      <c r="K36"/>
      <c r="L36"/>
      <c r="M36"/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25">
      <c r="A37" s="73">
        <v>3</v>
      </c>
      <c r="B37" s="74">
        <f>G37*2</f>
        <v>152.36799999999999</v>
      </c>
      <c r="C37" s="73"/>
      <c r="D37" s="73" t="s">
        <v>118</v>
      </c>
      <c r="E37" s="309" t="s">
        <v>119</v>
      </c>
      <c r="F37" s="309"/>
      <c r="G37" s="76">
        <f>B18</f>
        <v>76.183999999999997</v>
      </c>
      <c r="K37"/>
      <c r="L37"/>
      <c r="M37"/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25">
      <c r="K38"/>
      <c r="L38"/>
      <c r="M38"/>
      <c r="P38"/>
      <c r="Q38"/>
      <c r="AE38" s="14"/>
      <c r="AF38" s="14"/>
      <c r="AG38" s="14"/>
    </row>
    <row r="39" spans="1:33" ht="15" customHeight="1" x14ac:dyDescent="0.25">
      <c r="B39" s="3"/>
      <c r="K39"/>
      <c r="L39"/>
      <c r="M39"/>
      <c r="P39"/>
      <c r="Q39"/>
      <c r="AE39" s="14"/>
      <c r="AF39" s="14"/>
      <c r="AG39" s="14"/>
    </row>
    <row r="40" spans="1:33" ht="15" customHeight="1" x14ac:dyDescent="0.25">
      <c r="K40"/>
      <c r="L40"/>
      <c r="M40"/>
      <c r="P40"/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SUM(AD42:AD43)</f>
        <v>96848</v>
      </c>
      <c r="AG40" s="14"/>
    </row>
    <row r="41" spans="1:33" ht="15" customHeight="1" x14ac:dyDescent="0.25">
      <c r="K41"/>
      <c r="L41"/>
      <c r="M41"/>
      <c r="P41"/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25">
      <c r="K42"/>
      <c r="L42"/>
      <c r="M42"/>
      <c r="P42"/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25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25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25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25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25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25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25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25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25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30.7109375"/>
    <col min="2" max="2" width="20.42578125"/>
    <col min="3" max="3" width="8.5703125"/>
    <col min="4" max="4" width="0" hidden="1"/>
    <col min="5" max="1025" width="8.5703125"/>
  </cols>
  <sheetData>
    <row r="1" spans="1:5" ht="15" customHeight="1" x14ac:dyDescent="0.3">
      <c r="A1" s="82" t="s">
        <v>134</v>
      </c>
      <c r="B1" s="82"/>
      <c r="C1" s="82"/>
    </row>
    <row r="3" spans="1:5" ht="15" customHeight="1" x14ac:dyDescent="0.25">
      <c r="A3" s="83" t="s">
        <v>135</v>
      </c>
      <c r="B3" s="311" t="s">
        <v>4</v>
      </c>
      <c r="C3" s="311"/>
      <c r="D3" t="s">
        <v>136</v>
      </c>
    </row>
    <row r="4" spans="1:5" ht="15" customHeight="1" x14ac:dyDescent="0.25">
      <c r="A4" s="84" t="s">
        <v>137</v>
      </c>
      <c r="B4" s="84">
        <v>185.3</v>
      </c>
      <c r="C4" s="84" t="s">
        <v>9</v>
      </c>
      <c r="D4" s="85">
        <f>'Gebouwgegevens Allacker'!B24</f>
        <v>181.04399999999998</v>
      </c>
    </row>
    <row r="5" spans="1:5" ht="15" customHeight="1" x14ac:dyDescent="0.25">
      <c r="A5" s="84" t="s">
        <v>6</v>
      </c>
      <c r="B5" s="84">
        <v>509.6</v>
      </c>
      <c r="C5" s="84" t="s">
        <v>7</v>
      </c>
      <c r="D5" s="81">
        <f>'Gebouwgegevens Allacker'!B5</f>
        <v>502</v>
      </c>
      <c r="E5" s="260">
        <f>B5/B4</f>
        <v>2.7501349163518616</v>
      </c>
    </row>
    <row r="6" spans="1:5" ht="15" customHeight="1" x14ac:dyDescent="0.25">
      <c r="A6" s="84" t="s">
        <v>138</v>
      </c>
      <c r="B6" s="84">
        <v>389.6</v>
      </c>
      <c r="C6" s="84" t="s">
        <v>9</v>
      </c>
      <c r="D6" s="3">
        <f>'Gebouwgegevens Allacker'!B27</f>
        <v>461.41751555669748</v>
      </c>
    </row>
    <row r="7" spans="1:5" ht="15" customHeight="1" x14ac:dyDescent="0.25">
      <c r="A7" s="84" t="s">
        <v>20</v>
      </c>
      <c r="B7" s="84">
        <v>108.5</v>
      </c>
      <c r="C7" s="84" t="s">
        <v>9</v>
      </c>
      <c r="D7" s="3">
        <f>'Gebouwgegevens Allacker'!N15+'Gebouwgegevens Allacker'!N25</f>
        <v>128.62751555669749</v>
      </c>
    </row>
    <row r="8" spans="1:5" ht="15" customHeight="1" x14ac:dyDescent="0.25">
      <c r="A8" s="84" t="s">
        <v>139</v>
      </c>
      <c r="B8" s="86">
        <v>122.9</v>
      </c>
      <c r="C8" s="84" t="s">
        <v>9</v>
      </c>
      <c r="D8">
        <v>0</v>
      </c>
    </row>
    <row r="9" spans="1:5" ht="15" customHeight="1" x14ac:dyDescent="0.25">
      <c r="A9" s="84" t="s">
        <v>140</v>
      </c>
      <c r="B9" s="84">
        <v>20.3</v>
      </c>
      <c r="C9" s="84" t="s">
        <v>9</v>
      </c>
      <c r="D9">
        <v>0</v>
      </c>
    </row>
    <row r="10" spans="1:5" ht="15" customHeight="1" x14ac:dyDescent="0.25">
      <c r="A10" s="84" t="s">
        <v>141</v>
      </c>
      <c r="B10" s="87">
        <f>B8+B9</f>
        <v>143.20000000000002</v>
      </c>
      <c r="C10" s="84"/>
      <c r="D10" s="3">
        <f>SUM('Gebouwgegevens Allacker'!N6:N9,'Gebouwgegevens Allacker'!N17:N20)</f>
        <v>206.43000000000004</v>
      </c>
    </row>
    <row r="11" spans="1:5" ht="15" customHeight="1" x14ac:dyDescent="0.25">
      <c r="A11" s="84" t="s">
        <v>142</v>
      </c>
      <c r="B11" s="84">
        <v>52.5</v>
      </c>
      <c r="C11" s="84" t="s">
        <v>9</v>
      </c>
      <c r="D11">
        <v>0</v>
      </c>
    </row>
    <row r="12" spans="1:5" ht="15" customHeight="1" x14ac:dyDescent="0.25">
      <c r="A12" s="84" t="s">
        <v>143</v>
      </c>
      <c r="B12" s="84">
        <v>43.5</v>
      </c>
      <c r="C12" s="84" t="s">
        <v>9</v>
      </c>
      <c r="D12">
        <v>0</v>
      </c>
    </row>
    <row r="13" spans="1:5" ht="15" customHeight="1" x14ac:dyDescent="0.25">
      <c r="A13" s="84" t="s">
        <v>144</v>
      </c>
      <c r="B13" s="84">
        <v>0</v>
      </c>
      <c r="C13" s="84" t="s">
        <v>9</v>
      </c>
      <c r="D13">
        <v>0</v>
      </c>
    </row>
    <row r="14" spans="1:5" s="81" customFormat="1" ht="15" customHeight="1" x14ac:dyDescent="0.25">
      <c r="A14" s="84" t="s">
        <v>145</v>
      </c>
      <c r="B14" s="84">
        <f>B12+B11</f>
        <v>96</v>
      </c>
      <c r="C14" s="84"/>
    </row>
    <row r="15" spans="1:5" s="81" customFormat="1" ht="15" customHeight="1" x14ac:dyDescent="0.25">
      <c r="A15" s="84" t="s">
        <v>510</v>
      </c>
      <c r="B15" s="84">
        <v>2</v>
      </c>
      <c r="C15" s="84"/>
    </row>
    <row r="16" spans="1:5" s="81" customFormat="1" ht="15" customHeight="1" x14ac:dyDescent="0.25">
      <c r="A16" s="84" t="s">
        <v>511</v>
      </c>
      <c r="B16" s="272">
        <f>E5</f>
        <v>2.7501349163518616</v>
      </c>
      <c r="C16" s="273" t="s">
        <v>70</v>
      </c>
    </row>
    <row r="17" spans="1:4" s="81" customFormat="1" ht="15" customHeight="1" x14ac:dyDescent="0.25">
      <c r="A17" s="84" t="s">
        <v>512</v>
      </c>
      <c r="B17" s="272">
        <f>SQRT(B14/2)</f>
        <v>6.9282032302755088</v>
      </c>
      <c r="C17" s="273" t="s">
        <v>70</v>
      </c>
    </row>
    <row r="18" spans="1:4" s="81" customFormat="1" ht="15" customHeight="1" x14ac:dyDescent="0.25">
      <c r="A18" s="84" t="s">
        <v>513</v>
      </c>
      <c r="B18" s="272">
        <f>B14/B17</f>
        <v>13.856406460551019</v>
      </c>
      <c r="C18" s="273" t="s">
        <v>70</v>
      </c>
    </row>
    <row r="19" spans="1:4" s="81" customFormat="1" ht="15" customHeight="1" x14ac:dyDescent="0.25">
      <c r="A19" s="84" t="s">
        <v>514</v>
      </c>
      <c r="B19" s="272">
        <f>B15*B16*B17</f>
        <v>38.106987222324868</v>
      </c>
      <c r="C19" s="273"/>
    </row>
    <row r="20" spans="1:4" s="81" customFormat="1" ht="15" customHeight="1" x14ac:dyDescent="0.25">
      <c r="A20" s="84" t="s">
        <v>515</v>
      </c>
      <c r="B20" s="272">
        <f>B10-2*B19</f>
        <v>66.986025555350281</v>
      </c>
      <c r="C20" s="273" t="s">
        <v>9</v>
      </c>
    </row>
    <row r="21" spans="1:4" ht="15" customHeight="1" x14ac:dyDescent="0.25">
      <c r="A21" s="84" t="s">
        <v>146</v>
      </c>
      <c r="B21" s="84">
        <v>9.5</v>
      </c>
      <c r="C21" s="84" t="s">
        <v>9</v>
      </c>
      <c r="D21" s="3">
        <f>'Gebouwgegevens Allacker'!N16</f>
        <v>7.5</v>
      </c>
    </row>
    <row r="22" spans="1:4" ht="15" customHeight="1" x14ac:dyDescent="0.25">
      <c r="A22" s="84" t="s">
        <v>147</v>
      </c>
      <c r="B22" s="84">
        <v>7.8</v>
      </c>
      <c r="C22" s="84" t="s">
        <v>9</v>
      </c>
      <c r="D22">
        <v>0</v>
      </c>
    </row>
    <row r="23" spans="1:4" ht="15" customHeight="1" x14ac:dyDescent="0.25">
      <c r="A23" s="84" t="s">
        <v>148</v>
      </c>
      <c r="B23" s="84">
        <v>8</v>
      </c>
      <c r="C23" s="84" t="s">
        <v>9</v>
      </c>
      <c r="D23">
        <v>0</v>
      </c>
    </row>
    <row r="24" spans="1:4" ht="15" customHeight="1" x14ac:dyDescent="0.25">
      <c r="A24" s="84" t="s">
        <v>149</v>
      </c>
      <c r="B24" s="84">
        <v>9.1</v>
      </c>
      <c r="C24" s="84" t="s">
        <v>9</v>
      </c>
      <c r="D24">
        <v>0</v>
      </c>
    </row>
    <row r="25" spans="1:4" ht="15" customHeight="1" x14ac:dyDescent="0.25">
      <c r="A25" s="84" t="s">
        <v>150</v>
      </c>
      <c r="B25" s="84">
        <v>7.4</v>
      </c>
      <c r="C25" s="84" t="s">
        <v>9</v>
      </c>
      <c r="D25">
        <v>0</v>
      </c>
    </row>
    <row r="26" spans="1:4" ht="15" customHeight="1" x14ac:dyDescent="0.25">
      <c r="A26" s="84" t="s">
        <v>151</v>
      </c>
      <c r="B26" s="84">
        <f>SUM(B22:B25)</f>
        <v>32.299999999999997</v>
      </c>
      <c r="C26" s="84"/>
      <c r="D26">
        <f>'Gebouwgegevens Allacker'!G5</f>
        <v>14</v>
      </c>
    </row>
    <row r="27" spans="1:4" ht="15" customHeight="1" x14ac:dyDescent="0.25">
      <c r="A27" s="84" t="s">
        <v>152</v>
      </c>
      <c r="B27" s="86">
        <f>B5/B6</f>
        <v>1.3080082135523614</v>
      </c>
      <c r="C27" s="84"/>
      <c r="D27" s="3">
        <f>'Gebouwgegevens Allacker'!F17</f>
        <v>1.0879517640207914</v>
      </c>
    </row>
    <row r="28" spans="1:4" ht="15" customHeight="1" x14ac:dyDescent="0.25">
      <c r="A28" s="84" t="s">
        <v>153</v>
      </c>
      <c r="B28" s="86">
        <f>B6/(SUM(B11:B13)*2)</f>
        <v>2.0291666666666668</v>
      </c>
      <c r="C28" s="84"/>
      <c r="D28" s="3">
        <f>'Gebouwgegevens Allacker'!F18</f>
        <v>2.5486484807930534</v>
      </c>
    </row>
    <row r="29" spans="1:4" ht="15" customHeight="1" x14ac:dyDescent="0.25">
      <c r="A29" s="84" t="s">
        <v>154</v>
      </c>
      <c r="B29" s="86">
        <f>B6/(SUM(B11:B13))</f>
        <v>4.0583333333333336</v>
      </c>
      <c r="C29" s="84"/>
      <c r="D29" s="3">
        <f>'Gebouwgegevens Allacker'!F19</f>
        <v>4.4003196219406586</v>
      </c>
    </row>
    <row r="30" spans="1:4" ht="15" customHeight="1" x14ac:dyDescent="0.25">
      <c r="A30" s="84" t="s">
        <v>155</v>
      </c>
      <c r="B30" s="86">
        <f>SUM(B22:B25)/B6</f>
        <v>8.2905544147843929E-2</v>
      </c>
      <c r="C30" s="84"/>
      <c r="D30" s="3">
        <f>'Gebouwgegevens Allacker'!F23</f>
        <v>3.034128425555992E-2</v>
      </c>
    </row>
    <row r="31" spans="1:4" ht="15" customHeight="1" x14ac:dyDescent="0.25">
      <c r="A31" s="84" t="s">
        <v>156</v>
      </c>
      <c r="B31" s="88">
        <f>SUM(B22:B25)/SUM(B11:B13)/2</f>
        <v>0.16822916666666665</v>
      </c>
      <c r="C31" s="84"/>
      <c r="D31" s="3">
        <f>'Gebouwgegevens Allacker'!F21</f>
        <v>7.732926802324297E-2</v>
      </c>
    </row>
    <row r="32" spans="1:4" ht="15" customHeight="1" x14ac:dyDescent="0.25">
      <c r="A32" s="84" t="s">
        <v>157</v>
      </c>
      <c r="B32" s="89">
        <f>SUM(B22:B25)/SUM(B11:B13)</f>
        <v>0.3364583333333333</v>
      </c>
      <c r="C32" s="84"/>
      <c r="D32" s="3">
        <f>'Gebouwgegevens Allacker'!F22</f>
        <v>0.13351134846461948</v>
      </c>
    </row>
    <row r="33" spans="1:6" s="81" customFormat="1" ht="15" customHeight="1" x14ac:dyDescent="0.25">
      <c r="A33" s="84" t="s">
        <v>508</v>
      </c>
      <c r="B33" s="267">
        <v>16.3</v>
      </c>
      <c r="C33" s="84"/>
      <c r="D33" s="153"/>
      <c r="E33" s="81">
        <v>6</v>
      </c>
      <c r="F33" s="81">
        <v>2.5</v>
      </c>
    </row>
    <row r="34" spans="1:6" ht="15" customHeight="1" x14ac:dyDescent="0.25">
      <c r="A34" s="84" t="s">
        <v>158</v>
      </c>
      <c r="B34" s="84">
        <f>B33/B5*B6</f>
        <v>12.461695447409735</v>
      </c>
      <c r="C34" s="84" t="s">
        <v>159</v>
      </c>
      <c r="D34" s="84" t="s">
        <v>160</v>
      </c>
      <c r="E34">
        <f>E33/B5*B6</f>
        <v>4.5871271585557301</v>
      </c>
      <c r="F34">
        <f>F33/B5*B6</f>
        <v>1.9113029827315542</v>
      </c>
    </row>
    <row r="38" spans="1:6" ht="15" customHeight="1" x14ac:dyDescent="0.25">
      <c r="A38" s="90" t="s">
        <v>161</v>
      </c>
      <c r="B38" s="90"/>
    </row>
    <row r="39" spans="1:6" ht="15" customHeight="1" x14ac:dyDescent="0.25">
      <c r="A39" s="91" t="s">
        <v>137</v>
      </c>
      <c r="B39" s="91">
        <f>'Tabula data'!B4/'Gebouwgegevens Allacker'!B24</f>
        <v>1.023508097479066</v>
      </c>
    </row>
    <row r="40" spans="1:6" ht="15" customHeight="1" x14ac:dyDescent="0.25">
      <c r="A40" s="91" t="s">
        <v>6</v>
      </c>
      <c r="B40" s="91">
        <f>B5/'Gebouwgegevens Allacker'!B5</f>
        <v>1.0151394422310758</v>
      </c>
    </row>
    <row r="41" spans="1:6" ht="15" customHeight="1" x14ac:dyDescent="0.25">
      <c r="A41" s="91" t="s">
        <v>138</v>
      </c>
      <c r="B41" s="91">
        <f>B6/'Gebouwgegevens Allacker'!B27</f>
        <v>0.84435459614043895</v>
      </c>
    </row>
    <row r="42" spans="1:6" ht="15" customHeight="1" x14ac:dyDescent="0.25">
      <c r="A42" s="91" t="s">
        <v>20</v>
      </c>
      <c r="B42" s="91">
        <f>B7/('Gebouwgegevens Allacker'!N15+'Gebouwgegevens Allacker'!N25)</f>
        <v>0.8435209179809936</v>
      </c>
    </row>
    <row r="43" spans="1:6" ht="15" customHeight="1" x14ac:dyDescent="0.25">
      <c r="A43" s="91" t="s">
        <v>139</v>
      </c>
      <c r="B43" s="91">
        <f>(B8+B9)/SUM('Gebouwgegevens Allacker'!N6:N9,'Gebouwgegevens Allacker'!N17:N20)</f>
        <v>0.69369762146974756</v>
      </c>
    </row>
    <row r="44" spans="1:6" ht="15" customHeight="1" x14ac:dyDescent="0.25">
      <c r="A44" s="91" t="s">
        <v>162</v>
      </c>
      <c r="B44" s="91">
        <f>SUM(B11:B12)/'Gebouwgegevens Allacker'!B7</f>
        <v>0.91550638947167651</v>
      </c>
    </row>
    <row r="45" spans="1:6" ht="15" customHeight="1" x14ac:dyDescent="0.25">
      <c r="A45" s="91" t="s">
        <v>146</v>
      </c>
      <c r="B45" s="91">
        <f>B21/'Gebouwgegevens Allacker'!N16</f>
        <v>1.2666666666666666</v>
      </c>
    </row>
    <row r="46" spans="1:6" ht="15" customHeight="1" x14ac:dyDescent="0.25">
      <c r="A46" s="91" t="s">
        <v>163</v>
      </c>
      <c r="B46" s="91">
        <f>SUM(B22:B25)/'Gebouwgegevens Allacker'!G5</f>
        <v>2.3071428571428569</v>
      </c>
    </row>
    <row r="47" spans="1:6" ht="15" customHeight="1" x14ac:dyDescent="0.25">
      <c r="A47" s="91" t="s">
        <v>152</v>
      </c>
      <c r="B47" s="91">
        <f>B27/'Gebouwgegevens Allacker'!F17</f>
        <v>1.2022667335161052</v>
      </c>
    </row>
    <row r="48" spans="1:6" ht="15" customHeight="1" x14ac:dyDescent="0.25">
      <c r="A48" s="91" t="s">
        <v>153</v>
      </c>
      <c r="B48" s="91">
        <f>B28/'Gebouwgegevens Allacker'!F18</f>
        <v>0.79617361199817505</v>
      </c>
    </row>
    <row r="49" spans="1:2" ht="15" customHeight="1" x14ac:dyDescent="0.25">
      <c r="A49" s="91" t="s">
        <v>154</v>
      </c>
      <c r="B49" s="91">
        <f>'Tabula data'!B29/'Gebouwgegevens Allacker'!F19</f>
        <v>0.92228148907590035</v>
      </c>
    </row>
    <row r="50" spans="1:2" ht="15" customHeight="1" x14ac:dyDescent="0.25">
      <c r="A50" s="91" t="s">
        <v>155</v>
      </c>
      <c r="B50" s="91">
        <f>B30/'Gebouwgegevens Allacker'!F23</f>
        <v>2.7324335861838747</v>
      </c>
    </row>
    <row r="51" spans="1:2" ht="15" customHeight="1" x14ac:dyDescent="0.25">
      <c r="A51" s="91" t="s">
        <v>156</v>
      </c>
      <c r="B51" s="91">
        <f>B31/'Gebouwgegevens Allacker'!F21</f>
        <v>2.1754915178571426</v>
      </c>
    </row>
    <row r="52" spans="1:2" ht="15" customHeight="1" x14ac:dyDescent="0.25">
      <c r="A52" s="91" t="s">
        <v>157</v>
      </c>
      <c r="B52" s="91">
        <f>B32/'Gebouwgegevens Allacker'!F22</f>
        <v>2.5200729166666664</v>
      </c>
    </row>
  </sheetData>
  <mergeCells count="1">
    <mergeCell ref="B3: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workbookViewId="0">
      <selection sqref="A1:I1"/>
    </sheetView>
  </sheetViews>
  <sheetFormatPr defaultRowHeight="15" x14ac:dyDescent="0.25"/>
  <cols>
    <col min="1" max="1" width="9.140625" style="3"/>
    <col min="2" max="2" width="11.5703125" style="3"/>
    <col min="3" max="3" width="10" style="3"/>
    <col min="4" max="4" width="12.5703125" style="3"/>
    <col min="5" max="5" width="21.7109375" style="3"/>
    <col min="6" max="7" width="12" style="3"/>
    <col min="8" max="21" width="9.140625" style="3"/>
    <col min="22" max="22" width="9.28515625" style="3"/>
    <col min="23" max="23" width="12.42578125" style="3"/>
    <col min="24" max="1025" width="9.140625" style="3"/>
  </cols>
  <sheetData>
    <row r="1" spans="1:25" ht="20.25" customHeight="1" x14ac:dyDescent="0.25">
      <c r="A1" s="310" t="s">
        <v>164</v>
      </c>
      <c r="B1" s="310"/>
      <c r="C1" s="310"/>
      <c r="D1" s="310"/>
      <c r="E1" s="310"/>
      <c r="F1" s="310"/>
      <c r="G1" s="310"/>
      <c r="H1" s="310"/>
      <c r="I1" s="310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2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2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25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307" t="s">
        <v>168</v>
      </c>
      <c r="W5" s="307"/>
      <c r="X5" s="307"/>
      <c r="Y5" s="97"/>
    </row>
    <row r="6" spans="1:25" ht="18.75" customHeight="1" x14ac:dyDescent="0.3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25">
      <c r="A7" s="312" t="s">
        <v>171</v>
      </c>
      <c r="B7" s="312"/>
      <c r="C7" s="312"/>
      <c r="D7" s="312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21584.030838614995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 t="e">
        <f>B152</f>
        <v>#N/A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x14ac:dyDescent="0.2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x14ac:dyDescent="0.25">
      <c r="A12" s="96"/>
      <c r="B12" s="107" t="str">
        <f>'Gebouwgegevens Allacker'!J6</f>
        <v>W1</v>
      </c>
      <c r="C12" s="108">
        <f>VLOOKUP(B12,'Gebouwgegevens Allacker'!$J$5:$Q$83,3,0)</f>
        <v>1</v>
      </c>
      <c r="D12" s="108" t="str">
        <f>VLOOKUP(B12,'Gebouwgegevens Allacker'!$J$5:$Q$83,4,0)</f>
        <v>Wall External</v>
      </c>
      <c r="E12" s="108">
        <f>VLOOKUP(B12,'Gebouwgegevens Allacker'!$J$5:$Q$83,5,0)</f>
        <v>25.449999999999996</v>
      </c>
      <c r="F12" s="108" t="str">
        <f>VLOOKUP(B12,'Gebouwgegevens Allacker'!$J$5:$Q$83,6,0)</f>
        <v>front</v>
      </c>
      <c r="G12" s="108">
        <f>VLOOKUP(B12,'Gebouwgegevens Allacker'!$J$5:$Q$83,7,0)</f>
        <v>2.2022341505875525</v>
      </c>
      <c r="H12" s="109">
        <f>VLOOKUP(B12,'Gebouwgegevens Allacker'!$J$5:$Q$83,8,0)</f>
        <v>56.0468591324532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x14ac:dyDescent="0.25">
      <c r="A13" s="96"/>
      <c r="B13" s="107" t="str">
        <f>'Gebouwgegevens Allacker'!J7</f>
        <v>W2</v>
      </c>
      <c r="C13" s="108">
        <f>VLOOKUP(B13,'Gebouwgegevens Allacker'!$J$5:$Q$83,3,0)</f>
        <v>1</v>
      </c>
      <c r="D13" s="108" t="str">
        <f>VLOOKUP(B13,'Gebouwgegevens Allacker'!$J$5:$Q$83,4,0)</f>
        <v>Wall External</v>
      </c>
      <c r="E13" s="108">
        <f>VLOOKUP(B13,'Gebouwgegevens Allacker'!$J$5:$Q$83,5,0)</f>
        <v>85.750000000000014</v>
      </c>
      <c r="F13" s="108" t="str">
        <f>VLOOKUP(B13,'Gebouwgegevens Allacker'!$J$5:$Q$83,6,0)</f>
        <v>right</v>
      </c>
      <c r="G13" s="108">
        <f>VLOOKUP(B13,'Gebouwgegevens Allacker'!$J$5:$Q$83,7,0)</f>
        <v>2.2022341505875525</v>
      </c>
      <c r="H13" s="109">
        <f>VLOOKUP(B13,'Gebouwgegevens Allacker'!$J$5:$Q$83,8,0)</f>
        <v>188.84157841288265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x14ac:dyDescent="0.25">
      <c r="A14" s="96"/>
      <c r="B14" s="107" t="str">
        <f>'Gebouwgegevens Allacker'!J8</f>
        <v>W3</v>
      </c>
      <c r="C14" s="108">
        <f>VLOOKUP(B14,'Gebouwgegevens Allacker'!$J$5:$Q$83,3,0)</f>
        <v>1</v>
      </c>
      <c r="D14" s="108" t="str">
        <f>VLOOKUP(B14,'Gebouwgegevens Allacker'!$J$5:$Q$83,4,0)</f>
        <v>Wall External</v>
      </c>
      <c r="E14" s="108">
        <f>VLOOKUP(B14,'Gebouwgegevens Allacker'!$J$5:$Q$83,5,0)</f>
        <v>32.449999999999996</v>
      </c>
      <c r="F14" s="108" t="str">
        <f>VLOOKUP(B14,'Gebouwgegevens Allacker'!$J$5:$Q$83,6,0)</f>
        <v>back</v>
      </c>
      <c r="G14" s="108">
        <f>VLOOKUP(B14,'Gebouwgegevens Allacker'!$J$5:$Q$83,7,0)</f>
        <v>2.2022341505875525</v>
      </c>
      <c r="H14" s="109">
        <f>VLOOKUP(B14,'Gebouwgegevens Allacker'!$J$5:$Q$83,8,0)</f>
        <v>71.462498186566066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x14ac:dyDescent="0.25">
      <c r="A15" s="96"/>
      <c r="B15" s="107" t="str">
        <f>'Gebouwgegevens Allacker'!J9</f>
        <v>W4</v>
      </c>
      <c r="C15" s="108">
        <f>VLOOKUP(B15,'Gebouwgegevens Allacker'!$J$5:$Q$83,3,0)</f>
        <v>1</v>
      </c>
      <c r="D15" s="108" t="str">
        <f>VLOOKUP(B15,'Gebouwgegevens Allacker'!$J$5:$Q$83,4,0)</f>
        <v>Wall External</v>
      </c>
      <c r="E15" s="108">
        <f>VLOOKUP(B15,'Gebouwgegevens Allacker'!$J$5:$Q$83,5,0)</f>
        <v>34.300000000000004</v>
      </c>
      <c r="F15" s="108" t="str">
        <f>VLOOKUP(B15,'Gebouwgegevens Allacker'!$J$5:$Q$83,6,0)</f>
        <v>left</v>
      </c>
      <c r="G15" s="108">
        <f>VLOOKUP(B15,'Gebouwgegevens Allacker'!$J$5:$Q$83,7,0)</f>
        <v>2.2022341505875525</v>
      </c>
      <c r="H15" s="109">
        <f>VLOOKUP(B15,'Gebouwgegevens Allacker'!$J$5:$Q$83,8,0)</f>
        <v>75.536631365153056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x14ac:dyDescent="0.25">
      <c r="A16" s="96"/>
      <c r="B16" s="107" t="str">
        <f>'Gebouwgegevens Allacker'!J10</f>
        <v>W5</v>
      </c>
      <c r="C16" s="108">
        <f>VLOOKUP(B16,'Gebouwgegevens Allacker'!$J$5:$Q$83,3,0)</f>
        <v>1</v>
      </c>
      <c r="D16" s="108" t="str">
        <f>VLOOKUP(B16,'Gebouwgegevens Allacker'!$J$5:$Q$83,4,0)</f>
        <v>Window</v>
      </c>
      <c r="E16" s="108">
        <f>VLOOKUP(B16,'Gebouwgegevens Allacker'!$J$5:$Q$83,5,0)</f>
        <v>7</v>
      </c>
      <c r="F16" s="108" t="str">
        <f>VLOOKUP(B16,'Gebouwgegevens Allacker'!$J$5:$Q$83,6,0)</f>
        <v>front</v>
      </c>
      <c r="G16" s="108">
        <f>VLOOKUP(B16,'Gebouwgegevens Allacker'!$J$5:$Q$83,7,0)</f>
        <v>5</v>
      </c>
      <c r="H16" s="109">
        <f>VLOOKUP(B16,'Gebouwgegevens Allacker'!$J$5:$Q$83,8,0)</f>
        <v>35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x14ac:dyDescent="0.25">
      <c r="A17" s="96"/>
      <c r="B17" s="107" t="str">
        <f>'Gebouwgegevens Allacker'!J11</f>
        <v>W6</v>
      </c>
      <c r="C17" s="108">
        <f>VLOOKUP(B17,'Gebouwgegevens Allacker'!$J$5:$Q$83,3,0)</f>
        <v>1</v>
      </c>
      <c r="D17" s="108" t="str">
        <f>VLOOKUP(B17,'Gebouwgegevens Allacker'!$J$5:$Q$83,4,0)</f>
        <v>Window</v>
      </c>
      <c r="E17" s="108">
        <f>VLOOKUP(B17,'Gebouwgegevens Allacker'!$J$5:$Q$83,5,0)</f>
        <v>0</v>
      </c>
      <c r="F17" s="108" t="str">
        <f>VLOOKUP(B17,'Gebouwgegevens Allacker'!$J$5:$Q$83,6,0)</f>
        <v>right</v>
      </c>
      <c r="G17" s="108">
        <f>VLOOKUP(B17,'Gebouwgegevens Allacker'!$J$5:$Q$83,7,0)</f>
        <v>5</v>
      </c>
      <c r="H17" s="109">
        <f>VLOOKUP(B17,'Gebouwgegevens Allacker'!$J$5:$Q$83,8,0)</f>
        <v>0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25">
      <c r="A18" s="96"/>
      <c r="B18" s="107" t="str">
        <f>'Gebouwgegevens Allacker'!J12</f>
        <v>W7</v>
      </c>
      <c r="C18" s="108">
        <f>VLOOKUP(B18,'Gebouwgegevens Allacker'!$J$5:$Q$83,3,0)</f>
        <v>1</v>
      </c>
      <c r="D18" s="108" t="str">
        <f>VLOOKUP(B18,'Gebouwgegevens Allacker'!$J$5:$Q$83,4,0)</f>
        <v>Window</v>
      </c>
      <c r="E18" s="108">
        <f>VLOOKUP(B18,'Gebouwgegevens Allacker'!$J$5:$Q$83,5,0)</f>
        <v>5</v>
      </c>
      <c r="F18" s="108" t="str">
        <f>VLOOKUP(B18,'Gebouwgegevens Allacker'!$J$5:$Q$83,6,0)</f>
        <v>back</v>
      </c>
      <c r="G18" s="108">
        <f>VLOOKUP(B18,'Gebouwgegevens Allacker'!$J$5:$Q$83,7,0)</f>
        <v>5</v>
      </c>
      <c r="H18" s="109">
        <f>VLOOKUP(B18,'Gebouwgegevens Allacker'!$J$5:$Q$83,8,0)</f>
        <v>25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75" t="s">
        <v>172</v>
      </c>
      <c r="Y18" s="97"/>
    </row>
    <row r="19" spans="1:25" ht="16.5" customHeight="1" x14ac:dyDescent="0.25">
      <c r="A19" s="96"/>
      <c r="B19" s="107" t="str">
        <f>'Gebouwgegevens Allacker'!J13</f>
        <v>W8</v>
      </c>
      <c r="C19" s="108">
        <f>VLOOKUP(B19,'Gebouwgegevens Allacker'!$J$5:$Q$83,3,0)</f>
        <v>1</v>
      </c>
      <c r="D19" s="108" t="str">
        <f>VLOOKUP(B19,'Gebouwgegevens Allacker'!$J$5:$Q$83,4,0)</f>
        <v>Window</v>
      </c>
      <c r="E19" s="108">
        <f>VLOOKUP(B19,'Gebouwgegevens Allacker'!$J$5:$Q$83,5,0)</f>
        <v>0</v>
      </c>
      <c r="F19" s="108" t="str">
        <f>VLOOKUP(B19,'Gebouwgegevens Allacker'!$J$5:$Q$83,6,0)</f>
        <v>left</v>
      </c>
      <c r="G19" s="108">
        <f>VLOOKUP(B19,'Gebouwgegevens Allacker'!$J$5:$Q$83,7,0)</f>
        <v>5</v>
      </c>
      <c r="H19" s="109">
        <f>VLOOKUP(B19,'Gebouwgegevens Allacker'!$J$5:$Q$83,8,0)</f>
        <v>0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2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25">
      <c r="A21" s="96"/>
      <c r="B21" s="107" t="str">
        <f>'Gebouwgegevens Allacker'!J15</f>
        <v>W10</v>
      </c>
      <c r="C21" s="108">
        <f>VLOOKUP(B21,'Gebouwgegevens Allacker'!$J$5:$Q$83,3,0)</f>
        <v>1</v>
      </c>
      <c r="D21" s="108" t="str">
        <f>VLOOKUP(B21,'Gebouwgegevens Allacker'!$J$5:$Q$83,4,0)</f>
        <v>Roof</v>
      </c>
      <c r="E21" s="108">
        <f>VLOOKUP(B21,'Gebouwgegevens Allacker'!$J$5:$Q$83,5,0)</f>
        <v>29</v>
      </c>
      <c r="F21" s="108">
        <f>VLOOKUP(B21,'Gebouwgegevens Allacker'!$J$5:$Q$83,6,0)</f>
        <v>0</v>
      </c>
      <c r="G21" s="108">
        <f>VLOOKUP(B21,'Gebouwgegevens Allacker'!$J$5:$Q$83,7,0)</f>
        <v>1.6975498473547073</v>
      </c>
      <c r="H21" s="109">
        <f>VLOOKUP(B21,'Gebouwgegevens Allacker'!$J$5:$Q$83,8,0)</f>
        <v>49.228945573286509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/>
      <c r="W21" s="99"/>
      <c r="X21" s="99"/>
      <c r="Y21" s="99"/>
    </row>
    <row r="22" spans="1:25" ht="16.5" customHeight="1" x14ac:dyDescent="0.25">
      <c r="A22" s="96"/>
      <c r="B22" s="107"/>
      <c r="C22" s="108"/>
      <c r="D22" s="108"/>
      <c r="E22" s="108"/>
      <c r="F22" s="108"/>
      <c r="G22" s="108"/>
      <c r="H22" s="109"/>
      <c r="I22" s="109"/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2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25">
      <c r="A28" s="96"/>
      <c r="B28" s="117" t="s">
        <v>61</v>
      </c>
      <c r="C28" s="118">
        <f>VLOOKUP(B28,'Gebouwgegevens Allacker'!$J$5:$Q$83,3,0)</f>
        <v>1</v>
      </c>
      <c r="D28" s="118" t="str">
        <f>VLOOKUP(B28,'Gebouwgegevens Allacker'!$J$5:$Q$83,4,0)</f>
        <v>Floor</v>
      </c>
      <c r="E28" s="118">
        <f>VLOOKUP(B28,'Gebouwgegevens Allacker'!$J$5:$Q$83,5,0)</f>
        <v>104.86</v>
      </c>
      <c r="F28" s="118">
        <f>VLOOKUP(B28,'Gebouwgegevens Allacker'!$J$5:$Q$83,7,0)</f>
        <v>2.5990099009900991</v>
      </c>
      <c r="G28" s="119">
        <f>VLOOKUP(B28,'Gebouwgegevens Allacker'!$J$5:$Q$83,8,0)</f>
        <v>272.53217821782181</v>
      </c>
      <c r="H28" s="119">
        <f>N28/F28</f>
        <v>0.21722245983746219</v>
      </c>
      <c r="I28" s="118">
        <v>132</v>
      </c>
      <c r="J28" s="117">
        <v>42</v>
      </c>
      <c r="K28" s="117">
        <v>0.33</v>
      </c>
      <c r="L28" s="120">
        <f>I28/(0.5*J28)</f>
        <v>6.2857142857142856</v>
      </c>
      <c r="M28" s="120">
        <f>K28+2*(1/F28)</f>
        <v>1.0995238095238096</v>
      </c>
      <c r="N28" s="121">
        <f>IF(M28&lt;L28,2*2/(PI()*L28+M28)*LN(PI()*L28/M28+1),2/(0.457*L28+M28))</f>
        <v>0.56456332383498842</v>
      </c>
      <c r="O28" s="99"/>
      <c r="P28" s="97"/>
    </row>
    <row r="29" spans="1:25" ht="15.75" customHeight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 t="e">
        <f>1.1*W18</f>
        <v>#N/A</v>
      </c>
    </row>
    <row r="32" spans="1:25" ht="15.75" customHeight="1" x14ac:dyDescent="0.2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25">
      <c r="A33" s="96"/>
      <c r="B33" s="122"/>
      <c r="C33" s="123"/>
      <c r="D33" s="123"/>
      <c r="E33" s="123"/>
      <c r="F33" s="123"/>
      <c r="G33" s="123">
        <v>20</v>
      </c>
      <c r="H33" s="123"/>
      <c r="I33" s="123"/>
      <c r="J33" s="119"/>
      <c r="K33" s="119"/>
      <c r="L33" s="99"/>
      <c r="M33" s="99"/>
      <c r="N33" s="99"/>
      <c r="O33" s="99"/>
      <c r="P33" s="97"/>
    </row>
    <row r="34" spans="1:16" ht="16.5" customHeight="1" x14ac:dyDescent="0.25">
      <c r="A34" s="96"/>
      <c r="B34" s="122"/>
      <c r="C34" s="123"/>
      <c r="D34" s="123"/>
      <c r="E34" s="123"/>
      <c r="F34" s="123"/>
      <c r="G34" s="123"/>
      <c r="H34" s="123"/>
      <c r="I34" s="123"/>
      <c r="J34" s="119"/>
      <c r="K34" s="119"/>
      <c r="L34" s="99"/>
      <c r="M34" s="99"/>
      <c r="N34" s="99"/>
      <c r="O34" s="99"/>
      <c r="P34" s="97"/>
    </row>
    <row r="35" spans="1:16" ht="16.5" customHeight="1" x14ac:dyDescent="0.2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2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2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2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SUMPRODUCT(H12:H21,I12:I21)+SUMPRODUCT(G28,H28)+SUMPRODUCT(J33:J38,K33:K38)</f>
        <v>560.31662280767841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15688.865438614996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2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25">
      <c r="A45" s="312" t="s">
        <v>197</v>
      </c>
      <c r="B45" s="312"/>
      <c r="C45" s="312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2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25">
      <c r="A48" s="128" t="s">
        <v>199</v>
      </c>
      <c r="B48" s="122">
        <v>0.6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2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2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25">
      <c r="A51" s="125" t="s">
        <v>205</v>
      </c>
      <c r="B51" s="119">
        <f>B48/20*741</f>
        <v>22.23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'Gebouwgegevens Allacker'!G35</f>
        <v>59.291999999999994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>
        <f>0.5*'Gebouwgegevens Allacker'!B5*(1-F55)</f>
        <v>40.160000000000011</v>
      </c>
      <c r="C55" s="119" t="s">
        <v>206</v>
      </c>
      <c r="D55" s="99"/>
      <c r="E55" s="99" t="s">
        <v>209</v>
      </c>
      <c r="F55" s="99">
        <f>0.84</f>
        <v>0.84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62.390000000000015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0.30064282341149379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21.212600000000005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Allacker'!E35-$B$4)</f>
        <v>615.1654000000002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2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25">
      <c r="A63" s="312" t="s">
        <v>213</v>
      </c>
      <c r="B63" s="312"/>
      <c r="C63" s="312"/>
      <c r="D63" s="312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2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25">
      <c r="A65" s="128" t="s">
        <v>214</v>
      </c>
      <c r="B65" s="122">
        <v>20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25">
      <c r="A66" s="128" t="s">
        <v>113</v>
      </c>
      <c r="B66" s="122">
        <v>264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25">
      <c r="A67" s="125" t="s">
        <v>216</v>
      </c>
      <c r="B67" s="119">
        <f>B68/('Gebouwgegevens Allacker'!E35-'Verwarming Allacker'!$B$4)</f>
        <v>182.06896551724137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5280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2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2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25">
      <c r="A72" s="125" t="s">
        <v>218</v>
      </c>
      <c r="B72" s="119">
        <f>SUM(B42,B60,B67)</f>
        <v>763.59818832491976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21584.030838614995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2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2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25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25">
      <c r="A79" s="312" t="s">
        <v>171</v>
      </c>
      <c r="B79" s="312"/>
      <c r="C79" s="312"/>
      <c r="D79" s="312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2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25">
      <c r="A84" s="96"/>
      <c r="B84" s="107" t="s">
        <v>59</v>
      </c>
      <c r="C84" s="108">
        <f>VLOOKUP(B84,'Gebouwgegevens Allacker'!$J$5:$Q$83,3,0)</f>
        <v>1</v>
      </c>
      <c r="D84" s="108" t="str">
        <f>VLOOKUP(B84,'Gebouwgegevens Allacker'!$J$5:$Q$83,4,0)</f>
        <v>Window</v>
      </c>
      <c r="E84" s="108">
        <f>VLOOKUP(B84,'Gebouwgegevens Allacker'!$J$5:$Q$83,5,0)</f>
        <v>5</v>
      </c>
      <c r="F84" s="108" t="str">
        <f>VLOOKUP(B84,'Gebouwgegevens Allacker'!$J$5:$Q$83,6,0)</f>
        <v>back</v>
      </c>
      <c r="G84" s="108">
        <f>VLOOKUP(B84,'Gebouwgegevens Allacker'!$J$5:$Q$83,7,0)</f>
        <v>5</v>
      </c>
      <c r="H84" s="109">
        <f>VLOOKUP(B84,'Gebouwgegevens Allacker'!$J$5:$Q$83,8,0)</f>
        <v>25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25">
      <c r="A85" s="96"/>
      <c r="B85" s="107" t="s">
        <v>60</v>
      </c>
      <c r="C85" s="108">
        <f>VLOOKUP(B85,'Gebouwgegevens Allacker'!$J$5:$Q$83,3,0)</f>
        <v>1</v>
      </c>
      <c r="D85" s="108" t="str">
        <f>VLOOKUP(B85,'Gebouwgegevens Allacker'!$J$5:$Q$83,4,0)</f>
        <v>Window</v>
      </c>
      <c r="E85" s="108">
        <f>VLOOKUP(B85,'Gebouwgegevens Allacker'!$J$5:$Q$83,5,0)</f>
        <v>0</v>
      </c>
      <c r="F85" s="108" t="str">
        <f>VLOOKUP(B85,'Gebouwgegevens Allacker'!$J$5:$Q$83,6,0)</f>
        <v>left</v>
      </c>
      <c r="G85" s="108">
        <f>VLOOKUP(B85,'Gebouwgegevens Allacker'!$J$5:$Q$83,7,0)</f>
        <v>5</v>
      </c>
      <c r="H85" s="109">
        <f>VLOOKUP(B85,'Gebouwgegevens Allacker'!$J$5:$Q$83,8,0)</f>
        <v>0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25">
      <c r="A86" s="96"/>
      <c r="B86" s="107" t="s">
        <v>61</v>
      </c>
      <c r="C86" s="108">
        <f>VLOOKUP(B86,'Gebouwgegevens Allacker'!$J$5:$Q$83,3,0)</f>
        <v>1</v>
      </c>
      <c r="D86" s="108" t="str">
        <f>VLOOKUP(B86,'Gebouwgegevens Allacker'!$J$5:$Q$83,4,0)</f>
        <v>Floor</v>
      </c>
      <c r="E86" s="108">
        <f>VLOOKUP(B86,'Gebouwgegevens Allacker'!$J$5:$Q$83,5,0)</f>
        <v>104.86</v>
      </c>
      <c r="F86" s="108">
        <f>VLOOKUP(B86,'Gebouwgegevens Allacker'!$J$5:$Q$83,6,0)</f>
        <v>0</v>
      </c>
      <c r="G86" s="108">
        <f>VLOOKUP(B86,'Gebouwgegevens Allacker'!$J$5:$Q$83,7,0)</f>
        <v>2.5990099009900991</v>
      </c>
      <c r="H86" s="109">
        <f>VLOOKUP(B86,'Gebouwgegevens Allacker'!$J$5:$Q$83,8,0)</f>
        <v>272.53217821782181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25">
      <c r="A87" s="96"/>
      <c r="B87" s="107"/>
      <c r="C87" s="108"/>
      <c r="D87" s="108"/>
      <c r="E87" s="108"/>
      <c r="F87" s="108"/>
      <c r="G87" s="108"/>
      <c r="H87" s="109"/>
      <c r="I87" s="109"/>
      <c r="J87" s="99"/>
      <c r="K87" s="99"/>
      <c r="L87" s="99"/>
      <c r="M87" s="99"/>
      <c r="N87" s="99"/>
      <c r="O87" s="99"/>
      <c r="P87" s="97"/>
    </row>
    <row r="88" spans="1:16" ht="16.5" customHeight="1" x14ac:dyDescent="0.25">
      <c r="A88" s="96"/>
      <c r="B88" s="107"/>
      <c r="C88" s="108"/>
      <c r="D88" s="108"/>
      <c r="E88" s="108"/>
      <c r="F88" s="108"/>
      <c r="G88" s="108"/>
      <c r="H88" s="109"/>
      <c r="I88" s="109"/>
      <c r="J88" s="99"/>
      <c r="K88" s="99"/>
      <c r="L88" s="99"/>
      <c r="M88" s="99"/>
      <c r="N88" s="99"/>
      <c r="O88" s="99"/>
      <c r="P88" s="97"/>
    </row>
    <row r="89" spans="1:16" ht="16.5" customHeight="1" x14ac:dyDescent="0.25">
      <c r="A89" s="96"/>
      <c r="B89" s="107"/>
      <c r="C89" s="108"/>
      <c r="D89" s="108"/>
      <c r="E89" s="108"/>
      <c r="F89" s="108"/>
      <c r="G89" s="108"/>
      <c r="H89" s="109"/>
      <c r="I89" s="109"/>
      <c r="J89" s="99"/>
      <c r="K89" s="99"/>
      <c r="L89" s="99"/>
      <c r="M89" s="99"/>
      <c r="N89" s="99"/>
      <c r="O89" s="99"/>
      <c r="P89" s="97"/>
    </row>
    <row r="90" spans="1:16" ht="16.5" customHeight="1" x14ac:dyDescent="0.25">
      <c r="A90" s="96"/>
      <c r="B90" s="107"/>
      <c r="C90" s="108"/>
      <c r="D90" s="108"/>
      <c r="E90" s="108"/>
      <c r="F90" s="108"/>
      <c r="G90" s="108"/>
      <c r="H90" s="109"/>
      <c r="I90" s="109"/>
      <c r="J90" s="99"/>
      <c r="K90" s="99"/>
      <c r="L90" s="99"/>
      <c r="M90" s="99"/>
      <c r="N90" s="99"/>
      <c r="O90" s="99"/>
      <c r="P90" s="97"/>
    </row>
    <row r="91" spans="1:16" ht="16.5" customHeight="1" x14ac:dyDescent="0.25">
      <c r="A91" s="96"/>
      <c r="B91" s="107"/>
      <c r="C91" s="108"/>
      <c r="D91" s="108"/>
      <c r="E91" s="108"/>
      <c r="F91" s="108"/>
      <c r="G91" s="108"/>
      <c r="H91" s="109"/>
      <c r="I91" s="109"/>
      <c r="J91" s="99"/>
      <c r="K91" s="99"/>
      <c r="L91" s="99"/>
      <c r="M91" s="99"/>
      <c r="N91" s="99"/>
      <c r="O91" s="99"/>
      <c r="P91" s="97"/>
    </row>
    <row r="92" spans="1:16" ht="16.5" customHeight="1" x14ac:dyDescent="0.25">
      <c r="A92" s="96"/>
      <c r="B92" s="107"/>
      <c r="C92" s="108"/>
      <c r="D92" s="108"/>
      <c r="E92" s="108"/>
      <c r="F92" s="108"/>
      <c r="G92" s="108"/>
      <c r="H92" s="109"/>
      <c r="I92" s="109"/>
      <c r="J92" s="99"/>
      <c r="K92" s="99"/>
      <c r="L92" s="99"/>
      <c r="M92" s="99"/>
      <c r="N92" s="99"/>
      <c r="O92" s="99"/>
      <c r="P92" s="97"/>
    </row>
    <row r="93" spans="1:16" ht="16.5" customHeight="1" x14ac:dyDescent="0.2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2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2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25">
      <c r="A100" s="96"/>
      <c r="B100" s="117" t="s">
        <v>219</v>
      </c>
      <c r="C100" s="118" t="e">
        <f>VLOOKUP(B100,'Gebouwgegevens Allacker'!$J$5:$Q$83,3,0)</f>
        <v>#N/A</v>
      </c>
      <c r="D100" s="118" t="e">
        <f>VLOOKUP(B100,'Gebouwgegevens Allacker'!$J$5:$Q$83,4,0)</f>
        <v>#N/A</v>
      </c>
      <c r="E100" s="118" t="e">
        <f>VLOOKUP(B100,'Gebouwgegevens Allacker'!$J$5:$Q$83,5,0)</f>
        <v>#N/A</v>
      </c>
      <c r="F100" s="118" t="e">
        <f>VLOOKUP(B100,'Gebouwgegevens Allacker'!$J$5:$Q$83,7,0)</f>
        <v>#N/A</v>
      </c>
      <c r="G100" s="119" t="e">
        <f>VLOOKUP(B100,'Gebouwgegevens Allacker'!$J$5:$Q$83,8,0)</f>
        <v>#N/A</v>
      </c>
      <c r="H100" s="119" t="e">
        <f>N100/F100</f>
        <v>#N/A</v>
      </c>
      <c r="I100" s="118" t="e">
        <f>VLOOKUP(C100,'Gebouwgegevens Allacker'!$A$35:$F$46,6,0)</f>
        <v>#N/A</v>
      </c>
      <c r="J100" s="117">
        <v>6.91</v>
      </c>
      <c r="K100" s="117">
        <v>0.33</v>
      </c>
      <c r="L100" s="120" t="e">
        <f>I100/(0.5*J100)</f>
        <v>#N/A</v>
      </c>
      <c r="M100" s="120" t="e">
        <f>K100+2*(1/F100)</f>
        <v>#N/A</v>
      </c>
      <c r="N100" s="121" t="e">
        <f>IF(M100&lt;L100,2*2/(PI()*L100+M100)*LN(PI()*L100/M100+1),2/(0.457*L100+M100))</f>
        <v>#N/A</v>
      </c>
      <c r="O100" s="99"/>
      <c r="P100" s="97"/>
    </row>
    <row r="101" spans="1:16" ht="18.75" customHeight="1" x14ac:dyDescent="0.2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2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2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2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2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25">
      <c r="A108" s="96"/>
      <c r="B108" s="122" t="s">
        <v>220</v>
      </c>
      <c r="C108" s="123" t="e">
        <f>IF(VLOOKUP(B108,'Gebouwgegevens Allacker'!$J$5:$Q$83,2,0)=B78,VLOOKUP(B108,'Gebouwgegevens Allacker'!$J$5:$Q$83,2,0),VLOOKUP(B108,'Gebouwgegevens Allacker'!$J$5:$Q$83,3,0))</f>
        <v>#N/A</v>
      </c>
      <c r="D108" s="123" t="e">
        <f>IF(VLOOKUP(B108,'Gebouwgegevens Allacker'!$J$5:$Q$83,2,0)=B78,VLOOKUP(B108,'Gebouwgegevens Allacker'!$J$5:$Q$83,3,0),VLOOKUP(B108,'Gebouwgegevens Allacker'!$J$5:$Q$83,2,0))</f>
        <v>#N/A</v>
      </c>
      <c r="E108" s="123" t="e">
        <f>VLOOKUP(B108,'Gebouwgegevens Allacker'!$J$5:$Q$83,4,0)</f>
        <v>#N/A</v>
      </c>
      <c r="F108" s="123" t="e">
        <f>VLOOKUP(B108,'Gebouwgegevens Allacker'!$J$5:$Q$83,5,0)</f>
        <v>#N/A</v>
      </c>
      <c r="G108" s="123" t="e">
        <f>VLOOKUP('Verwarming Allacker'!C108,'Gebouwgegevens Allacker'!$A$35:$F$46,5,0)</f>
        <v>#N/A</v>
      </c>
      <c r="H108" s="123" t="e">
        <f>VLOOKUP('Verwarming Allacker'!D108,'Gebouwgegevens Allacker'!$A$35:$F$46,5,0)</f>
        <v>#N/A</v>
      </c>
      <c r="I108" s="123" t="e">
        <f>VLOOKUP(B108,'Gebouwgegevens Allacker'!$J$5:$Q$83,7,0)</f>
        <v>#N/A</v>
      </c>
      <c r="J108" s="119" t="e">
        <f>VLOOKUP(B108,'Gebouwgegevens Allacker'!$J$5:$Q$83,8,0)</f>
        <v>#N/A</v>
      </c>
      <c r="K108" s="119" t="e">
        <f>(G108-H108)/(G108-$B$4)</f>
        <v>#N/A</v>
      </c>
      <c r="L108" s="99"/>
      <c r="M108" s="99"/>
      <c r="N108" s="99"/>
      <c r="O108" s="99"/>
      <c r="P108" s="97"/>
    </row>
    <row r="109" spans="1:16" ht="16.5" customHeight="1" x14ac:dyDescent="0.25">
      <c r="A109" s="96"/>
      <c r="B109" s="122" t="s">
        <v>221</v>
      </c>
      <c r="C109" s="123" t="e">
        <f>IF(VLOOKUP(B109,'Gebouwgegevens Allacker'!$J$5:$Q$83,2,0)=B78,VLOOKUP(B109,'Gebouwgegevens Allacker'!$J$5:$Q$83,2,0),VLOOKUP(B109,'Gebouwgegevens Allacker'!$J$5:$Q$83,3,0))</f>
        <v>#N/A</v>
      </c>
      <c r="D109" s="123" t="e">
        <f>IF(VLOOKUP(B109,'Gebouwgegevens Allacker'!$J$5:$Q$83,2,0)=B78,VLOOKUP(B109,'Gebouwgegevens Allacker'!$J$5:$Q$83,3,0),VLOOKUP(B109,'Gebouwgegevens Allacker'!$J$5:$Q$83,2,0))</f>
        <v>#N/A</v>
      </c>
      <c r="E109" s="123" t="e">
        <f>VLOOKUP(B109,'Gebouwgegevens Allacker'!$J$5:$Q$83,4,0)</f>
        <v>#N/A</v>
      </c>
      <c r="F109" s="123" t="e">
        <f>VLOOKUP(B109,'Gebouwgegevens Allacker'!$J$5:$Q$83,5,0)</f>
        <v>#N/A</v>
      </c>
      <c r="G109" s="123" t="e">
        <f>VLOOKUP('Verwarming Allacker'!C109,'Gebouwgegevens Allacker'!$A$35:$F$46,5,0)</f>
        <v>#N/A</v>
      </c>
      <c r="H109" s="123" t="e">
        <f>VLOOKUP('Verwarming Allacker'!D109,'Gebouwgegevens Allacker'!$A$35:$F$46,5,0)</f>
        <v>#N/A</v>
      </c>
      <c r="I109" s="123" t="e">
        <f>VLOOKUP(B109,'Gebouwgegevens Allacker'!$J$5:$Q$83,7,0)</f>
        <v>#N/A</v>
      </c>
      <c r="J109" s="119" t="e">
        <f>VLOOKUP(B109,'Gebouwgegevens Allacker'!$J$5:$Q$83,8,0)</f>
        <v>#N/A</v>
      </c>
      <c r="K109" s="119" t="e">
        <f>(G109-H109)/(G109-$B$4)</f>
        <v>#N/A</v>
      </c>
      <c r="L109" s="99"/>
      <c r="M109" s="99"/>
      <c r="N109" s="99"/>
      <c r="O109" s="99"/>
      <c r="P109" s="97"/>
    </row>
    <row r="110" spans="1:16" ht="16.5" customHeight="1" x14ac:dyDescent="0.25">
      <c r="A110" s="96"/>
      <c r="B110" s="122" t="s">
        <v>222</v>
      </c>
      <c r="C110" s="123" t="e">
        <f>IF(VLOOKUP(B110,'Gebouwgegevens Allacker'!$J$5:$Q$83,2,0)=B78,VLOOKUP(B110,'Gebouwgegevens Allacker'!$J$5:$Q$83,2,0),VLOOKUP(B110,'Gebouwgegevens Allacker'!$J$5:$Q$83,3,0))</f>
        <v>#N/A</v>
      </c>
      <c r="D110" s="123" t="e">
        <f>IF(VLOOKUP(B110,'Gebouwgegevens Allacker'!$J$5:$Q$83,2,0)=B78,VLOOKUP(B110,'Gebouwgegevens Allacker'!$J$5:$Q$83,3,0),VLOOKUP(B110,'Gebouwgegevens Allacker'!$J$5:$Q$83,2,0))</f>
        <v>#N/A</v>
      </c>
      <c r="E110" s="123" t="e">
        <f>VLOOKUP(B110,'Gebouwgegevens Allacker'!$J$5:$Q$83,4,0)</f>
        <v>#N/A</v>
      </c>
      <c r="F110" s="123" t="e">
        <f>VLOOKUP(B110,'Gebouwgegevens Allacker'!$J$5:$Q$83,5,0)</f>
        <v>#N/A</v>
      </c>
      <c r="G110" s="123" t="e">
        <f>VLOOKUP('Verwarming Allacker'!C110,'Gebouwgegevens Allacker'!$A$35:$F$46,5,0)</f>
        <v>#N/A</v>
      </c>
      <c r="H110" s="123" t="e">
        <f>VLOOKUP('Verwarming Allacker'!D110,'Gebouwgegevens Allacker'!$A$35:$F$46,5,0)</f>
        <v>#N/A</v>
      </c>
      <c r="I110" s="123" t="e">
        <f>VLOOKUP(B110,'Gebouwgegevens Allacker'!$J$5:$Q$83,7,0)</f>
        <v>#N/A</v>
      </c>
      <c r="J110" s="119" t="e">
        <f>VLOOKUP(B110,'Gebouwgegevens Allacker'!$J$5:$Q$83,8,0)</f>
        <v>#N/A</v>
      </c>
      <c r="K110" s="119" t="e">
        <f>(G110-H110)/(G110-$B$4)</f>
        <v>#N/A</v>
      </c>
      <c r="L110" s="99"/>
      <c r="M110" s="99"/>
      <c r="N110" s="99"/>
      <c r="O110" s="99"/>
      <c r="P110" s="97"/>
    </row>
    <row r="111" spans="1:16" ht="16.5" customHeight="1" x14ac:dyDescent="0.25">
      <c r="A111" s="96"/>
      <c r="B111" s="93" t="s">
        <v>223</v>
      </c>
      <c r="C111" s="123" t="e">
        <f>IF(VLOOKUP(B111,'Gebouwgegevens Allacker'!$J$5:$Q$83,2,0)=B78,VLOOKUP(B111,'Gebouwgegevens Allacker'!$J$5:$Q$83,2,0),VLOOKUP(B111,'Gebouwgegevens Allacker'!$J$5:$Q$83,3,0))</f>
        <v>#N/A</v>
      </c>
      <c r="D111" s="123" t="e">
        <f>IF(VLOOKUP(B111,'Gebouwgegevens Allacker'!$J$5:$Q$83,2,0)=B78,VLOOKUP(B111,'Gebouwgegevens Allacker'!$J$5:$Q$83,3,0),VLOOKUP(B111,'Gebouwgegevens Allacker'!$J$5:$Q$83,2,0))</f>
        <v>#N/A</v>
      </c>
      <c r="E111" s="123" t="e">
        <f>VLOOKUP(B111,'Gebouwgegevens Allacker'!$J$5:$Q$83,4,0)</f>
        <v>#N/A</v>
      </c>
      <c r="F111" s="123" t="e">
        <f>VLOOKUP(B111,'Gebouwgegevens Allacker'!$J$5:$Q$83,5,0)</f>
        <v>#N/A</v>
      </c>
      <c r="G111" s="123" t="e">
        <f>VLOOKUP('Verwarming Allacker'!C111,'Gebouwgegevens Allacker'!$A$35:$F$46,5,0)</f>
        <v>#N/A</v>
      </c>
      <c r="H111" s="123" t="e">
        <f>VLOOKUP('Verwarming Allacker'!D111,'Gebouwgegevens Allacker'!$A$35:$F$46,5,0)</f>
        <v>#N/A</v>
      </c>
      <c r="I111" s="123" t="e">
        <f>VLOOKUP(B111,'Gebouwgegevens Allacker'!$J$5:$Q$83,7,0)</f>
        <v>#N/A</v>
      </c>
      <c r="J111" s="119" t="e">
        <f>VLOOKUP(B111,'Gebouwgegevens Allacker'!$J$5:$Q$83,8,0)</f>
        <v>#N/A</v>
      </c>
      <c r="K111" s="119" t="e">
        <f>(G111-H111)/(G111-$B$4)</f>
        <v>#N/A</v>
      </c>
      <c r="L111" s="99"/>
      <c r="M111" s="99"/>
      <c r="N111" s="99"/>
      <c r="O111" s="99"/>
      <c r="P111" s="97"/>
    </row>
    <row r="112" spans="1:16" ht="16.5" customHeight="1" x14ac:dyDescent="0.25">
      <c r="A112" s="96"/>
      <c r="B112" s="124" t="s">
        <v>224</v>
      </c>
      <c r="C112" s="140" t="e">
        <f>IF(VLOOKUP(B112,'Gebouwgegevens Allacker'!$J$5:$Q$83,2,0)=B78,VLOOKUP(B112,'Gebouwgegevens Allacker'!$J$5:$Q$83,2,0),VLOOKUP(B112,'Gebouwgegevens Allacker'!$J$5:$Q$83,3,0))</f>
        <v>#N/A</v>
      </c>
      <c r="D112" s="123" t="e">
        <f>IF(VLOOKUP(B112,'Gebouwgegevens Allacker'!$J$5:$Q$83,2,0)=B78,VLOOKUP(B112,'Gebouwgegevens Allacker'!$J$5:$Q$83,3,0),VLOOKUP(B112,'Gebouwgegevens Allacker'!$J$5:$Q$83,2,0))</f>
        <v>#N/A</v>
      </c>
      <c r="E112" s="123" t="e">
        <f>VLOOKUP(B112,'Gebouwgegevens Allacker'!$J$5:$Q$83,4,0)</f>
        <v>#N/A</v>
      </c>
      <c r="F112" s="123" t="e">
        <f>VLOOKUP(B112,'Gebouwgegevens Allacker'!$J$5:$Q$83,5,0)</f>
        <v>#N/A</v>
      </c>
      <c r="G112" s="123" t="e">
        <f>VLOOKUP('Verwarming Allacker'!C112,'Gebouwgegevens Allacker'!$A$35:$F$46,5,0)</f>
        <v>#N/A</v>
      </c>
      <c r="H112" s="123" t="e">
        <f>VLOOKUP('Verwarming Allacker'!D112,'Gebouwgegevens Allacker'!$A$35:$F$46,5,0)</f>
        <v>#N/A</v>
      </c>
      <c r="I112" s="123" t="e">
        <f>VLOOKUP(B112,'Gebouwgegevens Allacker'!$J$5:$Q$83,7,0)</f>
        <v>#N/A</v>
      </c>
      <c r="J112" s="119" t="e">
        <f>VLOOKUP(B112,'Gebouwgegevens Allacker'!$J$5:$Q$83,8,0)</f>
        <v>#N/A</v>
      </c>
      <c r="K112" s="119" t="e">
        <f>(G112-H112)/(G112-$B$4)</f>
        <v>#N/A</v>
      </c>
      <c r="L112" s="99"/>
      <c r="M112" s="99"/>
      <c r="N112" s="99"/>
      <c r="O112" s="99"/>
      <c r="P112" s="97"/>
    </row>
    <row r="113" spans="1:16" ht="16.5" customHeight="1" x14ac:dyDescent="0.2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2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2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2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2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 t="e">
        <f>SUMPRODUCT(H84:H95,I84:I95)+SUMPRODUCT(G100:G104,H100:H104)+SUMPRODUCT(J108:J117,K108:K117)</f>
        <v>#N/A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 t="e">
        <f>B121*(G111-$B$4)</f>
        <v>#N/A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2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25">
      <c r="A124" s="312" t="s">
        <v>197</v>
      </c>
      <c r="B124" s="312"/>
      <c r="C124" s="312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2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25">
      <c r="A127" s="128" t="s">
        <v>199</v>
      </c>
      <c r="B127" s="122">
        <v>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2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2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25">
      <c r="A130" s="125" t="s">
        <v>205</v>
      </c>
      <c r="B130" s="119">
        <f>2*VLOOKUP(B78,'Gebouwgegevens Allacker'!$A$35:$F$46,6,0)*B127*B128*B129</f>
        <v>0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VLOOKUP(B78,'Gebouwgegevens Allacker'!$A$35:$F$46,6,0)</f>
        <v>0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>
        <v>50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MAX(B130,B134)</f>
        <v>50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0.31350321027287315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0.34*B137</f>
        <v>17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B139*('Gebouwgegevens Allacker'!E100-$B$4)</f>
        <v>136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2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25">
      <c r="A142" s="312" t="s">
        <v>213</v>
      </c>
      <c r="B142" s="312"/>
      <c r="C142" s="312"/>
      <c r="D142" s="312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2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25">
      <c r="A144" s="128" t="s">
        <v>214</v>
      </c>
      <c r="B144" s="122">
        <v>45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25">
      <c r="A145" s="128" t="s">
        <v>113</v>
      </c>
      <c r="B145" s="122">
        <f>VLOOKUP(B78,'Gebouwgegevens Allacker'!$A$35:$F$46,6,0)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25">
      <c r="A146" s="125" t="s">
        <v>216</v>
      </c>
      <c r="B146" s="119">
        <f>B147/('Gebouwgegevens Allacker'!E100-'Verwarming Allacker'!$B$4)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2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2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25">
      <c r="A151" s="125" t="s">
        <v>218</v>
      </c>
      <c r="B151" s="119" t="e">
        <f>SUM(B121,B139,B146)</f>
        <v>#N/A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 t="e">
        <f>SUM(B122,B140,B147)</f>
        <v>#N/A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2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2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25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25">
      <c r="A159" s="312" t="s">
        <v>171</v>
      </c>
      <c r="B159" s="312"/>
      <c r="C159" s="312"/>
      <c r="D159" s="312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2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2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2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2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2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2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2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2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2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2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2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2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2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2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2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2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2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2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2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2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Allacker'!C188,'Gebouwgegevens Allacker'!$A$35:$F$46,5,0)</f>
        <v>#N/A</v>
      </c>
      <c r="H188" s="123" t="e">
        <f>VLOOKUP('Verwarming Allacker'!D188,'Gebouwgegevens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2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Allacker'!C189,'Gebouwgegevens Allacker'!$A$35:$F$46,5,0)</f>
        <v>#N/A</v>
      </c>
      <c r="H189" s="123" t="e">
        <f>VLOOKUP('Verwarming Allacker'!D189,'Gebouwgegevens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2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Allacker'!C190,'Gebouwgegevens Allacker'!$A$35:$F$46,5,0)</f>
        <v>#N/A</v>
      </c>
      <c r="H190" s="123" t="e">
        <f>VLOOKUP('Verwarming Allacker'!D190,'Gebouwgegevens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2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2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2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2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2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2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2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2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25">
      <c r="A204" s="312" t="s">
        <v>197</v>
      </c>
      <c r="B204" s="312"/>
      <c r="C204" s="312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2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2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2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2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2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25">
      <c r="A222" s="312" t="s">
        <v>213</v>
      </c>
      <c r="B222" s="312"/>
      <c r="C222" s="312"/>
      <c r="D222" s="312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2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2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25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Allacker'!$B$4)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2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2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2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2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25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25">
      <c r="A238" s="312" t="s">
        <v>171</v>
      </c>
      <c r="B238" s="312"/>
      <c r="C238" s="312"/>
      <c r="D238" s="312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2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2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2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2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2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2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2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2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2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2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2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2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2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2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2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2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2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2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2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2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Allacker'!C267,'Gebouwgegevens Allacker'!$A$35:$F$46,5,0)</f>
        <v>#N/A</v>
      </c>
      <c r="H267" s="123" t="e">
        <f>VLOOKUP('Verwarming Allacker'!D267,'Gebouwgegevens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2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Allacker'!C268,'Gebouwgegevens Allacker'!$A$35:$F$46,5,0)</f>
        <v>#N/A</v>
      </c>
      <c r="H268" s="123" t="e">
        <f>VLOOKUP('Verwarming Allacker'!D268,'Gebouwgegevens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2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Allacker'!C269,'Gebouwgegevens Allacker'!$A$35:$F$46,5,0)</f>
        <v>#N/A</v>
      </c>
      <c r="H269" s="123" t="e">
        <f>VLOOKUP('Verwarming Allacker'!D269,'Gebouwgegevens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2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Allacker'!C270,'Gebouwgegevens Allacker'!$A$35:$F$46,5,0)</f>
        <v>#N/A</v>
      </c>
      <c r="H270" s="123" t="e">
        <f>VLOOKUP('Verwarming Allacker'!D270,'Gebouwgegevens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2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2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2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2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2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2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2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25">
      <c r="A283" s="312" t="s">
        <v>197</v>
      </c>
      <c r="B283" s="312"/>
      <c r="C283" s="312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2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2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2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2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2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25">
      <c r="A301" s="312" t="s">
        <v>213</v>
      </c>
      <c r="B301" s="312"/>
      <c r="C301" s="312"/>
      <c r="D301" s="312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2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2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25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Allacker'!$B$4)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2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2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2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2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25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25">
      <c r="A317" s="312" t="s">
        <v>171</v>
      </c>
      <c r="B317" s="312"/>
      <c r="C317" s="312"/>
      <c r="D317" s="312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2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2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2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2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2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2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2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2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2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2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2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2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2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2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2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2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2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2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2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2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Allacker'!C346,'Gebouwgegevens Allacker'!$A$35:$F$46,5,0)</f>
        <v>#N/A</v>
      </c>
      <c r="H346" s="123" t="e">
        <f>VLOOKUP('Verwarming Allacker'!D346,'Gebouwgegevens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2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Allacker'!C347,'Gebouwgegevens Allacker'!$A$35:$F$46,5,0)</f>
        <v>#N/A</v>
      </c>
      <c r="H347" s="123" t="e">
        <f>VLOOKUP('Verwarming Allacker'!D347,'Gebouwgegevens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2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Allacker'!C348,'Gebouwgegevens Allacker'!$A$35:$F$46,5,0)</f>
        <v>#N/A</v>
      </c>
      <c r="H348" s="123" t="e">
        <f>VLOOKUP('Verwarming Allacker'!D348,'Gebouwgegevens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2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Allacker'!C349,'Gebouwgegevens Allacker'!$A$35:$F$46,5,0)</f>
        <v>#N/A</v>
      </c>
      <c r="H349" s="123" t="e">
        <f>VLOOKUP('Verwarming Allacker'!D349,'Gebouwgegevens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2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Allacker'!C350,'Gebouwgegevens Allacker'!$A$35:$F$46,5,0)</f>
        <v>#N/A</v>
      </c>
      <c r="H350" s="123" t="e">
        <f>VLOOKUP('Verwarming Allacker'!D350,'Gebouwgegevens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2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2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2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2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2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2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25">
      <c r="A362" s="312" t="s">
        <v>197</v>
      </c>
      <c r="B362" s="312"/>
      <c r="C362" s="312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2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2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2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2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2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25">
      <c r="A380" s="312" t="s">
        <v>213</v>
      </c>
      <c r="B380" s="312"/>
      <c r="C380" s="312"/>
      <c r="D380" s="312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2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2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25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Allacker'!$B$4)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2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2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2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2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25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25">
      <c r="A395" s="312" t="s">
        <v>171</v>
      </c>
      <c r="B395" s="312"/>
      <c r="C395" s="312"/>
      <c r="D395" s="312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2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2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2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2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2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2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2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2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2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2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2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2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2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2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2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2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2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2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2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2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Allacker'!C424,'Gebouwgegevens Allacker'!$A$35:$F$46,5,0)</f>
        <v>#N/A</v>
      </c>
      <c r="H424" s="123" t="e">
        <f>VLOOKUP('Verwarming Allacker'!D424,'Gebouwgegevens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2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Allacker'!C425,'Gebouwgegevens Allacker'!$A$35:$F$46,5,0)</f>
        <v>#N/A</v>
      </c>
      <c r="H425" s="123" t="e">
        <f>VLOOKUP('Verwarming Allacker'!D425,'Gebouwgegevens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2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Allacker'!C426,'Gebouwgegevens Allacker'!$A$35:$F$46,5,0)</f>
        <v>#N/A</v>
      </c>
      <c r="H426" s="123" t="e">
        <f>VLOOKUP('Verwarming Allacker'!D426,'Gebouwgegevens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2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Allacker'!C427,'Gebouwgegevens Allacker'!$A$35:$F$46,5,0)</f>
        <v>#N/A</v>
      </c>
      <c r="H427" s="123" t="e">
        <f>VLOOKUP('Verwarming Allacker'!D427,'Gebouwgegevens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2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Allacker'!C428,'Gebouwgegevens Allacker'!$A$35:$F$46,5,0)</f>
        <v>#N/A</v>
      </c>
      <c r="H428" s="123" t="e">
        <f>VLOOKUP('Verwarming Allacker'!D428,'Gebouwgegevens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2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2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2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2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2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2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25">
      <c r="A440" s="312" t="s">
        <v>197</v>
      </c>
      <c r="B440" s="312"/>
      <c r="C440" s="312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2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2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2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2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2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25">
      <c r="A458" s="312" t="s">
        <v>213</v>
      </c>
      <c r="B458" s="312"/>
      <c r="C458" s="312"/>
      <c r="D458" s="312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2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2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25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Allacker'!$B$4)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2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2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2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2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25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25">
      <c r="A473" s="312" t="s">
        <v>171</v>
      </c>
      <c r="B473" s="312"/>
      <c r="C473" s="312"/>
      <c r="D473" s="312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2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2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2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2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2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2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2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2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2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2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2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2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2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2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2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2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2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2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2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2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Allacker'!C502,'Gebouwgegevens Allacker'!$A$35:$F$46,5,0)</f>
        <v>#N/A</v>
      </c>
      <c r="H502" s="123" t="e">
        <f>VLOOKUP('Verwarming Allacker'!D502,'Gebouwgegevens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2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Allacker'!C503,'Gebouwgegevens Allacker'!$A$35:$F$46,5,0)</f>
        <v>#N/A</v>
      </c>
      <c r="H503" s="123" t="e">
        <f>VLOOKUP('Verwarming Allacker'!D503,'Gebouwgegevens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2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Allacker'!C504,'Gebouwgegevens Allacker'!$A$35:$F$46,5,0)</f>
        <v>#N/A</v>
      </c>
      <c r="H504" s="123" t="e">
        <f>VLOOKUP('Verwarming Allacker'!D504,'Gebouwgegevens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2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2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2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2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2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2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2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2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25">
      <c r="A518" s="312" t="s">
        <v>197</v>
      </c>
      <c r="B518" s="312"/>
      <c r="C518" s="312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2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2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2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2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2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25">
      <c r="A536" s="312" t="s">
        <v>213</v>
      </c>
      <c r="B536" s="312"/>
      <c r="C536" s="312"/>
      <c r="D536" s="312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2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2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Allacker'!$B$4)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2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2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2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2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25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25">
      <c r="A552" s="312" t="s">
        <v>171</v>
      </c>
      <c r="B552" s="312"/>
      <c r="C552" s="312"/>
      <c r="D552" s="312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2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2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2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2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2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2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2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2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2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2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2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2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2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2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2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2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2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2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2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2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Allacker'!C581,'Gebouwgegevens Allacker'!$A$35:$F$46,5,0)</f>
        <v>#N/A</v>
      </c>
      <c r="H581" s="123" t="e">
        <f>VLOOKUP('Verwarming Allacker'!D581,'Gebouwgegevens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2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Allacker'!C582,'Gebouwgegevens Allacker'!$A$35:$F$46,5,0)</f>
        <v>#N/A</v>
      </c>
      <c r="H582" s="123" t="e">
        <f>VLOOKUP('Verwarming Allacker'!D582,'Gebouwgegevens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2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Allacker'!C583,'Gebouwgegevens Allacker'!$A$35:$F$46,5,0)</f>
        <v>#N/A</v>
      </c>
      <c r="H583" s="123" t="e">
        <f>VLOOKUP('Verwarming Allacker'!D583,'Gebouwgegevens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2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2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2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2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2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2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2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2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25">
      <c r="A597" s="312" t="s">
        <v>197</v>
      </c>
      <c r="B597" s="312"/>
      <c r="C597" s="312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2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2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2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2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2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25">
      <c r="A615" s="312" t="s">
        <v>213</v>
      </c>
      <c r="B615" s="312"/>
      <c r="C615" s="312"/>
      <c r="D615" s="312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2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2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25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Allacker'!$B$4)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2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2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2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2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25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25">
      <c r="A631" s="312" t="s">
        <v>171</v>
      </c>
      <c r="B631" s="312"/>
      <c r="C631" s="312"/>
      <c r="D631" s="312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2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2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2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2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2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2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2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2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2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2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2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2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2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2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2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2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2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2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2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2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Allacker'!C660,'Gebouwgegevens Allacker'!$A$35:$F$46,5,0)</f>
        <v>#N/A</v>
      </c>
      <c r="H660" s="123" t="e">
        <f>VLOOKUP('Verwarming Allacker'!D660,'Gebouwgegevens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2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Allacker'!C661,'Gebouwgegevens Allacker'!$A$35:$F$46,5,0)</f>
        <v>#N/A</v>
      </c>
      <c r="H661" s="123" t="e">
        <f>VLOOKUP('Verwarming Allacker'!D661,'Gebouwgegevens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2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2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2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2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2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2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2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2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2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25">
      <c r="A676" s="312" t="s">
        <v>197</v>
      </c>
      <c r="B676" s="312"/>
      <c r="C676" s="312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2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2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2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2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2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25">
      <c r="A694" s="312" t="s">
        <v>213</v>
      </c>
      <c r="B694" s="312"/>
      <c r="C694" s="312"/>
      <c r="D694" s="312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2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2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25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Allacker'!$B$4)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2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2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2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2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25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25">
      <c r="A710" s="312" t="s">
        <v>171</v>
      </c>
      <c r="B710" s="312"/>
      <c r="C710" s="312"/>
      <c r="D710" s="312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2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2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2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2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2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2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2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2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2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2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2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2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2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2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2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2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2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2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2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2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Allacker'!C739,'Gebouwgegevens Allacker'!$A$35:$F$46,5,0)</f>
        <v>#N/A</v>
      </c>
      <c r="H739" s="123" t="e">
        <f>VLOOKUP('Verwarming Allacker'!D739,'Gebouwgegevens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2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Allacker'!C740,'Gebouwgegevens Allacker'!$A$35:$F$46,5,0)</f>
        <v>#N/A</v>
      </c>
      <c r="H740" s="123" t="e">
        <f>VLOOKUP('Verwarming Allacker'!D740,'Gebouwgegevens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2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Allacker'!C741,'Gebouwgegevens Allacker'!$A$35:$F$46,5,0)</f>
        <v>#N/A</v>
      </c>
      <c r="H741" s="123" t="e">
        <f>VLOOKUP('Verwarming Allacker'!D741,'Gebouwgegevens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2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Allacker'!C742,'Gebouwgegevens Allacker'!$A$35:$F$46,5,0)</f>
        <v>#N/A</v>
      </c>
      <c r="H742" s="123" t="e">
        <f>VLOOKUP('Verwarming Allacker'!D742,'Gebouwgegevens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2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Allacker'!C743,'Gebouwgegevens Allacker'!$A$35:$F$46,5,0)</f>
        <v>#N/A</v>
      </c>
      <c r="H743" s="123" t="e">
        <f>VLOOKUP('Verwarming Allacker'!D743,'Gebouwgegevens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2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Allacker'!C744,'Gebouwgegevens Allacker'!$A$35:$F$46,5,0)</f>
        <v>#N/A</v>
      </c>
      <c r="H744" s="123" t="e">
        <f>VLOOKUP('Verwarming Allacker'!D744,'Gebouwgegevens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2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Allacker'!C745,'Gebouwgegevens Allacker'!$A$35:$F$46,5,0)</f>
        <v>#N/A</v>
      </c>
      <c r="H745" s="123" t="e">
        <f>VLOOKUP('Verwarming Allacker'!D745,'Gebouwgegevens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2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Allacker'!C746,'Gebouwgegevens Allacker'!$A$35:$F$46,5,0)</f>
        <v>#N/A</v>
      </c>
      <c r="H746" s="123" t="e">
        <f>VLOOKUP('Verwarming Allacker'!D746,'Gebouwgegevens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2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Allacker'!C747,'Gebouwgegevens Allacker'!$A$35:$F$46,5,0)</f>
        <v>#N/A</v>
      </c>
      <c r="H747" s="123" t="e">
        <f>VLOOKUP('Verwarming Allacker'!D747,'Gebouwgegevens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2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Allacker'!C748,'Gebouwgegevens Allacker'!$A$35:$F$46,5,0)</f>
        <v>#N/A</v>
      </c>
      <c r="H748" s="123" t="e">
        <f>VLOOKUP('Verwarming Allacker'!D748,'Gebouwgegevens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2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Allacker'!C749,'Gebouwgegevens Allacker'!$A$35:$F$46,5,0)</f>
        <v>#N/A</v>
      </c>
      <c r="H749" s="123" t="e">
        <f>VLOOKUP('Verwarming Allacker'!D749,'Gebouwgegevens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2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Allacker'!C750,'Gebouwgegevens Allacker'!$A$35:$F$46,5,0)</f>
        <v>#N/A</v>
      </c>
      <c r="H750" s="123" t="e">
        <f>VLOOKUP('Verwarming Allacker'!D750,'Gebouwgegevens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2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25">
      <c r="A755" s="312" t="s">
        <v>197</v>
      </c>
      <c r="B755" s="312"/>
      <c r="C755" s="312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2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2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2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2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2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25">
      <c r="A773" s="312" t="s">
        <v>213</v>
      </c>
      <c r="B773" s="312"/>
      <c r="C773" s="312"/>
      <c r="D773" s="312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2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2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25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Allacker'!$B$4)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2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2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2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workbookViewId="0">
      <selection sqref="A1:I1"/>
    </sheetView>
  </sheetViews>
  <sheetFormatPr defaultRowHeight="15" x14ac:dyDescent="0.25"/>
  <cols>
    <col min="1" max="1025" width="9.140625" style="3"/>
  </cols>
  <sheetData>
    <row r="1" spans="1:25" ht="20.25" customHeight="1" x14ac:dyDescent="0.25">
      <c r="A1" s="310" t="s">
        <v>164</v>
      </c>
      <c r="B1" s="310"/>
      <c r="C1" s="310"/>
      <c r="D1" s="310"/>
      <c r="E1" s="310"/>
      <c r="F1" s="310"/>
      <c r="G1" s="310"/>
      <c r="H1" s="310"/>
      <c r="I1" s="310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2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2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25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307" t="s">
        <v>168</v>
      </c>
      <c r="W5" s="307"/>
      <c r="X5" s="307"/>
      <c r="Y5" s="97"/>
    </row>
    <row r="6" spans="1:25" ht="18.75" customHeight="1" x14ac:dyDescent="0.3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25">
      <c r="A7" s="312" t="s">
        <v>171</v>
      </c>
      <c r="B7" s="312"/>
      <c r="C7" s="312"/>
      <c r="D7" s="312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33966.513165595876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 t="e">
        <f>B152</f>
        <v>#N/A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x14ac:dyDescent="0.2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x14ac:dyDescent="0.25">
      <c r="A12" s="96"/>
      <c r="B12" s="107" t="str">
        <f>'Gebouwgegevens Allacker'!J6</f>
        <v>W1</v>
      </c>
      <c r="C12" s="108">
        <f>VLOOKUP(B12,'Gebouwgegevens Tabula'!$J$5:$Q$83,3,0)</f>
        <v>1</v>
      </c>
      <c r="D12" s="108" t="str">
        <f>VLOOKUP(B12,'Gebouwgegevens Tabula'!$J$5:$Q$83,4,0)</f>
        <v>Wall External</v>
      </c>
      <c r="E12" s="108">
        <f>VLOOKUP(B12,'Gebouwgegevens Tabula'!$J$5:$Q$83,5,0)</f>
        <v>39.38000000000001</v>
      </c>
      <c r="F12" s="108" t="str">
        <f>VLOOKUP(B12,'Gebouwgegevens Tabula'!$J$5:$Q$83,6,0)</f>
        <v>front</v>
      </c>
      <c r="G12" s="108">
        <f>VLOOKUP(B12,'Gebouwgegevens Tabula'!$J$5:$Q$83,7,0)</f>
        <v>2.2022341505875525</v>
      </c>
      <c r="H12" s="109">
        <f>VLOOKUP(B12,'Gebouwgegevens Tabula'!$J$5:$Q$83,8,0)</f>
        <v>86.723980850137835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x14ac:dyDescent="0.25">
      <c r="A13" s="96"/>
      <c r="B13" s="107" t="str">
        <f>'Gebouwgegevens Allacker'!J7</f>
        <v>W2</v>
      </c>
      <c r="C13" s="108">
        <f>VLOOKUP(B13,'Gebouwgegevens Tabula'!$J$5:$Q$83,3,0)</f>
        <v>1</v>
      </c>
      <c r="D13" s="108" t="str">
        <f>VLOOKUP(B13,'Gebouwgegevens Tabula'!$J$5:$Q$83,4,0)</f>
        <v>Wall External</v>
      </c>
      <c r="E13" s="108">
        <f>VLOOKUP(B13,'Gebouwgegevens Tabula'!$J$5:$Q$83,5,0)</f>
        <v>32.220000000000006</v>
      </c>
      <c r="F13" s="108" t="str">
        <f>VLOOKUP(B13,'Gebouwgegevens Tabula'!$J$5:$Q$83,6,0)</f>
        <v>right</v>
      </c>
      <c r="G13" s="108">
        <f>VLOOKUP(B13,'Gebouwgegevens Tabula'!$J$5:$Q$83,7,0)</f>
        <v>2.2022341505875525</v>
      </c>
      <c r="H13" s="109">
        <f>VLOOKUP(B13,'Gebouwgegevens Tabula'!$J$5:$Q$83,8,0)</f>
        <v>70.955984331930949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x14ac:dyDescent="0.25">
      <c r="A14" s="96"/>
      <c r="B14" s="107" t="str">
        <f>'Gebouwgegevens Allacker'!J8</f>
        <v>W3</v>
      </c>
      <c r="C14" s="108">
        <f>VLOOKUP(B14,'Gebouwgegevens Tabula'!$J$5:$Q$83,3,0)</f>
        <v>1</v>
      </c>
      <c r="D14" s="108" t="str">
        <f>VLOOKUP(B14,'Gebouwgegevens Tabula'!$J$5:$Q$83,4,0)</f>
        <v>Wall External</v>
      </c>
      <c r="E14" s="108">
        <f>VLOOKUP(B14,'Gebouwgegevens Tabula'!$J$5:$Q$83,5,0)</f>
        <v>39.38000000000001</v>
      </c>
      <c r="F14" s="108" t="str">
        <f>VLOOKUP(B14,'Gebouwgegevens Tabula'!$J$5:$Q$83,6,0)</f>
        <v>back</v>
      </c>
      <c r="G14" s="108">
        <f>VLOOKUP(B14,'Gebouwgegevens Tabula'!$J$5:$Q$83,7,0)</f>
        <v>2.2022341505875525</v>
      </c>
      <c r="H14" s="109">
        <f>VLOOKUP(B14,'Gebouwgegevens Tabula'!$J$5:$Q$83,8,0)</f>
        <v>86.723980850137835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x14ac:dyDescent="0.25">
      <c r="A15" s="96"/>
      <c r="B15" s="107" t="str">
        <f>'Gebouwgegevens Allacker'!J9</f>
        <v>W4</v>
      </c>
      <c r="C15" s="108">
        <f>VLOOKUP(B15,'Gebouwgegevens Tabula'!$J$5:$Q$83,3,0)</f>
        <v>1</v>
      </c>
      <c r="D15" s="108" t="str">
        <f>VLOOKUP(B15,'Gebouwgegevens Tabula'!$J$5:$Q$83,4,0)</f>
        <v>Wall External</v>
      </c>
      <c r="E15" s="108">
        <f>VLOOKUP(B15,'Gebouwgegevens Tabula'!$J$5:$Q$83,5,0)</f>
        <v>32.220000000000006</v>
      </c>
      <c r="F15" s="108" t="str">
        <f>VLOOKUP(B15,'Gebouwgegevens Tabula'!$J$5:$Q$83,6,0)</f>
        <v>left</v>
      </c>
      <c r="G15" s="108">
        <f>VLOOKUP(B15,'Gebouwgegevens Tabula'!$J$5:$Q$83,7,0)</f>
        <v>2.2022341505875525</v>
      </c>
      <c r="H15" s="109">
        <f>VLOOKUP(B15,'Gebouwgegevens Tabula'!$J$5:$Q$83,8,0)</f>
        <v>70.955984331930949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x14ac:dyDescent="0.25">
      <c r="A16" s="96"/>
      <c r="B16" s="107" t="str">
        <f>'Gebouwgegevens Allacker'!J10</f>
        <v>W5</v>
      </c>
      <c r="C16" s="108">
        <f>VLOOKUP(B16,'Gebouwgegevens Tabula'!$J$5:$Q$83,3,0)</f>
        <v>1</v>
      </c>
      <c r="D16" s="108" t="str">
        <f>VLOOKUP(B16,'Gebouwgegevens Tabula'!$J$5:$Q$83,4,0)</f>
        <v>Window</v>
      </c>
      <c r="E16" s="108">
        <f>VLOOKUP(B16,'Gebouwgegevens Tabula'!$J$5:$Q$83,5,0)</f>
        <v>10.8</v>
      </c>
      <c r="F16" s="108" t="str">
        <f>VLOOKUP(B16,'Gebouwgegevens Tabula'!$J$5:$Q$83,6,0)</f>
        <v>front</v>
      </c>
      <c r="G16" s="108">
        <f>VLOOKUP(B16,'Gebouwgegevens Tabula'!$J$5:$Q$83,7,0)</f>
        <v>5</v>
      </c>
      <c r="H16" s="109">
        <f>VLOOKUP(B16,'Gebouwgegevens Tabula'!$J$5:$Q$83,8,0)</f>
        <v>54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x14ac:dyDescent="0.25">
      <c r="A17" s="96"/>
      <c r="B17" s="107" t="str">
        <f>'Gebouwgegevens Allacker'!J11</f>
        <v>W6</v>
      </c>
      <c r="C17" s="108">
        <f>VLOOKUP(B17,'Gebouwgegevens Tabula'!$J$5:$Q$83,3,0)</f>
        <v>1</v>
      </c>
      <c r="D17" s="108" t="str">
        <f>VLOOKUP(B17,'Gebouwgegevens Tabula'!$J$5:$Q$83,4,0)</f>
        <v>Window</v>
      </c>
      <c r="E17" s="108">
        <f>VLOOKUP(B17,'Gebouwgegevens Tabula'!$J$5:$Q$83,5,0)</f>
        <v>9.3000000000000007</v>
      </c>
      <c r="F17" s="108" t="str">
        <f>VLOOKUP(B17,'Gebouwgegevens Tabula'!$J$5:$Q$83,6,0)</f>
        <v>right</v>
      </c>
      <c r="G17" s="108">
        <f>VLOOKUP(B17,'Gebouwgegevens Tabula'!$J$5:$Q$83,7,0)</f>
        <v>5</v>
      </c>
      <c r="H17" s="109">
        <f>VLOOKUP(B17,'Gebouwgegevens Tabula'!$J$5:$Q$83,8,0)</f>
        <v>46.5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25">
      <c r="A18" s="96"/>
      <c r="B18" s="107" t="str">
        <f>'Gebouwgegevens Allacker'!J12</f>
        <v>W7</v>
      </c>
      <c r="C18" s="108">
        <f>VLOOKUP(B18,'Gebouwgegevens Tabula'!$J$5:$Q$83,3,0)</f>
        <v>1</v>
      </c>
      <c r="D18" s="108" t="str">
        <f>VLOOKUP(B18,'Gebouwgegevens Tabula'!$J$5:$Q$83,4,0)</f>
        <v>Window</v>
      </c>
      <c r="E18" s="108">
        <f>VLOOKUP(B18,'Gebouwgegevens Tabula'!$J$5:$Q$83,5,0)</f>
        <v>12.2</v>
      </c>
      <c r="F18" s="108" t="str">
        <f>VLOOKUP(B18,'Gebouwgegevens Tabula'!$J$5:$Q$83,6,0)</f>
        <v>back</v>
      </c>
      <c r="G18" s="108">
        <f>VLOOKUP(B18,'Gebouwgegevens Tabula'!$J$5:$Q$83,7,0)</f>
        <v>5</v>
      </c>
      <c r="H18" s="109">
        <f>VLOOKUP(B18,'Gebouwgegevens Tabula'!$J$5:$Q$83,8,0)</f>
        <v>61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75" t="s">
        <v>172</v>
      </c>
      <c r="Y18" s="97"/>
    </row>
    <row r="19" spans="1:25" ht="16.5" customHeight="1" x14ac:dyDescent="0.25">
      <c r="A19" s="96"/>
      <c r="B19" s="107" t="str">
        <f>'Gebouwgegevens Allacker'!J13</f>
        <v>W8</v>
      </c>
      <c r="C19" s="108">
        <f>VLOOKUP(B19,'Gebouwgegevens Tabula'!$J$5:$Q$83,3,0)</f>
        <v>1</v>
      </c>
      <c r="D19" s="108" t="str">
        <f>VLOOKUP(B19,'Gebouwgegevens Tabula'!$J$5:$Q$83,4,0)</f>
        <v>Window</v>
      </c>
      <c r="E19" s="108">
        <f>VLOOKUP(B19,'Gebouwgegevens Tabula'!$J$5:$Q$83,5,0)</f>
        <v>8.9</v>
      </c>
      <c r="F19" s="108" t="str">
        <f>VLOOKUP(B19,'Gebouwgegevens Tabula'!$J$5:$Q$83,6,0)</f>
        <v>left</v>
      </c>
      <c r="G19" s="108">
        <f>VLOOKUP(B19,'Gebouwgegevens Tabula'!$J$5:$Q$83,7,0)</f>
        <v>5</v>
      </c>
      <c r="H19" s="109">
        <f>VLOOKUP(B19,'Gebouwgegevens Tabula'!$J$5:$Q$83,8,0)</f>
        <v>44.5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2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25">
      <c r="A21" s="96"/>
      <c r="B21" s="107" t="str">
        <f>'Gebouwgegevens Allacker'!J15</f>
        <v>W10</v>
      </c>
      <c r="C21" s="108">
        <f>VLOOKUP(B21,'Gebouwgegevens Tabula'!$J$5:$Q$83,3,0)</f>
        <v>1</v>
      </c>
      <c r="D21" s="108" t="str">
        <f>VLOOKUP(B21,'Gebouwgegevens Tabula'!$J$5:$Q$83,4,0)</f>
        <v>Roof</v>
      </c>
      <c r="E21" s="108">
        <f>VLOOKUP(B21,'Gebouwgegevens Tabula'!$J$5:$Q$83,5,0)</f>
        <v>108.5</v>
      </c>
      <c r="F21" s="108">
        <f>VLOOKUP(B21,'Gebouwgegevens Tabula'!$J$5:$Q$83,6,0)</f>
        <v>0</v>
      </c>
      <c r="G21" s="108">
        <f>VLOOKUP(B21,'Gebouwgegevens Tabula'!$J$5:$Q$83,7,0)</f>
        <v>1.6975498473547073</v>
      </c>
      <c r="H21" s="109">
        <f>VLOOKUP(B21,'Gebouwgegevens Tabula'!$J$5:$Q$83,8,0)</f>
        <v>184.18415843798573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37363.164482155466</v>
      </c>
      <c r="X21" s="99"/>
      <c r="Y21" s="99"/>
    </row>
    <row r="22" spans="1:25" ht="16.5" customHeight="1" x14ac:dyDescent="0.25">
      <c r="A22" s="96"/>
      <c r="B22" s="107"/>
      <c r="C22" s="108"/>
      <c r="D22" s="108"/>
      <c r="E22" s="108"/>
      <c r="F22" s="108"/>
      <c r="G22" s="108"/>
      <c r="H22" s="109"/>
      <c r="I22" s="109"/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2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25">
      <c r="A28" s="96"/>
      <c r="B28" s="117" t="s">
        <v>61</v>
      </c>
      <c r="C28" s="118">
        <f>VLOOKUP(B28,'Gebouwgegevens Tabula'!$J$5:$Q$83,3,0)</f>
        <v>1</v>
      </c>
      <c r="D28" s="118" t="str">
        <f>VLOOKUP(B28,'Gebouwgegevens Tabula'!$J$5:$Q$83,4,0)</f>
        <v>Floor</v>
      </c>
      <c r="E28" s="118">
        <f>VLOOKUP(B28,'Gebouwgegevens Tabula'!$J$5:$Q$83,5,0)</f>
        <v>96</v>
      </c>
      <c r="F28" s="118">
        <f>VLOOKUP(B28,'Gebouwgegevens Tabula'!$J$5:$Q$83,7,0)</f>
        <v>2.5990099009900991</v>
      </c>
      <c r="G28" s="119">
        <f>VLOOKUP(B28,'Gebouwgegevens Tabula'!$J$5:$Q$83,8,0)</f>
        <v>249.50495049504951</v>
      </c>
      <c r="H28" s="119">
        <f>N28/F28</f>
        <v>0.2631376187539381</v>
      </c>
      <c r="I28" s="118">
        <f>'Gebouwgegevens Tabula'!N14</f>
        <v>96</v>
      </c>
      <c r="J28" s="117">
        <v>42</v>
      </c>
      <c r="K28" s="117">
        <v>0.33</v>
      </c>
      <c r="L28" s="120">
        <f>I28/(0.5*J28)</f>
        <v>4.5714285714285712</v>
      </c>
      <c r="M28" s="120">
        <f>K28+2*(1/F28)</f>
        <v>1.0995238095238096</v>
      </c>
      <c r="N28" s="121">
        <f>IF(M28&lt;L28,2*2/(PI()*L28+M28)*LN(PI()*L28/M28+1),2/(0.457*L28+M28))</f>
        <v>0.68389727646444309</v>
      </c>
      <c r="O28" s="99"/>
      <c r="P28" s="97"/>
    </row>
    <row r="29" spans="1:25" ht="15.75" customHeight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 t="e">
        <f>1.1*W18</f>
        <v>#N/A</v>
      </c>
    </row>
    <row r="32" spans="1:25" ht="15.75" customHeight="1" x14ac:dyDescent="0.2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25">
      <c r="A33" s="96"/>
      <c r="B33" s="122"/>
      <c r="C33" s="123"/>
      <c r="D33" s="123"/>
      <c r="E33" s="123"/>
      <c r="F33" s="123"/>
      <c r="G33" s="123">
        <v>20</v>
      </c>
      <c r="H33" s="123"/>
      <c r="I33" s="123"/>
      <c r="J33" s="119"/>
      <c r="K33" s="119"/>
      <c r="L33" s="99"/>
      <c r="M33" s="99"/>
      <c r="N33" s="99"/>
      <c r="O33" s="99"/>
      <c r="P33" s="97"/>
    </row>
    <row r="34" spans="1:16" ht="16.5" customHeight="1" x14ac:dyDescent="0.25">
      <c r="A34" s="96"/>
      <c r="B34" s="122"/>
      <c r="C34" s="123"/>
      <c r="D34" s="123"/>
      <c r="E34" s="123"/>
      <c r="F34" s="123"/>
      <c r="G34" s="123"/>
      <c r="H34" s="123"/>
      <c r="I34" s="123"/>
      <c r="J34" s="119"/>
      <c r="K34" s="119"/>
      <c r="L34" s="99"/>
      <c r="M34" s="99"/>
      <c r="N34" s="99"/>
      <c r="O34" s="99"/>
      <c r="P34" s="97"/>
    </row>
    <row r="35" spans="1:16" ht="16.5" customHeight="1" x14ac:dyDescent="0.2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2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2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2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SUMPRODUCT(H12:H21,I12:I21)+SUMPRODUCT(G28,H28)+SUMPRODUCT(J33:J38,K33:K38)</f>
        <v>771.19822734270986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21593.550365595875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2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25">
      <c r="A45" s="312" t="s">
        <v>197</v>
      </c>
      <c r="B45" s="312"/>
      <c r="C45" s="312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2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25">
      <c r="A48" s="128" t="s">
        <v>199</v>
      </c>
      <c r="B48" s="122">
        <v>0.6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2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2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25">
      <c r="A51" s="125" t="s">
        <v>205</v>
      </c>
      <c r="B51" s="119">
        <f>B48/20*'Gebouwgegevens Tabula'!B5</f>
        <v>22.98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'Gebouwgegevens Tabula'!G35</f>
        <v>167.39999999999998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>
        <f>0.5*'Gebouwgegevens Tabula'!B5*(1-F55)</f>
        <v>383</v>
      </c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405.98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1.9563227031350894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138.03320000000002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4002.9628000000007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2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25">
      <c r="A63" s="312" t="s">
        <v>213</v>
      </c>
      <c r="B63" s="312"/>
      <c r="C63" s="312"/>
      <c r="D63" s="312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2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25">
      <c r="A65" s="128" t="s">
        <v>214</v>
      </c>
      <c r="B65" s="122">
        <v>30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25">
      <c r="A66" s="128" t="s">
        <v>113</v>
      </c>
      <c r="B66" s="122">
        <f>'Gebouwgegevens Tabula'!B7</f>
        <v>279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25">
      <c r="A67" s="125" t="s">
        <v>216</v>
      </c>
      <c r="B67" s="119">
        <f>B68/('Gebouwgegevens Tabula'!E35-'Verwarming Tabula'!$B$4)</f>
        <v>288.62068965517244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8370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2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2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25">
      <c r="A72" s="125" t="s">
        <v>218</v>
      </c>
      <c r="B72" s="119">
        <f>SUM(B42,B60,B67)</f>
        <v>1197.8521169978821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33966.513165595876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2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2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25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25">
      <c r="A79" s="312" t="s">
        <v>171</v>
      </c>
      <c r="B79" s="312"/>
      <c r="C79" s="312"/>
      <c r="D79" s="312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2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25">
      <c r="A84" s="96"/>
      <c r="B84" s="107" t="s">
        <v>59</v>
      </c>
      <c r="C84" s="108">
        <f>VLOOKUP(B84,'Gebouwgegevens Allacker'!$J$5:$Q$83,3,0)</f>
        <v>1</v>
      </c>
      <c r="D84" s="108" t="str">
        <f>VLOOKUP(B84,'Gebouwgegevens Allacker'!$J$5:$Q$83,4,0)</f>
        <v>Window</v>
      </c>
      <c r="E84" s="108">
        <f>VLOOKUP(B84,'Gebouwgegevens Allacker'!$J$5:$Q$83,5,0)</f>
        <v>5</v>
      </c>
      <c r="F84" s="108" t="str">
        <f>VLOOKUP(B84,'Gebouwgegevens Allacker'!$J$5:$Q$83,6,0)</f>
        <v>back</v>
      </c>
      <c r="G84" s="108">
        <f>VLOOKUP(B84,'Gebouwgegevens Allacker'!$J$5:$Q$83,7,0)</f>
        <v>5</v>
      </c>
      <c r="H84" s="109">
        <f>VLOOKUP(B84,'Gebouwgegevens Allacker'!$J$5:$Q$83,8,0)</f>
        <v>25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25">
      <c r="A85" s="96"/>
      <c r="B85" s="107" t="s">
        <v>60</v>
      </c>
      <c r="C85" s="108">
        <f>VLOOKUP(B85,'Gebouwgegevens Allacker'!$J$5:$Q$83,3,0)</f>
        <v>1</v>
      </c>
      <c r="D85" s="108" t="str">
        <f>VLOOKUP(B85,'Gebouwgegevens Allacker'!$J$5:$Q$83,4,0)</f>
        <v>Window</v>
      </c>
      <c r="E85" s="108">
        <f>VLOOKUP(B85,'Gebouwgegevens Allacker'!$J$5:$Q$83,5,0)</f>
        <v>0</v>
      </c>
      <c r="F85" s="108" t="str">
        <f>VLOOKUP(B85,'Gebouwgegevens Allacker'!$J$5:$Q$83,6,0)</f>
        <v>left</v>
      </c>
      <c r="G85" s="108">
        <f>VLOOKUP(B85,'Gebouwgegevens Allacker'!$J$5:$Q$83,7,0)</f>
        <v>5</v>
      </c>
      <c r="H85" s="109">
        <f>VLOOKUP(B85,'Gebouwgegevens Allacker'!$J$5:$Q$83,8,0)</f>
        <v>0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25">
      <c r="A86" s="96"/>
      <c r="B86" s="107" t="s">
        <v>61</v>
      </c>
      <c r="C86" s="108">
        <f>VLOOKUP(B86,'Gebouwgegevens Allacker'!$J$5:$Q$83,3,0)</f>
        <v>1</v>
      </c>
      <c r="D86" s="108" t="str">
        <f>VLOOKUP(B86,'Gebouwgegevens Allacker'!$J$5:$Q$83,4,0)</f>
        <v>Floor</v>
      </c>
      <c r="E86" s="108">
        <f>VLOOKUP(B86,'Gebouwgegevens Allacker'!$J$5:$Q$83,5,0)</f>
        <v>104.86</v>
      </c>
      <c r="F86" s="108">
        <f>VLOOKUP(B86,'Gebouwgegevens Allacker'!$J$5:$Q$83,6,0)</f>
        <v>0</v>
      </c>
      <c r="G86" s="108">
        <f>VLOOKUP(B86,'Gebouwgegevens Allacker'!$J$5:$Q$83,7,0)</f>
        <v>2.5990099009900991</v>
      </c>
      <c r="H86" s="109">
        <f>VLOOKUP(B86,'Gebouwgegevens Allacker'!$J$5:$Q$83,8,0)</f>
        <v>272.53217821782181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25">
      <c r="A87" s="96"/>
      <c r="B87" s="107"/>
      <c r="C87" s="108"/>
      <c r="D87" s="108"/>
      <c r="E87" s="108"/>
      <c r="F87" s="108"/>
      <c r="G87" s="108"/>
      <c r="H87" s="109"/>
      <c r="I87" s="109"/>
      <c r="J87" s="99"/>
      <c r="K87" s="99"/>
      <c r="L87" s="99"/>
      <c r="M87" s="99"/>
      <c r="N87" s="99"/>
      <c r="O87" s="99"/>
      <c r="P87" s="97"/>
    </row>
    <row r="88" spans="1:16" ht="16.5" customHeight="1" x14ac:dyDescent="0.25">
      <c r="A88" s="96"/>
      <c r="B88" s="107"/>
      <c r="C88" s="108"/>
      <c r="D88" s="108"/>
      <c r="E88" s="108"/>
      <c r="F88" s="108"/>
      <c r="G88" s="108"/>
      <c r="H88" s="109"/>
      <c r="I88" s="109"/>
      <c r="J88" s="99"/>
      <c r="K88" s="99"/>
      <c r="L88" s="99"/>
      <c r="M88" s="99"/>
      <c r="N88" s="99"/>
      <c r="O88" s="99"/>
      <c r="P88" s="97"/>
    </row>
    <row r="89" spans="1:16" ht="16.5" customHeight="1" x14ac:dyDescent="0.25">
      <c r="A89" s="96"/>
      <c r="B89" s="107"/>
      <c r="C89" s="108"/>
      <c r="D89" s="108"/>
      <c r="E89" s="108"/>
      <c r="F89" s="108"/>
      <c r="G89" s="108"/>
      <c r="H89" s="109"/>
      <c r="I89" s="109"/>
      <c r="J89" s="99"/>
      <c r="K89" s="99"/>
      <c r="L89" s="99"/>
      <c r="M89" s="99"/>
      <c r="N89" s="99"/>
      <c r="O89" s="99"/>
      <c r="P89" s="97"/>
    </row>
    <row r="90" spans="1:16" ht="16.5" customHeight="1" x14ac:dyDescent="0.25">
      <c r="A90" s="96"/>
      <c r="B90" s="107"/>
      <c r="C90" s="108"/>
      <c r="D90" s="108"/>
      <c r="E90" s="108"/>
      <c r="F90" s="108"/>
      <c r="G90" s="108"/>
      <c r="H90" s="109"/>
      <c r="I90" s="109"/>
      <c r="J90" s="99"/>
      <c r="K90" s="99"/>
      <c r="L90" s="99"/>
      <c r="M90" s="99"/>
      <c r="N90" s="99"/>
      <c r="O90" s="99"/>
      <c r="P90" s="97"/>
    </row>
    <row r="91" spans="1:16" ht="16.5" customHeight="1" x14ac:dyDescent="0.25">
      <c r="A91" s="96"/>
      <c r="B91" s="107"/>
      <c r="C91" s="108"/>
      <c r="D91" s="108"/>
      <c r="E91" s="108"/>
      <c r="F91" s="108"/>
      <c r="G91" s="108"/>
      <c r="H91" s="109"/>
      <c r="I91" s="109"/>
      <c r="J91" s="99"/>
      <c r="K91" s="99"/>
      <c r="L91" s="99"/>
      <c r="M91" s="99"/>
      <c r="N91" s="99"/>
      <c r="O91" s="99"/>
      <c r="P91" s="97"/>
    </row>
    <row r="92" spans="1:16" ht="16.5" customHeight="1" x14ac:dyDescent="0.25">
      <c r="A92" s="96"/>
      <c r="B92" s="107"/>
      <c r="C92" s="108"/>
      <c r="D92" s="108"/>
      <c r="E92" s="108"/>
      <c r="F92" s="108"/>
      <c r="G92" s="108"/>
      <c r="H92" s="109"/>
      <c r="I92" s="109"/>
      <c r="J92" s="99"/>
      <c r="K92" s="99"/>
      <c r="L92" s="99"/>
      <c r="M92" s="99"/>
      <c r="N92" s="99"/>
      <c r="O92" s="99"/>
      <c r="P92" s="97"/>
    </row>
    <row r="93" spans="1:16" ht="16.5" customHeight="1" x14ac:dyDescent="0.2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2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2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25">
      <c r="A100" s="96"/>
      <c r="B100" s="117" t="s">
        <v>219</v>
      </c>
      <c r="C100" s="118" t="e">
        <f>VLOOKUP(B100,'Gebouwgegevens Allacker'!$J$5:$Q$83,3,0)</f>
        <v>#N/A</v>
      </c>
      <c r="D100" s="118" t="e">
        <f>VLOOKUP(B100,'Gebouwgegevens Allacker'!$J$5:$Q$83,4,0)</f>
        <v>#N/A</v>
      </c>
      <c r="E100" s="118" t="e">
        <f>VLOOKUP(B100,'Gebouwgegevens Allacker'!$J$5:$Q$83,5,0)</f>
        <v>#N/A</v>
      </c>
      <c r="F100" s="118" t="e">
        <f>VLOOKUP(B100,'Gebouwgegevens Allacker'!$J$5:$Q$83,7,0)</f>
        <v>#N/A</v>
      </c>
      <c r="G100" s="119" t="e">
        <f>VLOOKUP(B100,'Gebouwgegevens Allacker'!$J$5:$Q$83,8,0)</f>
        <v>#N/A</v>
      </c>
      <c r="H100" s="119" t="e">
        <f>N100/F100</f>
        <v>#N/A</v>
      </c>
      <c r="I100" s="118" t="e">
        <f>VLOOKUP(C100,'Gebouwgegevens Allacker'!$A$35:$F$46,6,0)</f>
        <v>#N/A</v>
      </c>
      <c r="J100" s="117">
        <v>6.91</v>
      </c>
      <c r="K100" s="117">
        <v>0.33</v>
      </c>
      <c r="L100" s="120" t="e">
        <f>I100/(0.5*J100)</f>
        <v>#N/A</v>
      </c>
      <c r="M100" s="120" t="e">
        <f>K100+2*(1/F100)</f>
        <v>#N/A</v>
      </c>
      <c r="N100" s="121" t="e">
        <f>IF(M100&lt;L100,2*2/(PI()*L100+M100)*LN(PI()*L100/M100+1),2/(0.457*L100+M100))</f>
        <v>#N/A</v>
      </c>
      <c r="O100" s="99"/>
      <c r="P100" s="97"/>
    </row>
    <row r="101" spans="1:16" ht="18.75" customHeight="1" x14ac:dyDescent="0.2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2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2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2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2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25">
      <c r="A108" s="96"/>
      <c r="B108" s="122" t="s">
        <v>220</v>
      </c>
      <c r="C108" s="123" t="e">
        <f>IF(VLOOKUP(B108,'Gebouwgegevens Allacker'!$J$5:$Q$83,2,0)=B78,VLOOKUP(B108,'Gebouwgegevens Allacker'!$J$5:$Q$83,2,0),VLOOKUP(B108,'Gebouwgegevens Allacker'!$J$5:$Q$83,3,0))</f>
        <v>#N/A</v>
      </c>
      <c r="D108" s="123" t="e">
        <f>IF(VLOOKUP(B108,'Gebouwgegevens Allacker'!$J$5:$Q$83,2,0)=B78,VLOOKUP(B108,'Gebouwgegevens Allacker'!$J$5:$Q$83,3,0),VLOOKUP(B108,'Gebouwgegevens Allacker'!$J$5:$Q$83,2,0))</f>
        <v>#N/A</v>
      </c>
      <c r="E108" s="123" t="e">
        <f>VLOOKUP(B108,'Gebouwgegevens Allacker'!$J$5:$Q$83,4,0)</f>
        <v>#N/A</v>
      </c>
      <c r="F108" s="123" t="e">
        <f>VLOOKUP(B108,'Gebouwgegevens Allacker'!$J$5:$Q$83,5,0)</f>
        <v>#N/A</v>
      </c>
      <c r="G108" s="123" t="e">
        <f>VLOOKUP('Verwarming Tabula'!C108,'Gebouwgegevens Allacker'!$A$35:$F$46,5,0)</f>
        <v>#N/A</v>
      </c>
      <c r="H108" s="123" t="e">
        <f>VLOOKUP('Verwarming Tabula'!D108,'Gebouwgegevens Allacker'!$A$35:$F$46,5,0)</f>
        <v>#N/A</v>
      </c>
      <c r="I108" s="123" t="e">
        <f>VLOOKUP(B108,'Gebouwgegevens Allacker'!$J$5:$Q$83,7,0)</f>
        <v>#N/A</v>
      </c>
      <c r="J108" s="119" t="e">
        <f>VLOOKUP(B108,'Gebouwgegevens Allacker'!$J$5:$Q$83,8,0)</f>
        <v>#N/A</v>
      </c>
      <c r="K108" s="119" t="e">
        <f>(G108-H108)/(G108-$B$4)</f>
        <v>#N/A</v>
      </c>
      <c r="L108" s="99"/>
      <c r="M108" s="99"/>
      <c r="N108" s="99"/>
      <c r="O108" s="99"/>
      <c r="P108" s="97"/>
    </row>
    <row r="109" spans="1:16" ht="16.5" customHeight="1" x14ac:dyDescent="0.25">
      <c r="A109" s="96"/>
      <c r="B109" s="122" t="s">
        <v>221</v>
      </c>
      <c r="C109" s="123" t="e">
        <f>IF(VLOOKUP(B109,'Gebouwgegevens Allacker'!$J$5:$Q$83,2,0)=B78,VLOOKUP(B109,'Gebouwgegevens Allacker'!$J$5:$Q$83,2,0),VLOOKUP(B109,'Gebouwgegevens Allacker'!$J$5:$Q$83,3,0))</f>
        <v>#N/A</v>
      </c>
      <c r="D109" s="123" t="e">
        <f>IF(VLOOKUP(B109,'Gebouwgegevens Allacker'!$J$5:$Q$83,2,0)=B78,VLOOKUP(B109,'Gebouwgegevens Allacker'!$J$5:$Q$83,3,0),VLOOKUP(B109,'Gebouwgegevens Allacker'!$J$5:$Q$83,2,0))</f>
        <v>#N/A</v>
      </c>
      <c r="E109" s="123" t="e">
        <f>VLOOKUP(B109,'Gebouwgegevens Allacker'!$J$5:$Q$83,4,0)</f>
        <v>#N/A</v>
      </c>
      <c r="F109" s="123" t="e">
        <f>VLOOKUP(B109,'Gebouwgegevens Allacker'!$J$5:$Q$83,5,0)</f>
        <v>#N/A</v>
      </c>
      <c r="G109" s="123" t="e">
        <f>VLOOKUP('Verwarming Tabula'!C109,'Gebouwgegevens Allacker'!$A$35:$F$46,5,0)</f>
        <v>#N/A</v>
      </c>
      <c r="H109" s="123" t="e">
        <f>VLOOKUP('Verwarming Tabula'!D109,'Gebouwgegevens Allacker'!$A$35:$F$46,5,0)</f>
        <v>#N/A</v>
      </c>
      <c r="I109" s="123" t="e">
        <f>VLOOKUP(B109,'Gebouwgegevens Allacker'!$J$5:$Q$83,7,0)</f>
        <v>#N/A</v>
      </c>
      <c r="J109" s="119" t="e">
        <f>VLOOKUP(B109,'Gebouwgegevens Allacker'!$J$5:$Q$83,8,0)</f>
        <v>#N/A</v>
      </c>
      <c r="K109" s="119" t="e">
        <f>(G109-H109)/(G109-$B$4)</f>
        <v>#N/A</v>
      </c>
      <c r="L109" s="99"/>
      <c r="M109" s="99"/>
      <c r="N109" s="99"/>
      <c r="O109" s="99"/>
      <c r="P109" s="97"/>
    </row>
    <row r="110" spans="1:16" ht="16.5" customHeight="1" x14ac:dyDescent="0.25">
      <c r="A110" s="96"/>
      <c r="B110" s="122" t="s">
        <v>222</v>
      </c>
      <c r="C110" s="123" t="e">
        <f>IF(VLOOKUP(B110,'Gebouwgegevens Allacker'!$J$5:$Q$83,2,0)=B78,VLOOKUP(B110,'Gebouwgegevens Allacker'!$J$5:$Q$83,2,0),VLOOKUP(B110,'Gebouwgegevens Allacker'!$J$5:$Q$83,3,0))</f>
        <v>#N/A</v>
      </c>
      <c r="D110" s="123" t="e">
        <f>IF(VLOOKUP(B110,'Gebouwgegevens Allacker'!$J$5:$Q$83,2,0)=B78,VLOOKUP(B110,'Gebouwgegevens Allacker'!$J$5:$Q$83,3,0),VLOOKUP(B110,'Gebouwgegevens Allacker'!$J$5:$Q$83,2,0))</f>
        <v>#N/A</v>
      </c>
      <c r="E110" s="123" t="e">
        <f>VLOOKUP(B110,'Gebouwgegevens Allacker'!$J$5:$Q$83,4,0)</f>
        <v>#N/A</v>
      </c>
      <c r="F110" s="123" t="e">
        <f>VLOOKUP(B110,'Gebouwgegevens Allacker'!$J$5:$Q$83,5,0)</f>
        <v>#N/A</v>
      </c>
      <c r="G110" s="123" t="e">
        <f>VLOOKUP('Verwarming Tabula'!C110,'Gebouwgegevens Allacker'!$A$35:$F$46,5,0)</f>
        <v>#N/A</v>
      </c>
      <c r="H110" s="123" t="e">
        <f>VLOOKUP('Verwarming Tabula'!D110,'Gebouwgegevens Allacker'!$A$35:$F$46,5,0)</f>
        <v>#N/A</v>
      </c>
      <c r="I110" s="123" t="e">
        <f>VLOOKUP(B110,'Gebouwgegevens Allacker'!$J$5:$Q$83,7,0)</f>
        <v>#N/A</v>
      </c>
      <c r="J110" s="119" t="e">
        <f>VLOOKUP(B110,'Gebouwgegevens Allacker'!$J$5:$Q$83,8,0)</f>
        <v>#N/A</v>
      </c>
      <c r="K110" s="119" t="e">
        <f>(G110-H110)/(G110-$B$4)</f>
        <v>#N/A</v>
      </c>
      <c r="L110" s="99"/>
      <c r="M110" s="99"/>
      <c r="N110" s="99"/>
      <c r="O110" s="99"/>
      <c r="P110" s="97"/>
    </row>
    <row r="111" spans="1:16" ht="16.5" customHeight="1" x14ac:dyDescent="0.25">
      <c r="A111" s="96"/>
      <c r="B111" s="93" t="s">
        <v>223</v>
      </c>
      <c r="C111" s="123" t="e">
        <f>IF(VLOOKUP(B111,'Gebouwgegevens Allacker'!$J$5:$Q$83,2,0)=B78,VLOOKUP(B111,'Gebouwgegevens Allacker'!$J$5:$Q$83,2,0),VLOOKUP(B111,'Gebouwgegevens Allacker'!$J$5:$Q$83,3,0))</f>
        <v>#N/A</v>
      </c>
      <c r="D111" s="123" t="e">
        <f>IF(VLOOKUP(B111,'Gebouwgegevens Allacker'!$J$5:$Q$83,2,0)=B78,VLOOKUP(B111,'Gebouwgegevens Allacker'!$J$5:$Q$83,3,0),VLOOKUP(B111,'Gebouwgegevens Allacker'!$J$5:$Q$83,2,0))</f>
        <v>#N/A</v>
      </c>
      <c r="E111" s="123" t="e">
        <f>VLOOKUP(B111,'Gebouwgegevens Allacker'!$J$5:$Q$83,4,0)</f>
        <v>#N/A</v>
      </c>
      <c r="F111" s="123" t="e">
        <f>VLOOKUP(B111,'Gebouwgegevens Allacker'!$J$5:$Q$83,5,0)</f>
        <v>#N/A</v>
      </c>
      <c r="G111" s="123" t="e">
        <f>VLOOKUP('Verwarming Tabula'!C111,'Gebouwgegevens Allacker'!$A$35:$F$46,5,0)</f>
        <v>#N/A</v>
      </c>
      <c r="H111" s="123" t="e">
        <f>VLOOKUP('Verwarming Tabula'!D111,'Gebouwgegevens Allacker'!$A$35:$F$46,5,0)</f>
        <v>#N/A</v>
      </c>
      <c r="I111" s="123" t="e">
        <f>VLOOKUP(B111,'Gebouwgegevens Allacker'!$J$5:$Q$83,7,0)</f>
        <v>#N/A</v>
      </c>
      <c r="J111" s="119" t="e">
        <f>VLOOKUP(B111,'Gebouwgegevens Allacker'!$J$5:$Q$83,8,0)</f>
        <v>#N/A</v>
      </c>
      <c r="K111" s="119" t="e">
        <f>(G111-H111)/(G111-$B$4)</f>
        <v>#N/A</v>
      </c>
      <c r="L111" s="99"/>
      <c r="M111" s="99"/>
      <c r="N111" s="99"/>
      <c r="O111" s="99"/>
      <c r="P111" s="97"/>
    </row>
    <row r="112" spans="1:16" ht="16.5" customHeight="1" x14ac:dyDescent="0.25">
      <c r="A112" s="96"/>
      <c r="B112" s="124" t="s">
        <v>224</v>
      </c>
      <c r="C112" s="140" t="e">
        <f>IF(VLOOKUP(B112,'Gebouwgegevens Allacker'!$J$5:$Q$83,2,0)=B78,VLOOKUP(B112,'Gebouwgegevens Allacker'!$J$5:$Q$83,2,0),VLOOKUP(B112,'Gebouwgegevens Allacker'!$J$5:$Q$83,3,0))</f>
        <v>#N/A</v>
      </c>
      <c r="D112" s="123" t="e">
        <f>IF(VLOOKUP(B112,'Gebouwgegevens Allacker'!$J$5:$Q$83,2,0)=B78,VLOOKUP(B112,'Gebouwgegevens Allacker'!$J$5:$Q$83,3,0),VLOOKUP(B112,'Gebouwgegevens Allacker'!$J$5:$Q$83,2,0))</f>
        <v>#N/A</v>
      </c>
      <c r="E112" s="123" t="e">
        <f>VLOOKUP(B112,'Gebouwgegevens Allacker'!$J$5:$Q$83,4,0)</f>
        <v>#N/A</v>
      </c>
      <c r="F112" s="123" t="e">
        <f>VLOOKUP(B112,'Gebouwgegevens Allacker'!$J$5:$Q$83,5,0)</f>
        <v>#N/A</v>
      </c>
      <c r="G112" s="123" t="e">
        <f>VLOOKUP('Verwarming Tabula'!C112,'Gebouwgegevens Allacker'!$A$35:$F$46,5,0)</f>
        <v>#N/A</v>
      </c>
      <c r="H112" s="123" t="e">
        <f>VLOOKUP('Verwarming Tabula'!D112,'Gebouwgegevens Allacker'!$A$35:$F$46,5,0)</f>
        <v>#N/A</v>
      </c>
      <c r="I112" s="123" t="e">
        <f>VLOOKUP(B112,'Gebouwgegevens Allacker'!$J$5:$Q$83,7,0)</f>
        <v>#N/A</v>
      </c>
      <c r="J112" s="119" t="e">
        <f>VLOOKUP(B112,'Gebouwgegevens Allacker'!$J$5:$Q$83,8,0)</f>
        <v>#N/A</v>
      </c>
      <c r="K112" s="119" t="e">
        <f>(G112-H112)/(G112-$B$4)</f>
        <v>#N/A</v>
      </c>
      <c r="L112" s="99"/>
      <c r="M112" s="99"/>
      <c r="N112" s="99"/>
      <c r="O112" s="99"/>
      <c r="P112" s="97"/>
    </row>
    <row r="113" spans="1:16" ht="16.5" customHeight="1" x14ac:dyDescent="0.2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2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2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2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2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 t="e">
        <f>SUMPRODUCT(H84:H95,I84:I95)+SUMPRODUCT(G100:G104,H100:H104)+SUMPRODUCT(J108:J117,K108:K117)</f>
        <v>#N/A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 t="e">
        <f>B121*(G111-$B$4)</f>
        <v>#N/A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2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25">
      <c r="A124" s="312" t="s">
        <v>197</v>
      </c>
      <c r="B124" s="312"/>
      <c r="C124" s="312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2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25">
      <c r="A127" s="128" t="s">
        <v>199</v>
      </c>
      <c r="B127" s="122">
        <v>8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2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2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25">
      <c r="A130" s="125" t="s">
        <v>205</v>
      </c>
      <c r="B130" s="119">
        <f>2*VLOOKUP(B78,'Gebouwgegevens Allacker'!$A$35:$F$46,6,0)*B127*B128*B129</f>
        <v>0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VLOOKUP(B78,'Gebouwgegevens Allacker'!$A$35:$F$46,6,0)</f>
        <v>0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>
        <v>50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MAX(B130,B134)</f>
        <v>50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0.31350321027287315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0.34*B137</f>
        <v>17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B139*('Gebouwgegevens Allacker'!E100-$B$4)</f>
        <v>136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2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25">
      <c r="A142" s="312" t="s">
        <v>213</v>
      </c>
      <c r="B142" s="312"/>
      <c r="C142" s="312"/>
      <c r="D142" s="312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2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25">
      <c r="A144" s="128" t="s">
        <v>214</v>
      </c>
      <c r="B144" s="122">
        <v>45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25">
      <c r="A145" s="128" t="s">
        <v>113</v>
      </c>
      <c r="B145" s="122">
        <f>VLOOKUP(B78,'Gebouwgegevens Allacker'!$A$35:$F$46,6,0)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25">
      <c r="A146" s="125" t="s">
        <v>216</v>
      </c>
      <c r="B146" s="119">
        <f>B147/('Gebouwgegevens Allacker'!E100-'Verwarming Tabula'!$B$4)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2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2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25">
      <c r="A151" s="125" t="s">
        <v>218</v>
      </c>
      <c r="B151" s="119" t="e">
        <f>SUM(B121,B139,B146)</f>
        <v>#N/A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 t="e">
        <f>SUM(B122,B140,B147)</f>
        <v>#N/A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2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2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25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25">
      <c r="A159" s="312" t="s">
        <v>171</v>
      </c>
      <c r="B159" s="312"/>
      <c r="C159" s="312"/>
      <c r="D159" s="312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2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2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2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2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2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2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2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2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2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2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2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2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2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2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2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2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2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2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2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2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Tabula'!C188,'Gebouwgegevens Allacker'!$A$35:$F$46,5,0)</f>
        <v>#N/A</v>
      </c>
      <c r="H188" s="123" t="e">
        <f>VLOOKUP('Verwarming Tabula'!D188,'Gebouwgegevens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2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Tabula'!C189,'Gebouwgegevens Allacker'!$A$35:$F$46,5,0)</f>
        <v>#N/A</v>
      </c>
      <c r="H189" s="123" t="e">
        <f>VLOOKUP('Verwarming Tabula'!D189,'Gebouwgegevens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2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Tabula'!C190,'Gebouwgegevens Allacker'!$A$35:$F$46,5,0)</f>
        <v>#N/A</v>
      </c>
      <c r="H190" s="123" t="e">
        <f>VLOOKUP('Verwarming Tabula'!D190,'Gebouwgegevens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2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2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2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2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2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2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2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2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25">
      <c r="A204" s="312" t="s">
        <v>197</v>
      </c>
      <c r="B204" s="312"/>
      <c r="C204" s="312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2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2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2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2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2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25">
      <c r="A222" s="312" t="s">
        <v>213</v>
      </c>
      <c r="B222" s="312"/>
      <c r="C222" s="312"/>
      <c r="D222" s="312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2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2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25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2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2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2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2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25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25">
      <c r="A238" s="312" t="s">
        <v>171</v>
      </c>
      <c r="B238" s="312"/>
      <c r="C238" s="312"/>
      <c r="D238" s="312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2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2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2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2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2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2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2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2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2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2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2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2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2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2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2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2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2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2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2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2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Tabula'!C267,'Gebouwgegevens Allacker'!$A$35:$F$46,5,0)</f>
        <v>#N/A</v>
      </c>
      <c r="H267" s="123" t="e">
        <f>VLOOKUP('Verwarming Tabula'!D267,'Gebouwgegevens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2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Tabula'!C268,'Gebouwgegevens Allacker'!$A$35:$F$46,5,0)</f>
        <v>#N/A</v>
      </c>
      <c r="H268" s="123" t="e">
        <f>VLOOKUP('Verwarming Tabula'!D268,'Gebouwgegevens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2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Tabula'!C269,'Gebouwgegevens Allacker'!$A$35:$F$46,5,0)</f>
        <v>#N/A</v>
      </c>
      <c r="H269" s="123" t="e">
        <f>VLOOKUP('Verwarming Tabula'!D269,'Gebouwgegevens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2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Tabula'!C270,'Gebouwgegevens Allacker'!$A$35:$F$46,5,0)</f>
        <v>#N/A</v>
      </c>
      <c r="H270" s="123" t="e">
        <f>VLOOKUP('Verwarming Tabula'!D270,'Gebouwgegevens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2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2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2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2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2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2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2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25">
      <c r="A283" s="312" t="s">
        <v>197</v>
      </c>
      <c r="B283" s="312"/>
      <c r="C283" s="312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2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2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2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2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2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25">
      <c r="A301" s="312" t="s">
        <v>213</v>
      </c>
      <c r="B301" s="312"/>
      <c r="C301" s="312"/>
      <c r="D301" s="312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2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2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25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2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2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2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2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25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25">
      <c r="A317" s="312" t="s">
        <v>171</v>
      </c>
      <c r="B317" s="312"/>
      <c r="C317" s="312"/>
      <c r="D317" s="312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2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2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2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2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2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2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2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2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2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2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2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2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2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2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2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2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2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2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2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2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Tabula'!C346,'Gebouwgegevens Allacker'!$A$35:$F$46,5,0)</f>
        <v>#N/A</v>
      </c>
      <c r="H346" s="123" t="e">
        <f>VLOOKUP('Verwarming Tabula'!D346,'Gebouwgegevens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2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Tabula'!C347,'Gebouwgegevens Allacker'!$A$35:$F$46,5,0)</f>
        <v>#N/A</v>
      </c>
      <c r="H347" s="123" t="e">
        <f>VLOOKUP('Verwarming Tabula'!D347,'Gebouwgegevens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2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Tabula'!C348,'Gebouwgegevens Allacker'!$A$35:$F$46,5,0)</f>
        <v>#N/A</v>
      </c>
      <c r="H348" s="123" t="e">
        <f>VLOOKUP('Verwarming Tabula'!D348,'Gebouwgegevens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2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Tabula'!C349,'Gebouwgegevens Allacker'!$A$35:$F$46,5,0)</f>
        <v>#N/A</v>
      </c>
      <c r="H349" s="123" t="e">
        <f>VLOOKUP('Verwarming Tabula'!D349,'Gebouwgegevens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2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Tabula'!C350,'Gebouwgegevens Allacker'!$A$35:$F$46,5,0)</f>
        <v>#N/A</v>
      </c>
      <c r="H350" s="123" t="e">
        <f>VLOOKUP('Verwarming Tabula'!D350,'Gebouwgegevens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2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2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2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2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2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2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25">
      <c r="A362" s="312" t="s">
        <v>197</v>
      </c>
      <c r="B362" s="312"/>
      <c r="C362" s="312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2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2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2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2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2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25">
      <c r="A380" s="312" t="s">
        <v>213</v>
      </c>
      <c r="B380" s="312"/>
      <c r="C380" s="312"/>
      <c r="D380" s="312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2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2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25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2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2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2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2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25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25">
      <c r="A395" s="312" t="s">
        <v>171</v>
      </c>
      <c r="B395" s="312"/>
      <c r="C395" s="312"/>
      <c r="D395" s="312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2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2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2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2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2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2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2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2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2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2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2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2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2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2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2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2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2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2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2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2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Tabula'!C424,'Gebouwgegevens Allacker'!$A$35:$F$46,5,0)</f>
        <v>#N/A</v>
      </c>
      <c r="H424" s="123" t="e">
        <f>VLOOKUP('Verwarming Tabula'!D424,'Gebouwgegevens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2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Tabula'!C425,'Gebouwgegevens Allacker'!$A$35:$F$46,5,0)</f>
        <v>#N/A</v>
      </c>
      <c r="H425" s="123" t="e">
        <f>VLOOKUP('Verwarming Tabula'!D425,'Gebouwgegevens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2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Tabula'!C426,'Gebouwgegevens Allacker'!$A$35:$F$46,5,0)</f>
        <v>#N/A</v>
      </c>
      <c r="H426" s="123" t="e">
        <f>VLOOKUP('Verwarming Tabula'!D426,'Gebouwgegevens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2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Tabula'!C427,'Gebouwgegevens Allacker'!$A$35:$F$46,5,0)</f>
        <v>#N/A</v>
      </c>
      <c r="H427" s="123" t="e">
        <f>VLOOKUP('Verwarming Tabula'!D427,'Gebouwgegevens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2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Tabula'!C428,'Gebouwgegevens Allacker'!$A$35:$F$46,5,0)</f>
        <v>#N/A</v>
      </c>
      <c r="H428" s="123" t="e">
        <f>VLOOKUP('Verwarming Tabula'!D428,'Gebouwgegevens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2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2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2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2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2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2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25">
      <c r="A440" s="312" t="s">
        <v>197</v>
      </c>
      <c r="B440" s="312"/>
      <c r="C440" s="312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2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2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2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2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2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25">
      <c r="A458" s="312" t="s">
        <v>213</v>
      </c>
      <c r="B458" s="312"/>
      <c r="C458" s="312"/>
      <c r="D458" s="312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2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2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25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2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2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2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2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25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25">
      <c r="A473" s="312" t="s">
        <v>171</v>
      </c>
      <c r="B473" s="312"/>
      <c r="C473" s="312"/>
      <c r="D473" s="312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2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2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2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2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2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2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2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2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2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2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2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2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2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2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2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2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2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2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2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2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Tabula'!C502,'Gebouwgegevens Allacker'!$A$35:$F$46,5,0)</f>
        <v>#N/A</v>
      </c>
      <c r="H502" s="123" t="e">
        <f>VLOOKUP('Verwarming Tabula'!D502,'Gebouwgegevens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2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Tabula'!C503,'Gebouwgegevens Allacker'!$A$35:$F$46,5,0)</f>
        <v>#N/A</v>
      </c>
      <c r="H503" s="123" t="e">
        <f>VLOOKUP('Verwarming Tabula'!D503,'Gebouwgegevens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2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Tabula'!C504,'Gebouwgegevens Allacker'!$A$35:$F$46,5,0)</f>
        <v>#N/A</v>
      </c>
      <c r="H504" s="123" t="e">
        <f>VLOOKUP('Verwarming Tabula'!D504,'Gebouwgegevens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2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2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2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2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2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2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2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2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25">
      <c r="A518" s="312" t="s">
        <v>197</v>
      </c>
      <c r="B518" s="312"/>
      <c r="C518" s="312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2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2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2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2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2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25">
      <c r="A536" s="312" t="s">
        <v>213</v>
      </c>
      <c r="B536" s="312"/>
      <c r="C536" s="312"/>
      <c r="D536" s="312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2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2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2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2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2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2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25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25">
      <c r="A552" s="312" t="s">
        <v>171</v>
      </c>
      <c r="B552" s="312"/>
      <c r="C552" s="312"/>
      <c r="D552" s="312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2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2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2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2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2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2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2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2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2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2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2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2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2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2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2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2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2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2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2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2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Tabula'!C581,'Gebouwgegevens Allacker'!$A$35:$F$46,5,0)</f>
        <v>#N/A</v>
      </c>
      <c r="H581" s="123" t="e">
        <f>VLOOKUP('Verwarming Tabula'!D581,'Gebouwgegevens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2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Tabula'!C582,'Gebouwgegevens Allacker'!$A$35:$F$46,5,0)</f>
        <v>#N/A</v>
      </c>
      <c r="H582" s="123" t="e">
        <f>VLOOKUP('Verwarming Tabula'!D582,'Gebouwgegevens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2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Tabula'!C583,'Gebouwgegevens Allacker'!$A$35:$F$46,5,0)</f>
        <v>#N/A</v>
      </c>
      <c r="H583" s="123" t="e">
        <f>VLOOKUP('Verwarming Tabula'!D583,'Gebouwgegevens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2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2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2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2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2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2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2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2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25">
      <c r="A597" s="312" t="s">
        <v>197</v>
      </c>
      <c r="B597" s="312"/>
      <c r="C597" s="312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2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2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2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2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2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25">
      <c r="A615" s="312" t="s">
        <v>213</v>
      </c>
      <c r="B615" s="312"/>
      <c r="C615" s="312"/>
      <c r="D615" s="312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2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2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25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2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2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2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2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25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25">
      <c r="A631" s="312" t="s">
        <v>171</v>
      </c>
      <c r="B631" s="312"/>
      <c r="C631" s="312"/>
      <c r="D631" s="312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2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2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2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2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2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2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2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2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2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2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2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2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2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2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2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2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2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2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2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2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Tabula'!C660,'Gebouwgegevens Allacker'!$A$35:$F$46,5,0)</f>
        <v>#N/A</v>
      </c>
      <c r="H660" s="123" t="e">
        <f>VLOOKUP('Verwarming Tabula'!D660,'Gebouwgegevens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2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Tabula'!C661,'Gebouwgegevens Allacker'!$A$35:$F$46,5,0)</f>
        <v>#N/A</v>
      </c>
      <c r="H661" s="123" t="e">
        <f>VLOOKUP('Verwarming Tabula'!D661,'Gebouwgegevens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2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2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2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2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2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2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2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2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2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25">
      <c r="A676" s="312" t="s">
        <v>197</v>
      </c>
      <c r="B676" s="312"/>
      <c r="C676" s="312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2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2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2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2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2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25">
      <c r="A694" s="312" t="s">
        <v>213</v>
      </c>
      <c r="B694" s="312"/>
      <c r="C694" s="312"/>
      <c r="D694" s="312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2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2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25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2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2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2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2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25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25">
      <c r="A710" s="312" t="s">
        <v>171</v>
      </c>
      <c r="B710" s="312"/>
      <c r="C710" s="312"/>
      <c r="D710" s="312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2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2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2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2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2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2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2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2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2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2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2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2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2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2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2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2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2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2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2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2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Tabula'!C739,'Gebouwgegevens Allacker'!$A$35:$F$46,5,0)</f>
        <v>#N/A</v>
      </c>
      <c r="H739" s="123" t="e">
        <f>VLOOKUP('Verwarming Tabula'!D739,'Gebouwgegevens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2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Tabula'!C740,'Gebouwgegevens Allacker'!$A$35:$F$46,5,0)</f>
        <v>#N/A</v>
      </c>
      <c r="H740" s="123" t="e">
        <f>VLOOKUP('Verwarming Tabula'!D740,'Gebouwgegevens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2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Tabula'!C741,'Gebouwgegevens Allacker'!$A$35:$F$46,5,0)</f>
        <v>#N/A</v>
      </c>
      <c r="H741" s="123" t="e">
        <f>VLOOKUP('Verwarming Tabula'!D741,'Gebouwgegevens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2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Tabula'!C742,'Gebouwgegevens Allacker'!$A$35:$F$46,5,0)</f>
        <v>#N/A</v>
      </c>
      <c r="H742" s="123" t="e">
        <f>VLOOKUP('Verwarming Tabula'!D742,'Gebouwgegevens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2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Tabula'!C743,'Gebouwgegevens Allacker'!$A$35:$F$46,5,0)</f>
        <v>#N/A</v>
      </c>
      <c r="H743" s="123" t="e">
        <f>VLOOKUP('Verwarming Tabula'!D743,'Gebouwgegevens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2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Tabula'!C744,'Gebouwgegevens Allacker'!$A$35:$F$46,5,0)</f>
        <v>#N/A</v>
      </c>
      <c r="H744" s="123" t="e">
        <f>VLOOKUP('Verwarming Tabula'!D744,'Gebouwgegevens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2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Tabula'!C745,'Gebouwgegevens Allacker'!$A$35:$F$46,5,0)</f>
        <v>#N/A</v>
      </c>
      <c r="H745" s="123" t="e">
        <f>VLOOKUP('Verwarming Tabula'!D745,'Gebouwgegevens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2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Tabula'!C746,'Gebouwgegevens Allacker'!$A$35:$F$46,5,0)</f>
        <v>#N/A</v>
      </c>
      <c r="H746" s="123" t="e">
        <f>VLOOKUP('Verwarming Tabula'!D746,'Gebouwgegevens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2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Tabula'!C747,'Gebouwgegevens Allacker'!$A$35:$F$46,5,0)</f>
        <v>#N/A</v>
      </c>
      <c r="H747" s="123" t="e">
        <f>VLOOKUP('Verwarming Tabula'!D747,'Gebouwgegevens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2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Tabula'!C748,'Gebouwgegevens Allacker'!$A$35:$F$46,5,0)</f>
        <v>#N/A</v>
      </c>
      <c r="H748" s="123" t="e">
        <f>VLOOKUP('Verwarming Tabula'!D748,'Gebouwgegevens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2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Tabula'!C749,'Gebouwgegevens Allacker'!$A$35:$F$46,5,0)</f>
        <v>#N/A</v>
      </c>
      <c r="H749" s="123" t="e">
        <f>VLOOKUP('Verwarming Tabula'!D749,'Gebouwgegevens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2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Tabula'!C750,'Gebouwgegevens Allacker'!$A$35:$F$46,5,0)</f>
        <v>#N/A</v>
      </c>
      <c r="H750" s="123" t="e">
        <f>VLOOKUP('Verwarming Tabula'!D750,'Gebouwgegevens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2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25">
      <c r="A755" s="312" t="s">
        <v>197</v>
      </c>
      <c r="B755" s="312"/>
      <c r="C755" s="312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2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2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2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2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2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25">
      <c r="A773" s="312" t="s">
        <v>213</v>
      </c>
      <c r="B773" s="312"/>
      <c r="C773" s="312"/>
      <c r="D773" s="312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2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2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25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2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2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2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126"/>
  <sheetViews>
    <sheetView topLeftCell="CA34" zoomScale="70" zoomScaleNormal="70" workbookViewId="0">
      <selection activeCell="DL73" sqref="DL73"/>
    </sheetView>
  </sheetViews>
  <sheetFormatPr defaultRowHeight="16.5" thickTop="1" thickBottom="1" x14ac:dyDescent="0.3"/>
  <cols>
    <col min="1" max="1" width="20.5703125"/>
    <col min="2" max="2" width="12.28515625"/>
    <col min="4" max="4" width="22.140625"/>
    <col min="6" max="6" width="7.140625"/>
    <col min="7" max="7" width="6"/>
    <col min="8" max="8" width="7.7109375"/>
    <col min="9" max="9" width="9.140625" style="81"/>
    <col min="10" max="10" width="9.140625" style="1"/>
    <col min="12" max="12" width="10.42578125" style="2"/>
    <col min="13" max="13" width="8" style="2"/>
    <col min="14" max="14" width="16.85546875" style="2"/>
    <col min="15" max="15" width="12.5703125"/>
    <col min="16" max="16" width="11.28515625"/>
    <col min="17" max="18" width="9.28515625" style="3"/>
    <col min="19" max="19" width="15.140625"/>
    <col min="20" max="20" width="11.7109375"/>
    <col min="21" max="21" width="12.140625"/>
    <col min="22" max="22" width="3.140625" style="1"/>
    <col min="23" max="23" width="3"/>
    <col min="36" max="37" width="9.140625" style="158"/>
    <col min="38" max="38" width="9.140625" style="159"/>
    <col min="39" max="39" width="10.28515625" style="159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9.140625" style="81"/>
    <col min="48" max="51" width="9.140625" style="161"/>
    <col min="52" max="52" width="14.7109375" style="162" bestFit="1" customWidth="1"/>
    <col min="53" max="53" width="9.140625" style="161"/>
    <col min="54" max="54" width="9.140625" style="171"/>
    <col min="56" max="56" width="16.42578125" customWidth="1"/>
    <col min="66" max="66" width="15.7109375" bestFit="1" customWidth="1"/>
    <col min="68" max="68" width="9.140625" style="171"/>
    <col min="81" max="81" width="15.7109375" bestFit="1" customWidth="1"/>
    <col min="93" max="96" width="9.140625" style="81"/>
    <col min="99" max="104" width="9.140625" style="258"/>
    <col min="107" max="107" width="15.5703125" style="260" bestFit="1" customWidth="1"/>
    <col min="108" max="109" width="9.140625" style="260"/>
    <col min="110" max="110" width="10.5703125" style="260" bestFit="1" customWidth="1"/>
    <col min="111" max="111" width="9.140625" style="260"/>
    <col min="119" max="126" width="9.140625" style="298"/>
    <col min="127" max="127" width="15.5703125" style="299" bestFit="1" customWidth="1"/>
    <col min="128" max="131" width="9.140625" style="299"/>
  </cols>
  <sheetData>
    <row r="1" spans="1:131" ht="20.25" customHeight="1" thickTop="1" thickBot="1" x14ac:dyDescent="0.35">
      <c r="A1" s="310" t="s">
        <v>312</v>
      </c>
      <c r="B1" s="310"/>
      <c r="C1" s="310"/>
      <c r="D1" s="310"/>
      <c r="E1" s="310"/>
      <c r="F1" s="310"/>
      <c r="G1" s="310"/>
      <c r="AO1" s="160" t="s">
        <v>314</v>
      </c>
      <c r="BC1" t="s">
        <v>378</v>
      </c>
      <c r="BQ1" t="s">
        <v>432</v>
      </c>
      <c r="DI1" s="170"/>
      <c r="DJ1" s="170"/>
      <c r="DK1" s="170"/>
      <c r="DL1" s="170"/>
      <c r="DM1" s="170"/>
    </row>
    <row r="2" spans="1:131" thickTop="1" thickBot="1" x14ac:dyDescent="0.3">
      <c r="AO2" s="81" t="s">
        <v>315</v>
      </c>
      <c r="CO2" s="81" t="s">
        <v>316</v>
      </c>
      <c r="CP2" s="79" t="s">
        <v>438</v>
      </c>
      <c r="CQ2" s="79" t="s">
        <v>439</v>
      </c>
      <c r="CR2" s="79" t="s">
        <v>440</v>
      </c>
      <c r="CU2" s="258" t="s">
        <v>441</v>
      </c>
      <c r="DI2" s="170"/>
      <c r="DJ2" s="170"/>
      <c r="DK2" s="170"/>
      <c r="DL2" s="170"/>
      <c r="DM2" s="170"/>
      <c r="DO2" s="298" t="s">
        <v>441</v>
      </c>
    </row>
    <row r="3" spans="1:131" thickTop="1" thickBot="1" x14ac:dyDescent="0.3">
      <c r="A3" s="313" t="s">
        <v>1</v>
      </c>
      <c r="B3" s="314"/>
      <c r="C3" s="314"/>
      <c r="D3" s="314"/>
      <c r="E3" s="314"/>
      <c r="F3" s="314"/>
      <c r="G3" s="314"/>
      <c r="H3" s="315"/>
      <c r="I3" s="290"/>
      <c r="K3" s="307" t="s">
        <v>2</v>
      </c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4"/>
      <c r="W3" s="307" t="s">
        <v>3</v>
      </c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O3" s="163" t="s">
        <v>316</v>
      </c>
      <c r="AP3" s="164" t="s">
        <v>317</v>
      </c>
      <c r="AQ3" s="164"/>
      <c r="AR3" s="165"/>
      <c r="AS3" s="165"/>
      <c r="AT3" s="165"/>
      <c r="AV3" s="166" t="s">
        <v>318</v>
      </c>
      <c r="BC3" s="172"/>
      <c r="BD3" s="172" t="s">
        <v>379</v>
      </c>
      <c r="BE3" s="172"/>
      <c r="BF3" s="172"/>
      <c r="BG3" s="81"/>
      <c r="BH3" s="81"/>
      <c r="BJ3" s="173" t="s">
        <v>318</v>
      </c>
      <c r="BK3" s="173"/>
      <c r="BL3" s="173"/>
      <c r="BM3" s="173"/>
      <c r="BN3" s="174"/>
      <c r="BO3" s="173"/>
      <c r="BQ3" s="81" t="s">
        <v>433</v>
      </c>
      <c r="BR3" s="81" t="s">
        <v>379</v>
      </c>
      <c r="BS3" s="81"/>
      <c r="BT3" s="81"/>
      <c r="BU3" s="81"/>
      <c r="BV3" s="81"/>
      <c r="BW3" s="81"/>
      <c r="CO3" s="81" t="s">
        <v>321</v>
      </c>
      <c r="CP3" s="254">
        <f>AZ4</f>
        <v>0.1617299695920503</v>
      </c>
      <c r="CQ3" s="254">
        <f>BN4</f>
        <v>0.16</v>
      </c>
      <c r="CR3" s="254">
        <f>CC6</f>
        <v>0.19</v>
      </c>
      <c r="DC3" s="260" t="s">
        <v>466</v>
      </c>
      <c r="DI3" s="260" t="s">
        <v>519</v>
      </c>
      <c r="DJ3" s="170"/>
      <c r="DK3" s="170"/>
      <c r="DL3" s="170"/>
      <c r="DM3" s="170"/>
      <c r="DW3" s="299" t="s">
        <v>466</v>
      </c>
    </row>
    <row r="4" spans="1:131" ht="15.75" customHeight="1" thickTop="1" thickBot="1" x14ac:dyDescent="0.3">
      <c r="A4" s="182" t="s">
        <v>6</v>
      </c>
      <c r="B4" s="183">
        <f>'Tabula data'!B5</f>
        <v>509.6</v>
      </c>
      <c r="C4" s="183" t="s">
        <v>7</v>
      </c>
      <c r="D4" s="182" t="s">
        <v>8</v>
      </c>
      <c r="E4" s="183"/>
      <c r="F4" s="183"/>
      <c r="G4" s="184">
        <f>SUM(H6:H13)</f>
        <v>32.299999999999997</v>
      </c>
      <c r="H4" s="185" t="s">
        <v>9</v>
      </c>
      <c r="I4" s="193"/>
      <c r="L4" s="316" t="s">
        <v>2</v>
      </c>
      <c r="M4" s="317"/>
      <c r="N4" s="317"/>
      <c r="O4" s="317"/>
      <c r="P4" s="318"/>
      <c r="X4" s="226"/>
      <c r="Y4" s="226"/>
      <c r="Z4" s="227" t="s">
        <v>4</v>
      </c>
      <c r="AA4" s="227">
        <v>0.85</v>
      </c>
      <c r="AB4" s="227" t="s">
        <v>5</v>
      </c>
      <c r="AC4" s="226"/>
      <c r="AD4" s="226"/>
      <c r="AE4" s="226"/>
      <c r="AM4" s="159" t="s">
        <v>319</v>
      </c>
      <c r="AN4" s="81" t="s">
        <v>320</v>
      </c>
      <c r="AO4" s="81" t="s">
        <v>321</v>
      </c>
      <c r="AP4" s="81">
        <f>SUM(O6:O9)/SUM($O$6:$O$14,$O$26,2*$O$27,O30)</f>
        <v>0.1617299695920503</v>
      </c>
      <c r="AQ4" s="81" t="s">
        <v>322</v>
      </c>
      <c r="AR4" s="167">
        <v>0.1641929</v>
      </c>
      <c r="AV4" s="168" t="s">
        <v>319</v>
      </c>
      <c r="AW4" s="168" t="s">
        <v>320</v>
      </c>
      <c r="AX4" s="168" t="s">
        <v>321</v>
      </c>
      <c r="AY4" s="169" t="s">
        <v>323</v>
      </c>
      <c r="AZ4" s="162">
        <f>AP4</f>
        <v>0.1617299695920503</v>
      </c>
      <c r="BA4" s="168" t="s">
        <v>322</v>
      </c>
      <c r="BC4" s="81" t="s">
        <v>380</v>
      </c>
      <c r="BD4" s="81"/>
      <c r="BE4" s="81"/>
      <c r="BF4" s="81"/>
      <c r="BG4" s="81"/>
      <c r="BH4" s="81"/>
      <c r="BJ4" s="175" t="s">
        <v>319</v>
      </c>
      <c r="BK4" s="175" t="s">
        <v>320</v>
      </c>
      <c r="BL4" s="175" t="s">
        <v>321</v>
      </c>
      <c r="BM4" s="175" t="s">
        <v>323</v>
      </c>
      <c r="BN4" s="174">
        <f>BD11</f>
        <v>0.16</v>
      </c>
      <c r="BO4" s="175" t="s">
        <v>322</v>
      </c>
      <c r="BQ4" s="81" t="s">
        <v>380</v>
      </c>
      <c r="BR4" s="81"/>
      <c r="BS4" s="81"/>
      <c r="BT4" s="81"/>
      <c r="BU4" s="81"/>
      <c r="BV4" s="81"/>
      <c r="BW4" s="81"/>
      <c r="CO4" s="81" t="s">
        <v>324</v>
      </c>
      <c r="CP4" s="254">
        <f t="shared" ref="CP4:CP49" si="0">AZ5</f>
        <v>0.3991139047997368</v>
      </c>
      <c r="CQ4" s="254">
        <f t="shared" ref="CQ4:CQ49" si="1">BN5</f>
        <v>0.318</v>
      </c>
      <c r="CR4" s="254">
        <f t="shared" ref="CR4:CR49" si="2">CC7</f>
        <v>0.38</v>
      </c>
      <c r="CU4" s="258" t="s">
        <v>442</v>
      </c>
      <c r="CV4" s="258" t="s">
        <v>433</v>
      </c>
      <c r="CW4" s="258" t="s">
        <v>443</v>
      </c>
      <c r="DA4" s="81"/>
      <c r="DB4" s="81"/>
      <c r="DI4" s="170"/>
      <c r="DJ4" s="170"/>
      <c r="DK4" s="170"/>
      <c r="DL4" s="170"/>
      <c r="DM4" s="170"/>
      <c r="DO4" s="298" t="s">
        <v>442</v>
      </c>
      <c r="DP4" s="298" t="s">
        <v>433</v>
      </c>
      <c r="DQ4" s="298" t="s">
        <v>443</v>
      </c>
    </row>
    <row r="5" spans="1:131" ht="15" customHeight="1" thickTop="1" thickBot="1" x14ac:dyDescent="0.3">
      <c r="A5" s="186"/>
      <c r="B5" s="187"/>
      <c r="C5" s="187"/>
      <c r="D5" s="188"/>
      <c r="E5" s="189"/>
      <c r="F5" s="189"/>
      <c r="G5" s="189"/>
      <c r="H5" s="190"/>
      <c r="I5" s="189"/>
      <c r="K5" t="s">
        <v>10</v>
      </c>
      <c r="L5" s="211" t="s">
        <v>11</v>
      </c>
      <c r="M5" s="212" t="s">
        <v>12</v>
      </c>
      <c r="N5" s="212" t="s">
        <v>13</v>
      </c>
      <c r="O5" s="212" t="s">
        <v>14</v>
      </c>
      <c r="P5" s="21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28" t="s">
        <v>20</v>
      </c>
      <c r="Y5" s="229"/>
      <c r="Z5" s="230" t="s">
        <v>21</v>
      </c>
      <c r="AA5" s="231">
        <f>1/(1/10+SUM(AD9:AD12)+1/23)</f>
        <v>0.84975369458128069</v>
      </c>
      <c r="AB5" s="229" t="s">
        <v>5</v>
      </c>
      <c r="AC5" s="229"/>
      <c r="AD5" s="229" t="s">
        <v>22</v>
      </c>
      <c r="AE5" s="232">
        <f>SUM(AE7:AE10)</f>
        <v>54768</v>
      </c>
      <c r="AF5" s="14" t="s">
        <v>23</v>
      </c>
      <c r="AG5" s="14">
        <f>AE10</f>
        <v>16380</v>
      </c>
      <c r="AH5" s="14"/>
      <c r="AM5" s="159" t="s">
        <v>319</v>
      </c>
      <c r="AN5" s="81" t="s">
        <v>320</v>
      </c>
      <c r="AO5" s="81" t="s">
        <v>324</v>
      </c>
      <c r="AP5" s="81">
        <f>SUM(2*O27,O30)/SUM($O$6:$O$14,$O$26,2*$O$27,O30)</f>
        <v>0.3991139047997368</v>
      </c>
      <c r="AQ5" s="81" t="s">
        <v>322</v>
      </c>
      <c r="AR5" s="167">
        <v>0.42146270000000002</v>
      </c>
      <c r="AV5" s="168" t="s">
        <v>319</v>
      </c>
      <c r="AW5" s="168" t="s">
        <v>320</v>
      </c>
      <c r="AX5" s="168" t="s">
        <v>324</v>
      </c>
      <c r="AY5" s="169" t="s">
        <v>323</v>
      </c>
      <c r="AZ5" s="162">
        <f>AP5</f>
        <v>0.3991139047997368</v>
      </c>
      <c r="BA5" s="168" t="s">
        <v>322</v>
      </c>
      <c r="BC5" s="81" t="s">
        <v>381</v>
      </c>
      <c r="BD5" s="81" t="s">
        <v>382</v>
      </c>
      <c r="BE5" s="81" t="s">
        <v>383</v>
      </c>
      <c r="BF5" s="81" t="s">
        <v>384</v>
      </c>
      <c r="BG5" s="81" t="s">
        <v>385</v>
      </c>
      <c r="BH5" s="81"/>
      <c r="BJ5" s="175" t="s">
        <v>319</v>
      </c>
      <c r="BK5" s="175" t="s">
        <v>320</v>
      </c>
      <c r="BL5" s="175" t="s">
        <v>324</v>
      </c>
      <c r="BM5" s="175" t="s">
        <v>323</v>
      </c>
      <c r="BN5" s="174">
        <f>BD12</f>
        <v>0.318</v>
      </c>
      <c r="BO5" s="175" t="s">
        <v>322</v>
      </c>
      <c r="BQ5" s="81" t="s">
        <v>381</v>
      </c>
      <c r="BR5" s="81" t="s">
        <v>382</v>
      </c>
      <c r="BS5" s="81" t="s">
        <v>383</v>
      </c>
      <c r="BT5" s="81" t="s">
        <v>384</v>
      </c>
      <c r="BU5" s="81" t="s">
        <v>385</v>
      </c>
      <c r="BV5" s="81" t="s">
        <v>386</v>
      </c>
      <c r="BW5" s="81"/>
      <c r="BY5" s="176" t="s">
        <v>318</v>
      </c>
      <c r="BZ5" s="176"/>
      <c r="CA5" s="176"/>
      <c r="CB5" s="176"/>
      <c r="CC5" s="177"/>
      <c r="CD5" s="176"/>
      <c r="CO5" s="81" t="s">
        <v>325</v>
      </c>
      <c r="CP5" s="254">
        <f t="shared" si="0"/>
        <v>3.5206609225974871E-2</v>
      </c>
      <c r="CQ5" s="254">
        <f t="shared" si="1"/>
        <v>0.26200000000000001</v>
      </c>
      <c r="CR5" s="254">
        <f t="shared" si="2"/>
        <v>5.0500000000000003E-2</v>
      </c>
      <c r="CU5" s="258" t="s">
        <v>442</v>
      </c>
      <c r="CV5" s="258" t="s">
        <v>380</v>
      </c>
      <c r="DA5" s="81"/>
      <c r="DB5" s="81"/>
      <c r="DC5" s="260" t="s">
        <v>467</v>
      </c>
      <c r="DD5" s="261" t="s">
        <v>468</v>
      </c>
      <c r="DE5" s="261" t="s">
        <v>323</v>
      </c>
      <c r="DF5" s="262">
        <f>CW12</f>
        <v>0.34599999999999997</v>
      </c>
      <c r="DG5" s="260" t="s">
        <v>322</v>
      </c>
      <c r="DI5" s="170" t="s">
        <v>467</v>
      </c>
      <c r="DJ5" s="291" t="s">
        <v>468</v>
      </c>
      <c r="DK5" s="291" t="s">
        <v>323</v>
      </c>
      <c r="DL5" s="170">
        <f>$O$11*$Z$37*$AP$4</f>
        <v>0.49812830634351496</v>
      </c>
      <c r="DM5" s="170" t="s">
        <v>322</v>
      </c>
      <c r="DO5" s="298" t="s">
        <v>442</v>
      </c>
      <c r="DP5" s="298" t="s">
        <v>380</v>
      </c>
      <c r="DW5" s="299" t="s">
        <v>467</v>
      </c>
      <c r="DX5" s="300" t="s">
        <v>468</v>
      </c>
      <c r="DY5" s="300" t="s">
        <v>323</v>
      </c>
      <c r="DZ5" s="301">
        <f>DQ12</f>
        <v>0.40100000000000002</v>
      </c>
      <c r="EA5" s="299" t="s">
        <v>322</v>
      </c>
    </row>
    <row r="6" spans="1:131" ht="15" customHeight="1" thickTop="1" thickBot="1" x14ac:dyDescent="0.3">
      <c r="A6" s="191" t="s">
        <v>34</v>
      </c>
      <c r="B6" s="192">
        <f>'Tabula data'!B4</f>
        <v>185.3</v>
      </c>
      <c r="C6" s="193" t="s">
        <v>9</v>
      </c>
      <c r="D6" s="194" t="s">
        <v>35</v>
      </c>
      <c r="E6" s="189" t="s">
        <v>36</v>
      </c>
      <c r="F6" s="195">
        <f t="shared" ref="F6:F13" si="3">H6/$G$4</f>
        <v>0.12074303405572756</v>
      </c>
      <c r="G6" s="189"/>
      <c r="H6" s="196">
        <f>'Tabula data'!B22*'Gebouwgegevens Tabula 2zone'!C45</f>
        <v>3.9</v>
      </c>
      <c r="I6" s="208"/>
      <c r="K6" t="s">
        <v>24</v>
      </c>
      <c r="L6" s="214">
        <v>0</v>
      </c>
      <c r="M6" s="215">
        <v>1</v>
      </c>
      <c r="N6" s="215" t="s">
        <v>25</v>
      </c>
      <c r="O6" s="216">
        <f>'Tabula data'!B19*C43</f>
        <v>19.742421874491026</v>
      </c>
      <c r="P6" s="217" t="s">
        <v>26</v>
      </c>
      <c r="Q6" s="30">
        <f t="shared" ref="Q6:Q31" si="4">VLOOKUP(N6,$X$5:$AA$391,4,0)</f>
        <v>0.99033657090706906</v>
      </c>
      <c r="R6" s="30">
        <f t="shared" ref="R6:R28" si="5">Q6*O6</f>
        <v>19.551642380584152</v>
      </c>
      <c r="S6" s="30">
        <f t="shared" ref="S6:S14" si="6">VLOOKUP(N6,$X$5:$AE$391,8,0)*O6</f>
        <v>8781472.6831017341</v>
      </c>
      <c r="T6" s="30">
        <f t="shared" ref="T6:T14" si="7">S6/O6</f>
        <v>444802.20000000013</v>
      </c>
      <c r="U6" s="30">
        <f t="shared" ref="U6:U14" si="8">VLOOKUP(N6,$X$5:$AG$391,10,0)*O6</f>
        <v>3573773.2077203658</v>
      </c>
      <c r="V6" s="31"/>
      <c r="W6" s="3"/>
      <c r="X6" s="233"/>
      <c r="Y6" s="234" t="s">
        <v>27</v>
      </c>
      <c r="Z6" s="234" t="s">
        <v>28</v>
      </c>
      <c r="AA6" s="234" t="s">
        <v>29</v>
      </c>
      <c r="AB6" s="234" t="s">
        <v>30</v>
      </c>
      <c r="AC6" s="234" t="s">
        <v>31</v>
      </c>
      <c r="AD6" s="234" t="s">
        <v>32</v>
      </c>
      <c r="AE6" s="235" t="s">
        <v>33</v>
      </c>
      <c r="AF6" s="14"/>
      <c r="AG6" s="14"/>
      <c r="AH6" s="14"/>
      <c r="AM6" s="159" t="s">
        <v>319</v>
      </c>
      <c r="AN6" s="81" t="s">
        <v>320</v>
      </c>
      <c r="AO6" s="81" t="s">
        <v>325</v>
      </c>
      <c r="AP6" s="81">
        <f>SUM(O10:O13)/SUM($O$6:$O$14,$O$26,2*$O$27,O30)</f>
        <v>3.5206609225974871E-2</v>
      </c>
      <c r="AQ6" s="81" t="s">
        <v>322</v>
      </c>
      <c r="AR6" s="167">
        <v>0.13510150000000001</v>
      </c>
      <c r="AV6" s="168" t="s">
        <v>319</v>
      </c>
      <c r="AW6" s="168" t="s">
        <v>320</v>
      </c>
      <c r="AX6" s="168" t="s">
        <v>325</v>
      </c>
      <c r="AY6" s="169" t="s">
        <v>323</v>
      </c>
      <c r="AZ6" s="162">
        <f>AP6</f>
        <v>3.5206609225974871E-2</v>
      </c>
      <c r="BA6" s="168" t="s">
        <v>322</v>
      </c>
      <c r="BC6" s="81" t="s">
        <v>387</v>
      </c>
      <c r="BD6" s="167">
        <v>299</v>
      </c>
      <c r="BE6" s="167">
        <v>9.6299999999999997E-2</v>
      </c>
      <c r="BF6" s="81">
        <v>3101.23</v>
      </c>
      <c r="BG6" s="81" t="s">
        <v>388</v>
      </c>
      <c r="BH6" s="81"/>
      <c r="BJ6" s="175" t="s">
        <v>319</v>
      </c>
      <c r="BK6" s="175" t="s">
        <v>320</v>
      </c>
      <c r="BL6" s="175" t="s">
        <v>325</v>
      </c>
      <c r="BM6" s="175" t="s">
        <v>323</v>
      </c>
      <c r="BN6" s="174">
        <f>BD13</f>
        <v>0.26200000000000001</v>
      </c>
      <c r="BO6" s="175" t="s">
        <v>322</v>
      </c>
      <c r="BQ6" s="81" t="s">
        <v>387</v>
      </c>
      <c r="BR6" s="167">
        <v>291</v>
      </c>
      <c r="BS6" s="167">
        <v>0.14199999999999999</v>
      </c>
      <c r="BT6" s="81">
        <v>2053.1799999999998</v>
      </c>
      <c r="BU6" s="81" t="s">
        <v>422</v>
      </c>
      <c r="BV6" s="167">
        <v>2E-16</v>
      </c>
      <c r="BW6" s="81" t="s">
        <v>389</v>
      </c>
      <c r="BY6" s="178" t="s">
        <v>319</v>
      </c>
      <c r="BZ6" s="178" t="s">
        <v>320</v>
      </c>
      <c r="CA6" s="178" t="s">
        <v>321</v>
      </c>
      <c r="CB6" s="178" t="s">
        <v>323</v>
      </c>
      <c r="CC6" s="177">
        <f>BR11</f>
        <v>0.19</v>
      </c>
      <c r="CD6" s="178" t="s">
        <v>322</v>
      </c>
      <c r="CO6" s="81" t="s">
        <v>326</v>
      </c>
      <c r="CP6" s="254">
        <f t="shared" si="0"/>
        <v>0.20927767713272988</v>
      </c>
      <c r="CQ6" s="254">
        <f t="shared" si="1"/>
        <v>0.156</v>
      </c>
      <c r="CR6" s="254">
        <f t="shared" si="2"/>
        <v>0.20300000000000001</v>
      </c>
      <c r="CU6" s="258" t="s">
        <v>442</v>
      </c>
      <c r="CV6" s="258" t="s">
        <v>381</v>
      </c>
      <c r="CW6" s="258" t="s">
        <v>382</v>
      </c>
      <c r="CX6" s="258" t="s">
        <v>383</v>
      </c>
      <c r="CY6" s="258" t="s">
        <v>384</v>
      </c>
      <c r="CZ6" s="258" t="s">
        <v>385</v>
      </c>
      <c r="DA6" s="81" t="s">
        <v>386</v>
      </c>
      <c r="DB6" s="81"/>
      <c r="DC6" s="260" t="s">
        <v>467</v>
      </c>
      <c r="DD6" s="261" t="s">
        <v>469</v>
      </c>
      <c r="DE6" s="261" t="s">
        <v>323</v>
      </c>
      <c r="DF6" s="262">
        <f t="shared" ref="DF6:DF24" si="9">CW13</f>
        <v>0.39300000000000002</v>
      </c>
      <c r="DG6" s="260" t="s">
        <v>322</v>
      </c>
      <c r="DI6" s="170" t="s">
        <v>467</v>
      </c>
      <c r="DJ6" s="291" t="s">
        <v>469</v>
      </c>
      <c r="DK6" s="291" t="s">
        <v>323</v>
      </c>
      <c r="DL6" s="170">
        <f>$O$10*$Z$37*$AP$4</f>
        <v>0.48567509868492709</v>
      </c>
      <c r="DM6" s="170" t="s">
        <v>322</v>
      </c>
      <c r="DO6" s="298" t="s">
        <v>442</v>
      </c>
      <c r="DP6" s="298" t="s">
        <v>381</v>
      </c>
      <c r="DQ6" s="298" t="s">
        <v>382</v>
      </c>
      <c r="DR6" s="298" t="s">
        <v>383</v>
      </c>
      <c r="DS6" s="298" t="s">
        <v>384</v>
      </c>
      <c r="DT6" s="298" t="s">
        <v>385</v>
      </c>
      <c r="DU6" s="298" t="s">
        <v>386</v>
      </c>
      <c r="DW6" s="299" t="s">
        <v>467</v>
      </c>
      <c r="DX6" s="300" t="s">
        <v>469</v>
      </c>
      <c r="DY6" s="300" t="s">
        <v>323</v>
      </c>
      <c r="DZ6" s="301">
        <f t="shared" ref="DZ6:DZ24" si="10">DQ13</f>
        <v>0.40500000000000003</v>
      </c>
      <c r="EA6" s="299" t="s">
        <v>322</v>
      </c>
    </row>
    <row r="7" spans="1:131" ht="15" customHeight="1" thickTop="1" thickBot="1" x14ac:dyDescent="0.3">
      <c r="A7" s="194" t="s">
        <v>42</v>
      </c>
      <c r="B7" s="197">
        <f>'Tabula data'!B14</f>
        <v>96</v>
      </c>
      <c r="C7" s="198" t="s">
        <v>9</v>
      </c>
      <c r="D7" s="194" t="s">
        <v>43</v>
      </c>
      <c r="E7" s="189" t="s">
        <v>36</v>
      </c>
      <c r="F7" s="195">
        <f t="shared" si="3"/>
        <v>0.12383900928792571</v>
      </c>
      <c r="G7" s="189"/>
      <c r="H7" s="196">
        <f>'Tabula data'!B23*'Gebouwgegevens Tabula 2zone'!C45</f>
        <v>4</v>
      </c>
      <c r="I7" s="208"/>
      <c r="K7" t="s">
        <v>38</v>
      </c>
      <c r="L7" s="218">
        <v>0</v>
      </c>
      <c r="M7" s="219">
        <v>1</v>
      </c>
      <c r="N7" s="219" t="s">
        <v>25</v>
      </c>
      <c r="O7" s="220">
        <f>'Tabula data'!B20*C43</f>
        <v>34.704039143624534</v>
      </c>
      <c r="P7" s="221" t="s">
        <v>39</v>
      </c>
      <c r="Q7" s="30">
        <f t="shared" si="4"/>
        <v>0.99033657090706906</v>
      </c>
      <c r="R7" s="30">
        <f t="shared" si="5"/>
        <v>34.368679122121819</v>
      </c>
      <c r="S7" s="30">
        <f t="shared" si="6"/>
        <v>15436432.959970312</v>
      </c>
      <c r="T7" s="30">
        <f t="shared" si="7"/>
        <v>444802.20000000007</v>
      </c>
      <c r="U7" s="30">
        <f t="shared" si="8"/>
        <v>6282125.1657789145</v>
      </c>
      <c r="V7" s="31"/>
      <c r="W7" s="3"/>
      <c r="X7" s="188"/>
      <c r="Y7" s="189" t="s">
        <v>40</v>
      </c>
      <c r="Z7" s="189">
        <v>2.5000000000000001E-2</v>
      </c>
      <c r="AA7" s="189">
        <v>1.3</v>
      </c>
      <c r="AB7" s="189">
        <v>1700</v>
      </c>
      <c r="AC7" s="189">
        <v>840</v>
      </c>
      <c r="AD7" s="236">
        <f>Z7/AA7</f>
        <v>1.9230769230769232E-2</v>
      </c>
      <c r="AE7" s="190">
        <f>Z7*AB7*AC7</f>
        <v>35700</v>
      </c>
      <c r="AF7" s="14" t="s">
        <v>41</v>
      </c>
      <c r="AG7" s="14"/>
      <c r="AH7" s="14"/>
      <c r="AM7" s="159" t="s">
        <v>319</v>
      </c>
      <c r="AN7" s="81" t="s">
        <v>320</v>
      </c>
      <c r="AO7" s="81" t="s">
        <v>326</v>
      </c>
      <c r="AP7" s="81">
        <f>SUM(O14)/SUM($O$6:$O$14,$O$26,2*$O$27,O30)</f>
        <v>0.20927767713272988</v>
      </c>
      <c r="AQ7" s="81" t="s">
        <v>322</v>
      </c>
      <c r="AR7" s="167">
        <v>0.161666</v>
      </c>
      <c r="AV7" s="168" t="s">
        <v>319</v>
      </c>
      <c r="AW7" s="168" t="s">
        <v>320</v>
      </c>
      <c r="AX7" s="168" t="s">
        <v>326</v>
      </c>
      <c r="AY7" s="169" t="s">
        <v>323</v>
      </c>
      <c r="AZ7" s="162">
        <f>AP7</f>
        <v>0.20927767713272988</v>
      </c>
      <c r="BA7" s="168" t="s">
        <v>322</v>
      </c>
      <c r="BC7" s="81" t="s">
        <v>390</v>
      </c>
      <c r="BD7" s="167">
        <v>295</v>
      </c>
      <c r="BE7" s="167">
        <v>4.9200000000000001E-2</v>
      </c>
      <c r="BF7" s="81">
        <v>5996.7</v>
      </c>
      <c r="BG7" s="81" t="s">
        <v>388</v>
      </c>
      <c r="BH7" s="81"/>
      <c r="BJ7" s="175" t="s">
        <v>319</v>
      </c>
      <c r="BK7" s="175" t="s">
        <v>320</v>
      </c>
      <c r="BL7" s="175" t="s">
        <v>326</v>
      </c>
      <c r="BM7" s="175" t="s">
        <v>323</v>
      </c>
      <c r="BN7" s="174">
        <f>BD14</f>
        <v>0.156</v>
      </c>
      <c r="BO7" s="175" t="s">
        <v>322</v>
      </c>
      <c r="BQ7" s="81" t="s">
        <v>390</v>
      </c>
      <c r="BR7" s="167">
        <v>289</v>
      </c>
      <c r="BS7" s="167">
        <v>0.112</v>
      </c>
      <c r="BT7" s="81">
        <v>2573.84</v>
      </c>
      <c r="BU7" s="81" t="s">
        <v>422</v>
      </c>
      <c r="BV7" s="167">
        <v>2E-16</v>
      </c>
      <c r="BW7" s="81" t="s">
        <v>389</v>
      </c>
      <c r="BY7" s="178" t="s">
        <v>319</v>
      </c>
      <c r="BZ7" s="178" t="s">
        <v>320</v>
      </c>
      <c r="CA7" s="178" t="s">
        <v>324</v>
      </c>
      <c r="CB7" s="178" t="s">
        <v>323</v>
      </c>
      <c r="CC7" s="177">
        <f>BR12</f>
        <v>0.38</v>
      </c>
      <c r="CD7" s="178" t="s">
        <v>322</v>
      </c>
      <c r="CP7" s="255"/>
      <c r="CQ7" s="255"/>
      <c r="CR7" s="255"/>
      <c r="CU7" s="258" t="s">
        <v>442</v>
      </c>
      <c r="CV7" s="258" t="s">
        <v>387</v>
      </c>
      <c r="CW7" s="259">
        <v>292</v>
      </c>
      <c r="CX7" s="259">
        <v>6.1600000000000002E-2</v>
      </c>
      <c r="CY7" s="258">
        <v>4737.66</v>
      </c>
      <c r="CZ7" s="258" t="s">
        <v>422</v>
      </c>
      <c r="DA7" s="167">
        <v>2E-16</v>
      </c>
      <c r="DB7" s="81" t="s">
        <v>389</v>
      </c>
      <c r="DC7" s="260" t="s">
        <v>467</v>
      </c>
      <c r="DD7" s="263" t="s">
        <v>470</v>
      </c>
      <c r="DE7" s="261" t="s">
        <v>323</v>
      </c>
      <c r="DF7" s="262">
        <f t="shared" si="9"/>
        <v>0.43</v>
      </c>
      <c r="DG7" s="260" t="s">
        <v>322</v>
      </c>
      <c r="DI7" s="170" t="s">
        <v>467</v>
      </c>
      <c r="DJ7" s="292" t="s">
        <v>470</v>
      </c>
      <c r="DK7" s="291" t="s">
        <v>323</v>
      </c>
      <c r="DL7" s="170">
        <f>$O$12*$Z$37*$AP$4</f>
        <v>0.56662094846574818</v>
      </c>
      <c r="DM7" s="170" t="s">
        <v>322</v>
      </c>
      <c r="DO7" s="298" t="s">
        <v>442</v>
      </c>
      <c r="DP7" s="298" t="s">
        <v>387</v>
      </c>
      <c r="DQ7" s="302">
        <v>297</v>
      </c>
      <c r="DR7" s="302">
        <v>0.434</v>
      </c>
      <c r="DS7" s="298">
        <v>684.89</v>
      </c>
      <c r="DT7" s="298" t="s">
        <v>422</v>
      </c>
      <c r="DU7" s="302">
        <v>2E-16</v>
      </c>
      <c r="DV7" s="298" t="s">
        <v>389</v>
      </c>
      <c r="DW7" s="299" t="s">
        <v>467</v>
      </c>
      <c r="DX7" s="303" t="s">
        <v>470</v>
      </c>
      <c r="DY7" s="300" t="s">
        <v>323</v>
      </c>
      <c r="DZ7" s="301">
        <f t="shared" si="10"/>
        <v>0.45800000000000002</v>
      </c>
      <c r="EA7" s="299" t="s">
        <v>322</v>
      </c>
    </row>
    <row r="8" spans="1:131" ht="15" customHeight="1" thickTop="1" thickBot="1" x14ac:dyDescent="0.3">
      <c r="A8" s="194" t="s">
        <v>47</v>
      </c>
      <c r="B8" s="197">
        <f>B6-B7</f>
        <v>89.300000000000011</v>
      </c>
      <c r="C8" s="189" t="s">
        <v>9</v>
      </c>
      <c r="D8" s="194" t="s">
        <v>48</v>
      </c>
      <c r="E8" s="189" t="s">
        <v>36</v>
      </c>
      <c r="F8" s="195">
        <f t="shared" si="3"/>
        <v>0.1408668730650155</v>
      </c>
      <c r="G8" s="189"/>
      <c r="H8" s="196">
        <f>'Tabula data'!B24*C45</f>
        <v>4.55</v>
      </c>
      <c r="I8" s="208"/>
      <c r="K8" t="s">
        <v>44</v>
      </c>
      <c r="L8" s="218">
        <v>0</v>
      </c>
      <c r="M8" s="219">
        <v>1</v>
      </c>
      <c r="N8" s="219" t="s">
        <v>25</v>
      </c>
      <c r="O8" s="220">
        <f>O6</f>
        <v>19.742421874491026</v>
      </c>
      <c r="P8" s="221" t="s">
        <v>45</v>
      </c>
      <c r="Q8" s="30">
        <f t="shared" si="4"/>
        <v>0.99033657090706906</v>
      </c>
      <c r="R8" s="30">
        <f t="shared" si="5"/>
        <v>19.551642380584152</v>
      </c>
      <c r="S8" s="30">
        <f t="shared" si="6"/>
        <v>8781472.6831017341</v>
      </c>
      <c r="T8" s="30">
        <f t="shared" si="7"/>
        <v>444802.20000000013</v>
      </c>
      <c r="U8" s="30">
        <f t="shared" si="8"/>
        <v>3573773.2077203658</v>
      </c>
      <c r="V8" s="31"/>
      <c r="W8" s="3"/>
      <c r="X8" s="188"/>
      <c r="Y8" s="189" t="s">
        <v>46</v>
      </c>
      <c r="Z8" s="189">
        <v>0.03</v>
      </c>
      <c r="AA8" s="189">
        <f>0.18/Z8</f>
        <v>6</v>
      </c>
      <c r="AB8" s="189">
        <v>0</v>
      </c>
      <c r="AC8" s="189">
        <v>0</v>
      </c>
      <c r="AD8" s="236">
        <v>0.18</v>
      </c>
      <c r="AE8" s="190">
        <f>Z8*AB8*AC8</f>
        <v>0</v>
      </c>
      <c r="AF8" s="14"/>
      <c r="AG8" s="14"/>
      <c r="AH8" s="14"/>
      <c r="AQ8" s="81" t="s">
        <v>322</v>
      </c>
      <c r="AR8" s="167"/>
      <c r="AV8" s="168"/>
      <c r="AW8" s="168"/>
      <c r="AX8" s="168"/>
      <c r="AY8" s="169"/>
      <c r="BA8" s="168"/>
      <c r="BC8" s="81" t="s">
        <v>391</v>
      </c>
      <c r="BD8" s="167">
        <v>299</v>
      </c>
      <c r="BE8" s="167">
        <v>2.6599999999999999E-2</v>
      </c>
      <c r="BF8" s="81">
        <v>11253.68</v>
      </c>
      <c r="BG8" s="81" t="s">
        <v>388</v>
      </c>
      <c r="BH8" s="81"/>
      <c r="BJ8" s="175"/>
      <c r="BK8" s="175"/>
      <c r="BL8" s="175"/>
      <c r="BM8" s="175"/>
      <c r="BN8" s="174"/>
      <c r="BO8" s="175"/>
      <c r="BQ8" s="81" t="s">
        <v>391</v>
      </c>
      <c r="BR8" s="167">
        <v>295</v>
      </c>
      <c r="BS8" s="167">
        <v>5.5100000000000003E-2</v>
      </c>
      <c r="BT8" s="81">
        <v>5345.13</v>
      </c>
      <c r="BU8" s="81" t="s">
        <v>422</v>
      </c>
      <c r="BV8" s="167">
        <v>2E-16</v>
      </c>
      <c r="BW8" s="81" t="s">
        <v>389</v>
      </c>
      <c r="BY8" s="178" t="s">
        <v>319</v>
      </c>
      <c r="BZ8" s="178" t="s">
        <v>320</v>
      </c>
      <c r="CA8" s="178" t="s">
        <v>325</v>
      </c>
      <c r="CB8" s="178" t="s">
        <v>323</v>
      </c>
      <c r="CC8" s="177">
        <f>BR13</f>
        <v>5.0500000000000003E-2</v>
      </c>
      <c r="CD8" s="178" t="s">
        <v>322</v>
      </c>
      <c r="CO8" s="81" t="s">
        <v>327</v>
      </c>
      <c r="CP8" s="256">
        <f t="shared" si="0"/>
        <v>1768166.3999999999</v>
      </c>
      <c r="CQ8" s="256">
        <f t="shared" si="1"/>
        <v>2950000</v>
      </c>
      <c r="CR8" s="256">
        <f t="shared" si="2"/>
        <v>3560000</v>
      </c>
      <c r="CU8" s="258" t="s">
        <v>442</v>
      </c>
      <c r="CV8" s="258" t="s">
        <v>390</v>
      </c>
      <c r="CW8" s="259">
        <v>290</v>
      </c>
      <c r="CX8" s="259">
        <v>4.8300000000000003E-2</v>
      </c>
      <c r="CY8" s="258">
        <v>6016.84</v>
      </c>
      <c r="CZ8" s="258" t="s">
        <v>422</v>
      </c>
      <c r="DA8" s="167">
        <v>2E-16</v>
      </c>
      <c r="DB8" s="81" t="s">
        <v>389</v>
      </c>
      <c r="DC8" s="260" t="s">
        <v>467</v>
      </c>
      <c r="DD8" s="264" t="s">
        <v>471</v>
      </c>
      <c r="DE8" s="261" t="s">
        <v>323</v>
      </c>
      <c r="DF8" s="262">
        <f t="shared" si="9"/>
        <v>0.27300000000000002</v>
      </c>
      <c r="DG8" s="260" t="s">
        <v>322</v>
      </c>
      <c r="DI8" s="170" t="s">
        <v>467</v>
      </c>
      <c r="DJ8" s="293" t="s">
        <v>471</v>
      </c>
      <c r="DK8" s="291" t="s">
        <v>323</v>
      </c>
      <c r="DL8" s="170">
        <f>$O$13*$Z$37*$AP$4</f>
        <v>0.46076868336775134</v>
      </c>
      <c r="DM8" s="170" t="s">
        <v>322</v>
      </c>
      <c r="DO8" s="298" t="s">
        <v>442</v>
      </c>
      <c r="DP8" s="298" t="s">
        <v>390</v>
      </c>
      <c r="DQ8" s="302">
        <v>291</v>
      </c>
      <c r="DR8" s="302">
        <v>0.14799999999999999</v>
      </c>
      <c r="DS8" s="298">
        <v>1973.4</v>
      </c>
      <c r="DT8" s="298" t="s">
        <v>422</v>
      </c>
      <c r="DU8" s="302">
        <v>2E-16</v>
      </c>
      <c r="DV8" s="298" t="s">
        <v>389</v>
      </c>
      <c r="DW8" s="299" t="s">
        <v>467</v>
      </c>
      <c r="DX8" s="304" t="s">
        <v>471</v>
      </c>
      <c r="DY8" s="300" t="s">
        <v>323</v>
      </c>
      <c r="DZ8" s="301">
        <f t="shared" si="10"/>
        <v>0.23400000000000001</v>
      </c>
      <c r="EA8" s="299" t="s">
        <v>322</v>
      </c>
    </row>
    <row r="9" spans="1:131" ht="15" customHeight="1" thickTop="1" thickBot="1" x14ac:dyDescent="0.3">
      <c r="A9" s="188"/>
      <c r="B9" s="189"/>
      <c r="C9" s="189"/>
      <c r="D9" s="194" t="s">
        <v>52</v>
      </c>
      <c r="E9" s="199" t="s">
        <v>36</v>
      </c>
      <c r="F9" s="195">
        <f t="shared" si="3"/>
        <v>0.11455108359133129</v>
      </c>
      <c r="G9" s="189"/>
      <c r="H9" s="196">
        <f>'Tabula data'!B25*'Gebouwgegevens Tabula 2zone'!C45</f>
        <v>3.7</v>
      </c>
      <c r="I9" s="208"/>
      <c r="K9" t="s">
        <v>49</v>
      </c>
      <c r="L9" s="218">
        <v>0</v>
      </c>
      <c r="M9" s="219">
        <v>1</v>
      </c>
      <c r="N9" s="219" t="s">
        <v>25</v>
      </c>
      <c r="O9" s="220">
        <v>0</v>
      </c>
      <c r="P9" s="221" t="s">
        <v>50</v>
      </c>
      <c r="Q9" s="30">
        <f t="shared" si="4"/>
        <v>0.99033657090706906</v>
      </c>
      <c r="R9" s="30">
        <f t="shared" si="5"/>
        <v>0</v>
      </c>
      <c r="S9" s="30">
        <f t="shared" si="6"/>
        <v>0</v>
      </c>
      <c r="T9" s="30" t="e">
        <f t="shared" si="7"/>
        <v>#DIV/0!</v>
      </c>
      <c r="U9" s="30">
        <f t="shared" si="8"/>
        <v>0</v>
      </c>
      <c r="V9" s="31"/>
      <c r="W9" s="3"/>
      <c r="X9" s="188"/>
      <c r="Y9" s="199" t="s">
        <v>51</v>
      </c>
      <c r="Z9" s="189">
        <v>0.04</v>
      </c>
      <c r="AA9" s="189">
        <v>0.04</v>
      </c>
      <c r="AB9" s="189">
        <v>80</v>
      </c>
      <c r="AC9" s="189">
        <v>840</v>
      </c>
      <c r="AD9" s="236">
        <f>Z9/AA9</f>
        <v>1</v>
      </c>
      <c r="AE9" s="190">
        <f>Z9*AB9*AC9</f>
        <v>2688</v>
      </c>
      <c r="AF9" s="149" t="s">
        <v>270</v>
      </c>
      <c r="AG9" s="14"/>
      <c r="AH9" s="14"/>
      <c r="AM9" s="159" t="s">
        <v>319</v>
      </c>
      <c r="AN9" s="81" t="s">
        <v>320</v>
      </c>
      <c r="AO9" s="81" t="s">
        <v>327</v>
      </c>
      <c r="AP9" s="167">
        <f>B34*1.04*1012*5</f>
        <v>1768166.3999999999</v>
      </c>
      <c r="AQ9" s="81" t="s">
        <v>322</v>
      </c>
      <c r="AR9" s="167">
        <v>2745646</v>
      </c>
      <c r="AV9" s="168" t="s">
        <v>319</v>
      </c>
      <c r="AW9" s="168" t="s">
        <v>320</v>
      </c>
      <c r="AX9" s="168" t="s">
        <v>327</v>
      </c>
      <c r="AY9" s="169" t="s">
        <v>323</v>
      </c>
      <c r="AZ9" s="162">
        <f>AP9</f>
        <v>1768166.3999999999</v>
      </c>
      <c r="BA9" s="168" t="s">
        <v>322</v>
      </c>
      <c r="BC9" s="81" t="s">
        <v>392</v>
      </c>
      <c r="BD9" s="167">
        <v>297</v>
      </c>
      <c r="BE9" s="167">
        <v>9.3200000000000005E-2</v>
      </c>
      <c r="BF9" s="81">
        <v>3182.59</v>
      </c>
      <c r="BG9" s="81" t="s">
        <v>388</v>
      </c>
      <c r="BH9" s="81"/>
      <c r="BJ9" s="175" t="s">
        <v>319</v>
      </c>
      <c r="BK9" s="175" t="s">
        <v>320</v>
      </c>
      <c r="BL9" s="175" t="s">
        <v>327</v>
      </c>
      <c r="BM9" s="175" t="s">
        <v>323</v>
      </c>
      <c r="BN9" s="174">
        <f>BD19</f>
        <v>2950000</v>
      </c>
      <c r="BO9" s="175" t="s">
        <v>322</v>
      </c>
      <c r="BQ9" s="81" t="s">
        <v>392</v>
      </c>
      <c r="BR9" s="167">
        <v>290</v>
      </c>
      <c r="BS9" s="167">
        <v>0.124</v>
      </c>
      <c r="BT9" s="81">
        <v>2333.5300000000002</v>
      </c>
      <c r="BU9" s="81" t="s">
        <v>422</v>
      </c>
      <c r="BV9" s="167">
        <v>2E-16</v>
      </c>
      <c r="BW9" s="81" t="s">
        <v>389</v>
      </c>
      <c r="BY9" s="178" t="s">
        <v>319</v>
      </c>
      <c r="BZ9" s="178" t="s">
        <v>320</v>
      </c>
      <c r="CA9" s="178" t="s">
        <v>326</v>
      </c>
      <c r="CB9" s="178" t="s">
        <v>323</v>
      </c>
      <c r="CC9" s="177">
        <f>BR14</f>
        <v>0.20300000000000001</v>
      </c>
      <c r="CD9" s="178" t="s">
        <v>322</v>
      </c>
      <c r="CO9" s="81" t="s">
        <v>328</v>
      </c>
      <c r="CP9" s="256">
        <f t="shared" si="0"/>
        <v>13429671.581219645</v>
      </c>
      <c r="CQ9" s="256">
        <f t="shared" si="1"/>
        <v>23100000</v>
      </c>
      <c r="CR9" s="256">
        <f t="shared" si="2"/>
        <v>32200000</v>
      </c>
      <c r="CU9" s="258" t="s">
        <v>442</v>
      </c>
      <c r="CV9" s="258" t="s">
        <v>391</v>
      </c>
      <c r="CW9" s="259">
        <v>295</v>
      </c>
      <c r="CX9" s="259">
        <v>3.8699999999999998E-2</v>
      </c>
      <c r="CY9" s="258">
        <v>7633.73</v>
      </c>
      <c r="CZ9" s="258" t="s">
        <v>422</v>
      </c>
      <c r="DA9" s="167">
        <v>2E-16</v>
      </c>
      <c r="DB9" s="81" t="s">
        <v>389</v>
      </c>
      <c r="DC9" s="260" t="s">
        <v>467</v>
      </c>
      <c r="DD9" s="264" t="s">
        <v>472</v>
      </c>
      <c r="DE9" s="261" t="s">
        <v>323</v>
      </c>
      <c r="DF9" s="262">
        <f t="shared" si="9"/>
        <v>0.78500000000000003</v>
      </c>
      <c r="DG9" s="260" t="s">
        <v>322</v>
      </c>
      <c r="DI9" s="170" t="s">
        <v>467</v>
      </c>
      <c r="DJ9" s="293" t="s">
        <v>472</v>
      </c>
      <c r="DK9" s="291" t="s">
        <v>323</v>
      </c>
      <c r="DL9" s="170">
        <f>$O$11*$Z$37*$AP$5</f>
        <v>1.2292708267831893</v>
      </c>
      <c r="DM9" s="170" t="s">
        <v>322</v>
      </c>
      <c r="DO9" s="298" t="s">
        <v>442</v>
      </c>
      <c r="DP9" s="298" t="s">
        <v>391</v>
      </c>
      <c r="DQ9" s="302">
        <v>296</v>
      </c>
      <c r="DR9" s="302">
        <v>9.5000000000000001E-2</v>
      </c>
      <c r="DS9" s="298">
        <v>3111.48</v>
      </c>
      <c r="DT9" s="298" t="s">
        <v>422</v>
      </c>
      <c r="DU9" s="302">
        <v>2E-16</v>
      </c>
      <c r="DV9" s="298" t="s">
        <v>389</v>
      </c>
      <c r="DW9" s="299" t="s">
        <v>467</v>
      </c>
      <c r="DX9" s="304" t="s">
        <v>472</v>
      </c>
      <c r="DY9" s="300" t="s">
        <v>323</v>
      </c>
      <c r="DZ9" s="301">
        <f t="shared" si="10"/>
        <v>0.69099999999999995</v>
      </c>
      <c r="EA9" s="299" t="s">
        <v>322</v>
      </c>
    </row>
    <row r="10" spans="1:131" ht="15" customHeight="1" thickTop="1" thickBot="1" x14ac:dyDescent="0.3">
      <c r="A10" s="188"/>
      <c r="B10" s="189"/>
      <c r="C10" s="189"/>
      <c r="D10" s="194" t="s">
        <v>35</v>
      </c>
      <c r="E10" s="199" t="s">
        <v>56</v>
      </c>
      <c r="F10" s="195">
        <f t="shared" si="3"/>
        <v>0.12074303405572756</v>
      </c>
      <c r="G10" s="189"/>
      <c r="H10" s="200">
        <f>'Tabula data'!B22*(1-C45)</f>
        <v>3.9</v>
      </c>
      <c r="I10" s="206"/>
      <c r="K10" t="s">
        <v>53</v>
      </c>
      <c r="L10" s="218">
        <v>0</v>
      </c>
      <c r="M10" s="219">
        <v>1</v>
      </c>
      <c r="N10" s="219" t="s">
        <v>54</v>
      </c>
      <c r="O10" s="220">
        <f>H6</f>
        <v>3.9</v>
      </c>
      <c r="P10" s="221" t="s">
        <v>26</v>
      </c>
      <c r="Q10" s="30">
        <f t="shared" si="4"/>
        <v>3.5</v>
      </c>
      <c r="R10" s="30">
        <f t="shared" si="5"/>
        <v>13.65</v>
      </c>
      <c r="S10" s="30">
        <f t="shared" si="6"/>
        <v>0</v>
      </c>
      <c r="T10" s="30">
        <f t="shared" si="7"/>
        <v>0</v>
      </c>
      <c r="U10" s="30">
        <f t="shared" si="8"/>
        <v>0</v>
      </c>
      <c r="V10" s="31"/>
      <c r="W10" s="3"/>
      <c r="X10" s="205"/>
      <c r="Y10" s="187" t="s">
        <v>58</v>
      </c>
      <c r="Z10" s="187">
        <v>0.02</v>
      </c>
      <c r="AA10" s="187">
        <v>0.6</v>
      </c>
      <c r="AB10" s="187">
        <v>975</v>
      </c>
      <c r="AC10" s="187">
        <v>840</v>
      </c>
      <c r="AD10" s="237">
        <f>Z10/AA10</f>
        <v>3.3333333333333333E-2</v>
      </c>
      <c r="AE10" s="210">
        <f>Z10*AB10*AC10</f>
        <v>16380</v>
      </c>
      <c r="AF10" s="14"/>
      <c r="AG10" s="14"/>
      <c r="AH10" s="14"/>
      <c r="AM10" s="159" t="s">
        <v>319</v>
      </c>
      <c r="AN10" s="81" t="s">
        <v>320</v>
      </c>
      <c r="AO10" s="81" t="s">
        <v>328</v>
      </c>
      <c r="AP10" s="167">
        <f>SUM(U6:U9)</f>
        <v>13429671.581219645</v>
      </c>
      <c r="AQ10" s="81" t="s">
        <v>322</v>
      </c>
      <c r="AR10" s="167">
        <v>14395560</v>
      </c>
      <c r="AV10" s="168" t="s">
        <v>319</v>
      </c>
      <c r="AW10" s="168" t="s">
        <v>320</v>
      </c>
      <c r="AX10" s="168" t="s">
        <v>328</v>
      </c>
      <c r="AY10" s="169" t="s">
        <v>323</v>
      </c>
      <c r="AZ10" s="162">
        <f>AP10</f>
        <v>13429671.581219645</v>
      </c>
      <c r="BA10" s="168" t="s">
        <v>322</v>
      </c>
      <c r="BC10" s="81" t="s">
        <v>393</v>
      </c>
      <c r="BD10" s="167">
        <v>297</v>
      </c>
      <c r="BE10" s="167">
        <v>2.92E-2</v>
      </c>
      <c r="BF10" s="81">
        <v>10162.700000000001</v>
      </c>
      <c r="BG10" s="81" t="s">
        <v>388</v>
      </c>
      <c r="BH10" s="81"/>
      <c r="BJ10" s="175" t="s">
        <v>319</v>
      </c>
      <c r="BK10" s="175" t="s">
        <v>320</v>
      </c>
      <c r="BL10" s="175" t="s">
        <v>328</v>
      </c>
      <c r="BM10" s="175" t="s">
        <v>323</v>
      </c>
      <c r="BN10" s="174">
        <f>BD20</f>
        <v>23100000</v>
      </c>
      <c r="BO10" s="175" t="s">
        <v>322</v>
      </c>
      <c r="BQ10" s="81" t="s">
        <v>393</v>
      </c>
      <c r="BR10" s="167">
        <v>292</v>
      </c>
      <c r="BS10" s="167">
        <v>7.2499999999999995E-2</v>
      </c>
      <c r="BT10" s="81">
        <v>4026.39</v>
      </c>
      <c r="BU10" s="81" t="s">
        <v>422</v>
      </c>
      <c r="BV10" s="167">
        <v>2E-16</v>
      </c>
      <c r="BW10" s="81" t="s">
        <v>389</v>
      </c>
      <c r="BY10" s="178"/>
      <c r="BZ10" s="178"/>
      <c r="CA10" s="178"/>
      <c r="CB10" s="178"/>
      <c r="CC10" s="179"/>
      <c r="CD10" s="178"/>
      <c r="CO10" s="81" t="s">
        <v>329</v>
      </c>
      <c r="CP10" s="256">
        <f t="shared" si="0"/>
        <v>14644885.483000543</v>
      </c>
      <c r="CQ10" s="256">
        <f t="shared" si="1"/>
        <v>30400000</v>
      </c>
      <c r="CR10" s="256">
        <f t="shared" si="2"/>
        <v>25400000</v>
      </c>
      <c r="CU10" s="258" t="s">
        <v>442</v>
      </c>
      <c r="CV10" s="258" t="s">
        <v>392</v>
      </c>
      <c r="CW10" s="259">
        <v>290</v>
      </c>
      <c r="CX10" s="259">
        <v>6.3E-2</v>
      </c>
      <c r="CY10" s="258">
        <v>4600.6499999999996</v>
      </c>
      <c r="CZ10" s="258" t="s">
        <v>422</v>
      </c>
      <c r="DA10" s="167">
        <v>2E-16</v>
      </c>
      <c r="DB10" s="81" t="s">
        <v>389</v>
      </c>
      <c r="DC10" s="260" t="s">
        <v>467</v>
      </c>
      <c r="DD10" s="264" t="s">
        <v>473</v>
      </c>
      <c r="DE10" s="261" t="s">
        <v>323</v>
      </c>
      <c r="DF10" s="262">
        <f t="shared" si="9"/>
        <v>0.58899999999999997</v>
      </c>
      <c r="DG10" s="260" t="s">
        <v>322</v>
      </c>
      <c r="DI10" s="170" t="s">
        <v>467</v>
      </c>
      <c r="DJ10" s="293" t="s">
        <v>473</v>
      </c>
      <c r="DK10" s="291" t="s">
        <v>323</v>
      </c>
      <c r="DL10" s="170">
        <f>$O$10*$Z$37*$AP$5</f>
        <v>1.1985390561136096</v>
      </c>
      <c r="DM10" s="170" t="s">
        <v>322</v>
      </c>
      <c r="DO10" s="298" t="s">
        <v>442</v>
      </c>
      <c r="DP10" s="298" t="s">
        <v>392</v>
      </c>
      <c r="DQ10" s="302">
        <v>291</v>
      </c>
      <c r="DR10" s="302">
        <v>0.17399999999999999</v>
      </c>
      <c r="DS10" s="298">
        <v>1665.48</v>
      </c>
      <c r="DT10" s="298" t="s">
        <v>422</v>
      </c>
      <c r="DU10" s="302">
        <v>2E-16</v>
      </c>
      <c r="DV10" s="298" t="s">
        <v>389</v>
      </c>
      <c r="DW10" s="299" t="s">
        <v>467</v>
      </c>
      <c r="DX10" s="304" t="s">
        <v>473</v>
      </c>
      <c r="DY10" s="300" t="s">
        <v>323</v>
      </c>
      <c r="DZ10" s="301">
        <f t="shared" si="10"/>
        <v>0.53600000000000003</v>
      </c>
      <c r="EA10" s="299" t="s">
        <v>322</v>
      </c>
    </row>
    <row r="11" spans="1:131" ht="15" customHeight="1" thickTop="1" thickBot="1" x14ac:dyDescent="0.3">
      <c r="A11" s="188"/>
      <c r="B11" s="189"/>
      <c r="C11" s="189"/>
      <c r="D11" s="194" t="s">
        <v>43</v>
      </c>
      <c r="E11" s="199" t="s">
        <v>56</v>
      </c>
      <c r="F11" s="195">
        <f t="shared" si="3"/>
        <v>0.12383900928792571</v>
      </c>
      <c r="G11" s="189"/>
      <c r="H11" s="200">
        <f>'Tabula data'!B23*(1-'Gebouwgegevens Tabula 2zone'!C45)</f>
        <v>4</v>
      </c>
      <c r="I11" s="206"/>
      <c r="K11" t="s">
        <v>57</v>
      </c>
      <c r="L11" s="218">
        <v>0</v>
      </c>
      <c r="M11" s="219">
        <v>1</v>
      </c>
      <c r="N11" s="219" t="s">
        <v>54</v>
      </c>
      <c r="O11" s="220">
        <f>H7</f>
        <v>4</v>
      </c>
      <c r="P11" s="221" t="s">
        <v>39</v>
      </c>
      <c r="Q11" s="30">
        <f t="shared" si="4"/>
        <v>3.5</v>
      </c>
      <c r="R11" s="30">
        <f t="shared" si="5"/>
        <v>14</v>
      </c>
      <c r="S11" s="30">
        <f t="shared" si="6"/>
        <v>0</v>
      </c>
      <c r="T11" s="30">
        <f t="shared" si="7"/>
        <v>0</v>
      </c>
      <c r="U11" s="30">
        <f t="shared" si="8"/>
        <v>0</v>
      </c>
      <c r="V11" s="31"/>
      <c r="W11" s="3"/>
      <c r="X11" s="189"/>
      <c r="Y11" s="189"/>
      <c r="Z11" s="238"/>
      <c r="AA11" s="238"/>
      <c r="AB11" s="238"/>
      <c r="AC11" s="189"/>
      <c r="AD11" s="236"/>
      <c r="AE11" s="189"/>
      <c r="AF11" s="14"/>
      <c r="AG11" s="14"/>
      <c r="AH11" s="14"/>
      <c r="AM11" s="159" t="s">
        <v>319</v>
      </c>
      <c r="AN11" s="81" t="s">
        <v>320</v>
      </c>
      <c r="AO11" s="81" t="s">
        <v>329</v>
      </c>
      <c r="AP11" s="167">
        <f>SUM(U27,U30)</f>
        <v>14644885.483000543</v>
      </c>
      <c r="AQ11" s="81" t="s">
        <v>322</v>
      </c>
      <c r="AR11" s="167">
        <v>26154150</v>
      </c>
      <c r="AV11" s="168" t="s">
        <v>319</v>
      </c>
      <c r="AW11" s="168" t="s">
        <v>320</v>
      </c>
      <c r="AX11" s="168" t="s">
        <v>329</v>
      </c>
      <c r="AY11" s="169" t="s">
        <v>323</v>
      </c>
      <c r="AZ11" s="162">
        <f>AP11</f>
        <v>14644885.483000543</v>
      </c>
      <c r="BA11" s="168" t="s">
        <v>322</v>
      </c>
      <c r="BC11" s="81" t="s">
        <v>394</v>
      </c>
      <c r="BD11" s="167">
        <v>0.16</v>
      </c>
      <c r="BE11" s="167">
        <v>1.5399999999999999E-3</v>
      </c>
      <c r="BF11" s="81">
        <v>103.9</v>
      </c>
      <c r="BG11" s="81" t="s">
        <v>388</v>
      </c>
      <c r="BH11" s="81"/>
      <c r="BJ11" s="175" t="s">
        <v>319</v>
      </c>
      <c r="BK11" s="175" t="s">
        <v>320</v>
      </c>
      <c r="BL11" s="175" t="s">
        <v>329</v>
      </c>
      <c r="BM11" s="175" t="s">
        <v>323</v>
      </c>
      <c r="BN11" s="174">
        <f>BD21</f>
        <v>30400000</v>
      </c>
      <c r="BO11" s="175" t="s">
        <v>322</v>
      </c>
      <c r="BQ11" s="81" t="s">
        <v>394</v>
      </c>
      <c r="BR11" s="167">
        <v>0.19</v>
      </c>
      <c r="BS11" s="167">
        <v>2.31E-3</v>
      </c>
      <c r="BT11" s="81">
        <v>82.21</v>
      </c>
      <c r="BU11" s="81" t="s">
        <v>422</v>
      </c>
      <c r="BV11" s="167">
        <v>2E-16</v>
      </c>
      <c r="BW11" s="81" t="s">
        <v>389</v>
      </c>
      <c r="BY11" s="178" t="s">
        <v>319</v>
      </c>
      <c r="BZ11" s="178" t="s">
        <v>320</v>
      </c>
      <c r="CA11" s="178" t="s">
        <v>327</v>
      </c>
      <c r="CB11" s="178" t="s">
        <v>323</v>
      </c>
      <c r="CC11" s="179">
        <f>BR19</f>
        <v>3560000</v>
      </c>
      <c r="CD11" s="178" t="s">
        <v>322</v>
      </c>
      <c r="CO11" s="81" t="s">
        <v>330</v>
      </c>
      <c r="CP11" s="256">
        <f t="shared" si="0"/>
        <v>10652160</v>
      </c>
      <c r="CQ11" s="256">
        <f t="shared" si="1"/>
        <v>15600000</v>
      </c>
      <c r="CR11" s="256">
        <f t="shared" si="2"/>
        <v>0</v>
      </c>
      <c r="CU11" s="258" t="s">
        <v>442</v>
      </c>
      <c r="CV11" s="258" t="s">
        <v>393</v>
      </c>
      <c r="CW11" s="259">
        <v>293</v>
      </c>
      <c r="CX11" s="259">
        <v>4.1500000000000002E-2</v>
      </c>
      <c r="CY11" s="258">
        <v>7052.39</v>
      </c>
      <c r="CZ11" s="258" t="s">
        <v>422</v>
      </c>
      <c r="DA11" s="167">
        <v>2E-16</v>
      </c>
      <c r="DB11" s="81" t="s">
        <v>389</v>
      </c>
      <c r="DC11" s="260" t="s">
        <v>467</v>
      </c>
      <c r="DD11" s="264" t="s">
        <v>474</v>
      </c>
      <c r="DE11" s="261" t="s">
        <v>323</v>
      </c>
      <c r="DF11" s="262">
        <f t="shared" si="9"/>
        <v>0.78300000000000003</v>
      </c>
      <c r="DG11" s="260" t="s">
        <v>322</v>
      </c>
      <c r="DI11" s="170" t="s">
        <v>467</v>
      </c>
      <c r="DJ11" s="293" t="s">
        <v>474</v>
      </c>
      <c r="DK11" s="291" t="s">
        <v>323</v>
      </c>
      <c r="DL11" s="170">
        <f>$O$12*$Z$37*$AP$5</f>
        <v>1.3982955654658777</v>
      </c>
      <c r="DM11" s="170" t="s">
        <v>322</v>
      </c>
      <c r="DO11" s="298" t="s">
        <v>442</v>
      </c>
      <c r="DP11" s="298" t="s">
        <v>393</v>
      </c>
      <c r="DQ11" s="302">
        <v>293</v>
      </c>
      <c r="DR11" s="302">
        <v>9.1700000000000004E-2</v>
      </c>
      <c r="DS11" s="298">
        <v>3189.47</v>
      </c>
      <c r="DT11" s="298" t="s">
        <v>422</v>
      </c>
      <c r="DU11" s="302">
        <v>2E-16</v>
      </c>
      <c r="DV11" s="298" t="s">
        <v>389</v>
      </c>
      <c r="DW11" s="299" t="s">
        <v>467</v>
      </c>
      <c r="DX11" s="304" t="s">
        <v>474</v>
      </c>
      <c r="DY11" s="300" t="s">
        <v>323</v>
      </c>
      <c r="DZ11" s="301">
        <f t="shared" si="10"/>
        <v>0.76100000000000001</v>
      </c>
      <c r="EA11" s="299" t="s">
        <v>322</v>
      </c>
    </row>
    <row r="12" spans="1:131" ht="15" customHeight="1" thickTop="1" thickBot="1" x14ac:dyDescent="0.3">
      <c r="A12" s="188"/>
      <c r="B12" s="189"/>
      <c r="C12" s="189"/>
      <c r="D12" s="194" t="s">
        <v>48</v>
      </c>
      <c r="E12" s="199" t="s">
        <v>56</v>
      </c>
      <c r="F12" s="195">
        <f t="shared" si="3"/>
        <v>0.1408668730650155</v>
      </c>
      <c r="G12" s="189"/>
      <c r="H12" s="200">
        <f>'Tabula data'!B24*(1-'Gebouwgegevens Tabula 2zone'!C45)</f>
        <v>4.55</v>
      </c>
      <c r="I12" s="206"/>
      <c r="K12" t="s">
        <v>59</v>
      </c>
      <c r="L12" s="218">
        <v>0</v>
      </c>
      <c r="M12" s="219">
        <v>1</v>
      </c>
      <c r="N12" s="219" t="s">
        <v>54</v>
      </c>
      <c r="O12" s="220">
        <f>H8</f>
        <v>4.55</v>
      </c>
      <c r="P12" s="221" t="s">
        <v>45</v>
      </c>
      <c r="Q12" s="30">
        <f t="shared" si="4"/>
        <v>3.5</v>
      </c>
      <c r="R12" s="30">
        <f t="shared" si="5"/>
        <v>15.924999999999999</v>
      </c>
      <c r="S12" s="30">
        <f t="shared" si="6"/>
        <v>0</v>
      </c>
      <c r="T12" s="30">
        <f t="shared" si="7"/>
        <v>0</v>
      </c>
      <c r="U12" s="30">
        <f t="shared" si="8"/>
        <v>0</v>
      </c>
      <c r="V12" s="31"/>
      <c r="W12" s="3"/>
      <c r="X12" s="226"/>
      <c r="Y12" s="226"/>
      <c r="Z12" s="227" t="s">
        <v>4</v>
      </c>
      <c r="AA12" s="227">
        <v>1</v>
      </c>
      <c r="AB12" s="227" t="s">
        <v>5</v>
      </c>
      <c r="AC12" s="226"/>
      <c r="AD12" s="226"/>
      <c r="AE12" s="226"/>
      <c r="AF12" s="14"/>
      <c r="AG12" s="14"/>
      <c r="AH12" s="14"/>
      <c r="AM12" s="159" t="s">
        <v>319</v>
      </c>
      <c r="AN12" s="81" t="s">
        <v>320</v>
      </c>
      <c r="AO12" s="81" t="s">
        <v>330</v>
      </c>
      <c r="AP12" s="167">
        <f>SUM(U14)</f>
        <v>10652160</v>
      </c>
      <c r="AQ12" s="81" t="s">
        <v>322</v>
      </c>
      <c r="AR12" s="167">
        <v>12228720</v>
      </c>
      <c r="AV12" s="168" t="s">
        <v>319</v>
      </c>
      <c r="AW12" s="168" t="s">
        <v>320</v>
      </c>
      <c r="AX12" s="168" t="s">
        <v>330</v>
      </c>
      <c r="AY12" s="169" t="s">
        <v>323</v>
      </c>
      <c r="AZ12" s="162">
        <f>AP12</f>
        <v>10652160</v>
      </c>
      <c r="BA12" s="168" t="s">
        <v>322</v>
      </c>
      <c r="BC12" s="81" t="s">
        <v>395</v>
      </c>
      <c r="BD12" s="167">
        <v>0.318</v>
      </c>
      <c r="BE12" s="167">
        <v>2.1299999999999999E-3</v>
      </c>
      <c r="BF12" s="81">
        <v>149.15</v>
      </c>
      <c r="BG12" s="81" t="s">
        <v>388</v>
      </c>
      <c r="BH12" s="81"/>
      <c r="BJ12" s="175" t="s">
        <v>319</v>
      </c>
      <c r="BK12" s="175" t="s">
        <v>320</v>
      </c>
      <c r="BL12" s="175" t="s">
        <v>330</v>
      </c>
      <c r="BM12" s="175" t="s">
        <v>323</v>
      </c>
      <c r="BN12" s="174">
        <f>BD18</f>
        <v>15600000</v>
      </c>
      <c r="BO12" s="175" t="s">
        <v>322</v>
      </c>
      <c r="BQ12" s="81" t="s">
        <v>395</v>
      </c>
      <c r="BR12" s="167">
        <v>0.38</v>
      </c>
      <c r="BS12" s="167">
        <v>1.3600000000000001E-3</v>
      </c>
      <c r="BT12" s="81">
        <v>278.99</v>
      </c>
      <c r="BU12" s="81" t="s">
        <v>422</v>
      </c>
      <c r="BV12" s="167">
        <v>2E-16</v>
      </c>
      <c r="BW12" s="81" t="s">
        <v>389</v>
      </c>
      <c r="BY12" s="178" t="s">
        <v>319</v>
      </c>
      <c r="BZ12" s="178" t="s">
        <v>320</v>
      </c>
      <c r="CA12" s="178" t="s">
        <v>328</v>
      </c>
      <c r="CB12" s="178" t="s">
        <v>323</v>
      </c>
      <c r="CC12" s="179">
        <f>BR20</f>
        <v>32200000</v>
      </c>
      <c r="CD12" s="178" t="s">
        <v>322</v>
      </c>
      <c r="CP12" s="255"/>
      <c r="CQ12" s="255"/>
      <c r="CR12" s="255"/>
      <c r="CU12" s="258" t="s">
        <v>442</v>
      </c>
      <c r="CV12" s="258" t="s">
        <v>444</v>
      </c>
      <c r="CW12" s="259">
        <v>0.34599999999999997</v>
      </c>
      <c r="CX12" s="259">
        <v>1.5299999999999999E-2</v>
      </c>
      <c r="CY12" s="258">
        <v>22.69</v>
      </c>
      <c r="CZ12" s="258" t="s">
        <v>422</v>
      </c>
      <c r="DA12" s="167">
        <v>2E-16</v>
      </c>
      <c r="DB12" s="81" t="s">
        <v>389</v>
      </c>
      <c r="DC12" s="260" t="s">
        <v>467</v>
      </c>
      <c r="DD12" s="263" t="s">
        <v>475</v>
      </c>
      <c r="DE12" s="261" t="s">
        <v>323</v>
      </c>
      <c r="DF12" s="262">
        <f t="shared" si="9"/>
        <v>0.67</v>
      </c>
      <c r="DG12" s="260" t="s">
        <v>322</v>
      </c>
      <c r="DI12" s="170" t="s">
        <v>467</v>
      </c>
      <c r="DJ12" s="292" t="s">
        <v>475</v>
      </c>
      <c r="DK12" s="291" t="s">
        <v>323</v>
      </c>
      <c r="DL12" s="170">
        <f>$O$13*$Z$37*$AP$5</f>
        <v>1.1370755147744502</v>
      </c>
      <c r="DM12" s="170" t="s">
        <v>322</v>
      </c>
      <c r="DO12" s="298" t="s">
        <v>442</v>
      </c>
      <c r="DP12" s="298" t="s">
        <v>444</v>
      </c>
      <c r="DQ12" s="302">
        <v>0.40100000000000002</v>
      </c>
      <c r="DR12" s="302">
        <v>4.2700000000000002E-2</v>
      </c>
      <c r="DS12" s="298">
        <v>9.41</v>
      </c>
      <c r="DT12" s="298" t="s">
        <v>422</v>
      </c>
      <c r="DU12" s="302">
        <v>2E-16</v>
      </c>
      <c r="DV12" s="298" t="s">
        <v>389</v>
      </c>
      <c r="DW12" s="299" t="s">
        <v>467</v>
      </c>
      <c r="DX12" s="303" t="s">
        <v>475</v>
      </c>
      <c r="DY12" s="300" t="s">
        <v>323</v>
      </c>
      <c r="DZ12" s="301">
        <f t="shared" si="10"/>
        <v>0.53100000000000003</v>
      </c>
      <c r="EA12" s="299" t="s">
        <v>322</v>
      </c>
    </row>
    <row r="13" spans="1:131" ht="15" customHeight="1" thickTop="1" thickBot="1" x14ac:dyDescent="0.3">
      <c r="A13" s="188"/>
      <c r="B13" s="189"/>
      <c r="C13" s="189"/>
      <c r="D13" s="194" t="s">
        <v>52</v>
      </c>
      <c r="E13" s="199" t="s">
        <v>56</v>
      </c>
      <c r="F13" s="195">
        <f t="shared" si="3"/>
        <v>0.11455108359133129</v>
      </c>
      <c r="G13" s="189"/>
      <c r="H13" s="200">
        <f>'Tabula data'!B25*(1-'Gebouwgegevens Tabula 2zone'!C45)</f>
        <v>3.7</v>
      </c>
      <c r="I13" s="206"/>
      <c r="K13" t="s">
        <v>60</v>
      </c>
      <c r="L13" s="218">
        <v>0</v>
      </c>
      <c r="M13" s="219">
        <v>1</v>
      </c>
      <c r="N13" s="219" t="s">
        <v>54</v>
      </c>
      <c r="O13" s="220">
        <f>H9</f>
        <v>3.7</v>
      </c>
      <c r="P13" s="221" t="s">
        <v>50</v>
      </c>
      <c r="Q13" s="30">
        <f t="shared" si="4"/>
        <v>3.5</v>
      </c>
      <c r="R13" s="30">
        <f t="shared" si="5"/>
        <v>12.950000000000001</v>
      </c>
      <c r="S13" s="30">
        <f t="shared" si="6"/>
        <v>0</v>
      </c>
      <c r="T13" s="30">
        <f t="shared" si="7"/>
        <v>0</v>
      </c>
      <c r="U13" s="30">
        <f t="shared" si="8"/>
        <v>0</v>
      </c>
      <c r="V13" s="31"/>
      <c r="W13" s="3"/>
      <c r="X13" s="228" t="s">
        <v>64</v>
      </c>
      <c r="Y13" s="229"/>
      <c r="Z13" s="230" t="s">
        <v>21</v>
      </c>
      <c r="AA13" s="231">
        <f>1/(1/8+SUM(AD15:AD19)+1/23)</f>
        <v>0.99033657090706906</v>
      </c>
      <c r="AB13" s="229" t="s">
        <v>5</v>
      </c>
      <c r="AC13" s="229"/>
      <c r="AD13" s="229" t="s">
        <v>22</v>
      </c>
      <c r="AE13" s="232">
        <f>SUM(AE15:AE20)</f>
        <v>444802.20000000007</v>
      </c>
      <c r="AF13" s="14" t="s">
        <v>23</v>
      </c>
      <c r="AG13" s="14">
        <f>SUM(AE18:AE19)</f>
        <v>181020.00000000003</v>
      </c>
      <c r="AH13" s="14"/>
      <c r="AP13" s="167"/>
      <c r="AQ13" s="81" t="s">
        <v>322</v>
      </c>
      <c r="AR13" s="167"/>
      <c r="AV13" s="168"/>
      <c r="AW13" s="168"/>
      <c r="AX13" s="168"/>
      <c r="AY13" s="169"/>
      <c r="BA13" s="168"/>
      <c r="BC13" s="81" t="s">
        <v>396</v>
      </c>
      <c r="BD13" s="167">
        <v>0.26200000000000001</v>
      </c>
      <c r="BE13" s="167">
        <v>8.6800000000000002E-3</v>
      </c>
      <c r="BF13" s="81">
        <v>30.21</v>
      </c>
      <c r="BG13" s="81" t="s">
        <v>388</v>
      </c>
      <c r="BH13" s="81"/>
      <c r="BJ13" s="175"/>
      <c r="BK13" s="175"/>
      <c r="BL13" s="175"/>
      <c r="BM13" s="175"/>
      <c r="BN13" s="174"/>
      <c r="BO13" s="175"/>
      <c r="BQ13" s="81" t="s">
        <v>396</v>
      </c>
      <c r="BR13" s="167">
        <v>5.0500000000000003E-2</v>
      </c>
      <c r="BS13" s="167">
        <v>8.2699999999999996E-3</v>
      </c>
      <c r="BT13" s="81">
        <v>6.11</v>
      </c>
      <c r="BU13" s="167">
        <v>1.0999999999999999E-9</v>
      </c>
      <c r="BV13" s="81" t="s">
        <v>389</v>
      </c>
      <c r="BW13" s="81"/>
      <c r="BY13" s="178" t="s">
        <v>319</v>
      </c>
      <c r="BZ13" s="178" t="s">
        <v>320</v>
      </c>
      <c r="CA13" s="178" t="s">
        <v>329</v>
      </c>
      <c r="CB13" s="178" t="s">
        <v>323</v>
      </c>
      <c r="CC13" s="179">
        <f>BR21</f>
        <v>25400000</v>
      </c>
      <c r="CD13" s="178" t="s">
        <v>322</v>
      </c>
      <c r="CO13" s="81" t="s">
        <v>331</v>
      </c>
      <c r="CP13" s="254">
        <f t="shared" si="0"/>
        <v>4.851899087761509E-2</v>
      </c>
      <c r="CQ13" s="254">
        <f t="shared" si="1"/>
        <v>0.11700000000000001</v>
      </c>
      <c r="CR13" s="254">
        <f t="shared" si="2"/>
        <v>7.0400000000000004E-2</v>
      </c>
      <c r="CU13" s="258" t="s">
        <v>442</v>
      </c>
      <c r="CV13" s="258" t="s">
        <v>341</v>
      </c>
      <c r="CW13" s="259">
        <v>0.39300000000000002</v>
      </c>
      <c r="CX13" s="259">
        <v>3.6700000000000003E-2</v>
      </c>
      <c r="CY13" s="258">
        <v>10.69</v>
      </c>
      <c r="CZ13" s="259" t="s">
        <v>422</v>
      </c>
      <c r="DA13" s="167">
        <v>2E-16</v>
      </c>
      <c r="DB13" s="81" t="s">
        <v>389</v>
      </c>
      <c r="DC13" s="260" t="s">
        <v>467</v>
      </c>
      <c r="DD13" s="265" t="s">
        <v>476</v>
      </c>
      <c r="DE13" s="261" t="s">
        <v>323</v>
      </c>
      <c r="DF13" s="262">
        <f t="shared" si="9"/>
        <v>0.26200000000000001</v>
      </c>
      <c r="DG13" s="260" t="s">
        <v>322</v>
      </c>
      <c r="DI13" s="170" t="s">
        <v>467</v>
      </c>
      <c r="DJ13" s="294" t="s">
        <v>476</v>
      </c>
      <c r="DK13" s="291" t="s">
        <v>323</v>
      </c>
      <c r="DL13" s="170">
        <f>$O$11*$Z$37*$AP$6</f>
        <v>0.1084363564160026</v>
      </c>
      <c r="DM13" s="170" t="s">
        <v>322</v>
      </c>
      <c r="DO13" s="298" t="s">
        <v>442</v>
      </c>
      <c r="DP13" s="298" t="s">
        <v>341</v>
      </c>
      <c r="DQ13" s="302">
        <v>0.40500000000000003</v>
      </c>
      <c r="DR13" s="302">
        <v>0.10100000000000001</v>
      </c>
      <c r="DS13" s="298">
        <v>4</v>
      </c>
      <c r="DT13" s="302">
        <v>6.4999999999999994E-5</v>
      </c>
      <c r="DU13" s="302" t="s">
        <v>389</v>
      </c>
      <c r="DW13" s="299" t="s">
        <v>467</v>
      </c>
      <c r="DX13" s="305" t="s">
        <v>476</v>
      </c>
      <c r="DY13" s="300" t="s">
        <v>323</v>
      </c>
      <c r="DZ13" s="301">
        <f t="shared" si="10"/>
        <v>0.40300000000000002</v>
      </c>
      <c r="EA13" s="299" t="s">
        <v>322</v>
      </c>
    </row>
    <row r="14" spans="1:131" ht="15" customHeight="1" thickTop="1" thickBot="1" x14ac:dyDescent="0.3">
      <c r="A14" s="188"/>
      <c r="B14" s="189"/>
      <c r="C14" s="189"/>
      <c r="D14" s="201" t="s">
        <v>65</v>
      </c>
      <c r="E14" s="202"/>
      <c r="F14" s="202"/>
      <c r="G14" s="202"/>
      <c r="H14" s="203"/>
      <c r="I14" s="193"/>
      <c r="K14" t="s">
        <v>61</v>
      </c>
      <c r="L14" s="218" t="s">
        <v>62</v>
      </c>
      <c r="M14" s="219">
        <v>1</v>
      </c>
      <c r="N14" s="219" t="s">
        <v>63</v>
      </c>
      <c r="O14" s="220">
        <f>B7</f>
        <v>96</v>
      </c>
      <c r="P14" s="221"/>
      <c r="Q14" s="30">
        <f t="shared" si="4"/>
        <v>0.84168336673346678</v>
      </c>
      <c r="R14" s="30">
        <f t="shared" si="5"/>
        <v>80.801603206412807</v>
      </c>
      <c r="S14" s="30">
        <f t="shared" si="6"/>
        <v>36180768</v>
      </c>
      <c r="T14" s="30">
        <f t="shared" si="7"/>
        <v>376883</v>
      </c>
      <c r="U14" s="30">
        <f t="shared" si="8"/>
        <v>10652160</v>
      </c>
      <c r="V14" s="31"/>
      <c r="W14" s="3"/>
      <c r="X14" s="233"/>
      <c r="Y14" s="234" t="s">
        <v>27</v>
      </c>
      <c r="Z14" s="234" t="s">
        <v>28</v>
      </c>
      <c r="AA14" s="234" t="s">
        <v>29</v>
      </c>
      <c r="AB14" s="234" t="s">
        <v>30</v>
      </c>
      <c r="AC14" s="234" t="s">
        <v>31</v>
      </c>
      <c r="AD14" s="234" t="s">
        <v>32</v>
      </c>
      <c r="AE14" s="235" t="s">
        <v>33</v>
      </c>
      <c r="AF14" s="14"/>
      <c r="AG14" s="14"/>
      <c r="AH14" s="14"/>
      <c r="AM14" s="159" t="s">
        <v>319</v>
      </c>
      <c r="AN14" s="81" t="s">
        <v>320</v>
      </c>
      <c r="AO14" s="81" t="s">
        <v>331</v>
      </c>
      <c r="AP14" s="81">
        <f>AP4*0.2</f>
        <v>3.234599391841006E-2</v>
      </c>
      <c r="AQ14" s="81" t="s">
        <v>322</v>
      </c>
      <c r="AR14" s="167">
        <v>6.5890790000000005E-2</v>
      </c>
      <c r="AV14" s="168" t="s">
        <v>319</v>
      </c>
      <c r="AW14" s="168" t="s">
        <v>320</v>
      </c>
      <c r="AX14" s="168" t="s">
        <v>331</v>
      </c>
      <c r="AY14" s="169" t="s">
        <v>323</v>
      </c>
      <c r="AZ14" s="162">
        <f>AZ4*0.3</f>
        <v>4.851899087761509E-2</v>
      </c>
      <c r="BA14" s="168" t="s">
        <v>322</v>
      </c>
      <c r="BC14" s="81" t="s">
        <v>397</v>
      </c>
      <c r="BD14" s="167">
        <v>0.156</v>
      </c>
      <c r="BE14" s="167">
        <v>1.4499999999999999E-3</v>
      </c>
      <c r="BF14" s="81">
        <v>107.8</v>
      </c>
      <c r="BG14" s="81" t="s">
        <v>388</v>
      </c>
      <c r="BH14" s="81"/>
      <c r="BJ14" s="175" t="s">
        <v>319</v>
      </c>
      <c r="BK14" s="175" t="s">
        <v>320</v>
      </c>
      <c r="BL14" s="175" t="s">
        <v>331</v>
      </c>
      <c r="BM14" s="175" t="s">
        <v>323</v>
      </c>
      <c r="BN14" s="174">
        <f>BD27</f>
        <v>0.11700000000000001</v>
      </c>
      <c r="BO14" s="175" t="s">
        <v>322</v>
      </c>
      <c r="BQ14" s="81" t="s">
        <v>397</v>
      </c>
      <c r="BR14" s="167">
        <v>0.20300000000000001</v>
      </c>
      <c r="BS14" s="167">
        <v>1.14E-3</v>
      </c>
      <c r="BT14" s="81">
        <v>177.92</v>
      </c>
      <c r="BU14" s="81" t="s">
        <v>422</v>
      </c>
      <c r="BV14" s="167">
        <v>2E-16</v>
      </c>
      <c r="BW14" s="81" t="s">
        <v>389</v>
      </c>
      <c r="BY14" s="178" t="s">
        <v>319</v>
      </c>
      <c r="BZ14" s="178" t="s">
        <v>320</v>
      </c>
      <c r="CA14" s="178" t="s">
        <v>330</v>
      </c>
      <c r="CB14" s="178" t="s">
        <v>323</v>
      </c>
      <c r="CC14" s="179">
        <v>0</v>
      </c>
      <c r="CD14" s="178" t="s">
        <v>322</v>
      </c>
      <c r="CO14" s="81" t="s">
        <v>332</v>
      </c>
      <c r="CP14" s="254">
        <f t="shared" si="0"/>
        <v>0.11973417143992103</v>
      </c>
      <c r="CQ14" s="254">
        <f t="shared" si="1"/>
        <v>0.22500000000000001</v>
      </c>
      <c r="CR14" s="254">
        <f t="shared" si="2"/>
        <v>0.13700000000000001</v>
      </c>
      <c r="CU14" s="258" t="s">
        <v>442</v>
      </c>
      <c r="CV14" s="258" t="s">
        <v>445</v>
      </c>
      <c r="CW14" s="259">
        <v>0.43</v>
      </c>
      <c r="CX14" s="259">
        <v>8.94E-3</v>
      </c>
      <c r="CY14" s="258">
        <v>48.07</v>
      </c>
      <c r="CZ14" s="258" t="s">
        <v>422</v>
      </c>
      <c r="DA14" s="167">
        <v>2E-16</v>
      </c>
      <c r="DB14" s="81" t="s">
        <v>389</v>
      </c>
      <c r="DC14" s="260" t="s">
        <v>467</v>
      </c>
      <c r="DD14" s="265" t="s">
        <v>477</v>
      </c>
      <c r="DE14" s="261" t="s">
        <v>323</v>
      </c>
      <c r="DF14" s="262">
        <f t="shared" si="9"/>
        <v>1.08</v>
      </c>
      <c r="DG14" s="260" t="s">
        <v>322</v>
      </c>
      <c r="DI14" s="170" t="s">
        <v>467</v>
      </c>
      <c r="DJ14" s="294" t="s">
        <v>477</v>
      </c>
      <c r="DK14" s="291" t="s">
        <v>323</v>
      </c>
      <c r="DL14" s="170">
        <f>$O$10*$Z$37*$AP$6</f>
        <v>0.10572544750560255</v>
      </c>
      <c r="DM14" s="170" t="s">
        <v>322</v>
      </c>
      <c r="DO14" s="298" t="s">
        <v>442</v>
      </c>
      <c r="DP14" s="298" t="s">
        <v>445</v>
      </c>
      <c r="DQ14" s="302">
        <v>0.45800000000000002</v>
      </c>
      <c r="DR14" s="302">
        <v>2.1899999999999999E-2</v>
      </c>
      <c r="DS14" s="298">
        <v>20.96</v>
      </c>
      <c r="DT14" s="298" t="s">
        <v>422</v>
      </c>
      <c r="DU14" s="302">
        <v>2E-16</v>
      </c>
      <c r="DV14" s="298" t="s">
        <v>389</v>
      </c>
      <c r="DW14" s="299" t="s">
        <v>467</v>
      </c>
      <c r="DX14" s="305" t="s">
        <v>477</v>
      </c>
      <c r="DY14" s="300" t="s">
        <v>323</v>
      </c>
      <c r="DZ14" s="301">
        <f t="shared" si="10"/>
        <v>1.2</v>
      </c>
      <c r="EA14" s="299" t="s">
        <v>322</v>
      </c>
    </row>
    <row r="15" spans="1:131" ht="15" customHeight="1" thickTop="1" thickBot="1" x14ac:dyDescent="0.3">
      <c r="A15" s="188"/>
      <c r="B15" s="189"/>
      <c r="C15" s="189"/>
      <c r="D15" s="204"/>
      <c r="E15" s="189"/>
      <c r="F15" s="189"/>
      <c r="G15" s="189"/>
      <c r="H15" s="190"/>
      <c r="I15" s="189"/>
      <c r="K15" t="s">
        <v>66</v>
      </c>
      <c r="L15" s="218">
        <v>0</v>
      </c>
      <c r="M15" s="219">
        <v>1</v>
      </c>
      <c r="N15" s="219" t="s">
        <v>20</v>
      </c>
      <c r="O15" s="222">
        <v>0</v>
      </c>
      <c r="P15" s="221"/>
      <c r="Q15" s="30">
        <f t="shared" si="4"/>
        <v>0.84975369458128069</v>
      </c>
      <c r="R15" s="30">
        <f t="shared" si="5"/>
        <v>0</v>
      </c>
      <c r="S15" s="30">
        <f>VLOOKUP(N15,$X$5:$AE$391,8,0)*O25</f>
        <v>5942328</v>
      </c>
      <c r="T15" s="30">
        <f>S15/O25</f>
        <v>54768</v>
      </c>
      <c r="U15" s="30">
        <f>VLOOKUP(N15,$X$5:$AG$391,10,0)*O25</f>
        <v>1777230</v>
      </c>
      <c r="V15" s="31"/>
      <c r="W15" s="3"/>
      <c r="X15" s="188"/>
      <c r="Y15" s="189" t="s">
        <v>271</v>
      </c>
      <c r="Z15" s="189">
        <v>0.1</v>
      </c>
      <c r="AA15" s="189">
        <v>1.1000000000000001</v>
      </c>
      <c r="AB15" s="189">
        <v>1850</v>
      </c>
      <c r="AC15" s="199">
        <v>840</v>
      </c>
      <c r="AD15" s="236">
        <f>Z15/AA15</f>
        <v>9.0909090909090912E-2</v>
      </c>
      <c r="AE15" s="190">
        <f>AB15*AC15*Z15</f>
        <v>155400</v>
      </c>
      <c r="AF15" s="14"/>
      <c r="AG15" s="14"/>
      <c r="AH15" s="14"/>
      <c r="AM15" s="159" t="s">
        <v>319</v>
      </c>
      <c r="AN15" s="81" t="s">
        <v>320</v>
      </c>
      <c r="AO15" s="81" t="s">
        <v>332</v>
      </c>
      <c r="AP15" s="81">
        <f>AP5*0.2</f>
        <v>7.9822780959947368E-2</v>
      </c>
      <c r="AQ15" s="81" t="s">
        <v>322</v>
      </c>
      <c r="AR15" s="167">
        <v>0.1612856</v>
      </c>
      <c r="AV15" s="168" t="s">
        <v>319</v>
      </c>
      <c r="AW15" s="168" t="s">
        <v>320</v>
      </c>
      <c r="AX15" s="168" t="s">
        <v>332</v>
      </c>
      <c r="AY15" s="169" t="s">
        <v>323</v>
      </c>
      <c r="AZ15" s="162">
        <f>AZ5*0.3</f>
        <v>0.11973417143992103</v>
      </c>
      <c r="BA15" s="168" t="s">
        <v>322</v>
      </c>
      <c r="BC15" s="81" t="s">
        <v>398</v>
      </c>
      <c r="BD15" s="167">
        <v>9.35E-2</v>
      </c>
      <c r="BE15" s="167">
        <v>1.6000000000000001E-3</v>
      </c>
      <c r="BF15" s="81">
        <v>58.4</v>
      </c>
      <c r="BG15" s="81" t="s">
        <v>388</v>
      </c>
      <c r="BH15" s="81"/>
      <c r="BJ15" s="175" t="s">
        <v>319</v>
      </c>
      <c r="BK15" s="175" t="s">
        <v>320</v>
      </c>
      <c r="BL15" s="175" t="s">
        <v>332</v>
      </c>
      <c r="BM15" s="175" t="s">
        <v>323</v>
      </c>
      <c r="BN15" s="174">
        <f>BD28</f>
        <v>0.22500000000000001</v>
      </c>
      <c r="BO15" s="175" t="s">
        <v>322</v>
      </c>
      <c r="BQ15" s="81" t="s">
        <v>398</v>
      </c>
      <c r="BR15" s="167">
        <v>0.11799999999999999</v>
      </c>
      <c r="BS15" s="167">
        <v>5.9500000000000004E-4</v>
      </c>
      <c r="BT15" s="81">
        <v>198</v>
      </c>
      <c r="BU15" s="81" t="s">
        <v>422</v>
      </c>
      <c r="BV15" s="167">
        <v>2E-16</v>
      </c>
      <c r="BW15" s="81" t="s">
        <v>389</v>
      </c>
      <c r="BY15" s="178"/>
      <c r="BZ15" s="178"/>
      <c r="CA15" s="178"/>
      <c r="CB15" s="178"/>
      <c r="CC15" s="179"/>
      <c r="CD15" s="178"/>
      <c r="CO15" s="81" t="s">
        <v>333</v>
      </c>
      <c r="CP15" s="254">
        <f t="shared" si="0"/>
        <v>0.71056198276779237</v>
      </c>
      <c r="CQ15" s="254">
        <f t="shared" si="1"/>
        <v>0.46500000000000002</v>
      </c>
      <c r="CR15" s="254">
        <f t="shared" si="2"/>
        <v>0.76900000000000002</v>
      </c>
      <c r="CU15" s="258" t="s">
        <v>442</v>
      </c>
      <c r="CV15" s="258" t="s">
        <v>446</v>
      </c>
      <c r="CW15" s="259">
        <v>0.27300000000000002</v>
      </c>
      <c r="CX15" s="259">
        <v>8.9999999999999993E-3</v>
      </c>
      <c r="CY15" s="258">
        <v>30.33</v>
      </c>
      <c r="CZ15" s="258" t="s">
        <v>422</v>
      </c>
      <c r="DA15" s="167">
        <v>2E-16</v>
      </c>
      <c r="DB15" s="81" t="s">
        <v>389</v>
      </c>
      <c r="DC15" s="260" t="s">
        <v>467</v>
      </c>
      <c r="DD15" s="265" t="s">
        <v>478</v>
      </c>
      <c r="DE15" s="261" t="s">
        <v>323</v>
      </c>
      <c r="DF15" s="262">
        <f t="shared" si="9"/>
        <v>0.247</v>
      </c>
      <c r="DG15" s="260" t="s">
        <v>322</v>
      </c>
      <c r="DI15" s="170" t="s">
        <v>467</v>
      </c>
      <c r="DJ15" s="294" t="s">
        <v>478</v>
      </c>
      <c r="DK15" s="291" t="s">
        <v>323</v>
      </c>
      <c r="DL15" s="170">
        <f>$O$12*$Z$37*$AP$6</f>
        <v>0.12334635542320295</v>
      </c>
      <c r="DM15" s="170" t="s">
        <v>322</v>
      </c>
      <c r="DO15" s="298" t="s">
        <v>442</v>
      </c>
      <c r="DP15" s="298" t="s">
        <v>446</v>
      </c>
      <c r="DQ15" s="302">
        <v>0.23400000000000001</v>
      </c>
      <c r="DR15" s="302">
        <v>1.84E-2</v>
      </c>
      <c r="DS15" s="298">
        <v>12.72</v>
      </c>
      <c r="DT15" s="298" t="s">
        <v>422</v>
      </c>
      <c r="DU15" s="302">
        <v>2E-16</v>
      </c>
      <c r="DV15" s="298" t="s">
        <v>389</v>
      </c>
      <c r="DW15" s="299" t="s">
        <v>467</v>
      </c>
      <c r="DX15" s="305" t="s">
        <v>478</v>
      </c>
      <c r="DY15" s="300" t="s">
        <v>323</v>
      </c>
      <c r="DZ15" s="301">
        <f t="shared" si="10"/>
        <v>8.1199999999999994E-2</v>
      </c>
      <c r="EA15" s="299" t="s">
        <v>322</v>
      </c>
    </row>
    <row r="16" spans="1:131" ht="15" customHeight="1" thickTop="1" thickBot="1" x14ac:dyDescent="0.3">
      <c r="A16" s="205"/>
      <c r="B16" s="187"/>
      <c r="C16" s="187"/>
      <c r="D16" s="194" t="s">
        <v>69</v>
      </c>
      <c r="E16" s="189"/>
      <c r="F16" s="206">
        <f>B4/B26</f>
        <v>1.3080082135523614</v>
      </c>
      <c r="G16" s="199" t="s">
        <v>70</v>
      </c>
      <c r="H16" s="190"/>
      <c r="I16" s="189"/>
      <c r="K16" t="s">
        <v>67</v>
      </c>
      <c r="L16" s="218">
        <v>0</v>
      </c>
      <c r="M16" s="219">
        <v>1</v>
      </c>
      <c r="N16" s="219" t="s">
        <v>68</v>
      </c>
      <c r="O16" s="220">
        <f>'Tabula data'!B21</f>
        <v>9.5</v>
      </c>
      <c r="P16" s="221"/>
      <c r="Q16" s="30">
        <f t="shared" si="4"/>
        <v>4</v>
      </c>
      <c r="R16" s="30">
        <f t="shared" si="5"/>
        <v>38</v>
      </c>
      <c r="S16" s="30">
        <f t="shared" ref="S16:S31" si="11">VLOOKUP(N16,$X$5:$AE$391,8,0)*O16</f>
        <v>346940</v>
      </c>
      <c r="T16" s="30">
        <f t="shared" ref="T16:T28" si="12">S16/O16</f>
        <v>36520</v>
      </c>
      <c r="U16" s="30">
        <f t="shared" ref="U16:U31" si="13">VLOOKUP(N16,$X$5:$AG$391,10,0)*O16</f>
        <v>0</v>
      </c>
      <c r="V16" s="31"/>
      <c r="W16" s="3"/>
      <c r="X16" s="188"/>
      <c r="Y16" s="189" t="s">
        <v>272</v>
      </c>
      <c r="Z16" s="189">
        <v>0.06</v>
      </c>
      <c r="AA16" s="189">
        <v>1</v>
      </c>
      <c r="AB16" s="189">
        <v>1800</v>
      </c>
      <c r="AC16" s="189">
        <v>1000</v>
      </c>
      <c r="AD16" s="236">
        <v>0.18</v>
      </c>
      <c r="AE16" s="190">
        <f>Z16*AB16*AC16</f>
        <v>108000</v>
      </c>
      <c r="AF16" s="14"/>
      <c r="AG16" s="14"/>
      <c r="AH16" s="14"/>
      <c r="AM16" s="159" t="s">
        <v>319</v>
      </c>
      <c r="AN16" s="81" t="s">
        <v>320</v>
      </c>
      <c r="AO16" s="81" t="s">
        <v>333</v>
      </c>
      <c r="AP16" s="81">
        <f>AP6*0.2+0.8</f>
        <v>0.80704132184519506</v>
      </c>
      <c r="AQ16" s="81" t="s">
        <v>322</v>
      </c>
      <c r="AR16" s="167">
        <v>0.64236059999999995</v>
      </c>
      <c r="AV16" s="168" t="s">
        <v>319</v>
      </c>
      <c r="AW16" s="168" t="s">
        <v>320</v>
      </c>
      <c r="AX16" s="168" t="s">
        <v>333</v>
      </c>
      <c r="AY16" s="169" t="s">
        <v>323</v>
      </c>
      <c r="AZ16" s="162">
        <f>AZ6*0.3+0.7</f>
        <v>0.71056198276779237</v>
      </c>
      <c r="BA16" s="168" t="s">
        <v>322</v>
      </c>
      <c r="BC16" s="81" t="s">
        <v>308</v>
      </c>
      <c r="BD16" s="167">
        <v>13100000</v>
      </c>
      <c r="BE16" s="167">
        <v>252000</v>
      </c>
      <c r="BF16" s="81">
        <v>51.84</v>
      </c>
      <c r="BG16" s="81" t="s">
        <v>388</v>
      </c>
      <c r="BH16" s="81"/>
      <c r="BJ16" s="175" t="s">
        <v>319</v>
      </c>
      <c r="BK16" s="175" t="s">
        <v>320</v>
      </c>
      <c r="BL16" s="175" t="s">
        <v>333</v>
      </c>
      <c r="BM16" s="175" t="s">
        <v>323</v>
      </c>
      <c r="BN16" s="174">
        <f>BD29</f>
        <v>0.46500000000000002</v>
      </c>
      <c r="BO16" s="175" t="s">
        <v>322</v>
      </c>
      <c r="BQ16" s="81" t="s">
        <v>308</v>
      </c>
      <c r="BR16" s="167">
        <v>812000000</v>
      </c>
      <c r="BS16" s="167">
        <v>25300000</v>
      </c>
      <c r="BT16" s="81">
        <v>32.119999999999997</v>
      </c>
      <c r="BU16" s="81" t="s">
        <v>422</v>
      </c>
      <c r="BV16" s="167">
        <v>2E-16</v>
      </c>
      <c r="BW16" s="81" t="s">
        <v>389</v>
      </c>
      <c r="BY16" s="178" t="s">
        <v>319</v>
      </c>
      <c r="BZ16" s="178" t="s">
        <v>320</v>
      </c>
      <c r="CA16" s="178" t="s">
        <v>331</v>
      </c>
      <c r="CB16" s="178" t="s">
        <v>323</v>
      </c>
      <c r="CC16" s="177">
        <f>BR27</f>
        <v>7.0400000000000004E-2</v>
      </c>
      <c r="CD16" s="178" t="s">
        <v>322</v>
      </c>
      <c r="CO16" s="81" t="s">
        <v>334</v>
      </c>
      <c r="CP16" s="254">
        <f t="shared" si="0"/>
        <v>6.2783303139818961E-2</v>
      </c>
      <c r="CQ16" s="254">
        <f t="shared" si="1"/>
        <v>0.11</v>
      </c>
      <c r="CR16" s="254">
        <f t="shared" si="2"/>
        <v>7.2499999999999995E-2</v>
      </c>
      <c r="CU16" s="258" t="s">
        <v>442</v>
      </c>
      <c r="CV16" s="258" t="s">
        <v>447</v>
      </c>
      <c r="CW16" s="259">
        <v>0.78500000000000003</v>
      </c>
      <c r="CX16" s="259">
        <v>2.6200000000000001E-2</v>
      </c>
      <c r="CY16" s="258">
        <v>29.9</v>
      </c>
      <c r="CZ16" s="258" t="s">
        <v>422</v>
      </c>
      <c r="DA16" s="167">
        <v>2E-16</v>
      </c>
      <c r="DB16" s="81" t="s">
        <v>389</v>
      </c>
      <c r="DC16" s="260" t="s">
        <v>467</v>
      </c>
      <c r="DD16" s="265" t="s">
        <v>479</v>
      </c>
      <c r="DE16" s="261" t="s">
        <v>323</v>
      </c>
      <c r="DF16" s="262">
        <f t="shared" si="9"/>
        <v>0.28399999999999997</v>
      </c>
      <c r="DG16" s="260" t="s">
        <v>322</v>
      </c>
      <c r="DI16" s="170" t="s">
        <v>467</v>
      </c>
      <c r="DJ16" s="294" t="s">
        <v>479</v>
      </c>
      <c r="DK16" s="291" t="s">
        <v>323</v>
      </c>
      <c r="DL16" s="170">
        <f>$O$13*$Z$37*$AP$6</f>
        <v>0.10030362968480241</v>
      </c>
      <c r="DM16" s="170" t="s">
        <v>322</v>
      </c>
      <c r="DO16" s="298" t="s">
        <v>442</v>
      </c>
      <c r="DP16" s="298" t="s">
        <v>447</v>
      </c>
      <c r="DQ16" s="302">
        <v>0.69099999999999995</v>
      </c>
      <c r="DR16" s="302">
        <v>4.9000000000000002E-2</v>
      </c>
      <c r="DS16" s="298">
        <v>14.12</v>
      </c>
      <c r="DT16" s="298" t="s">
        <v>422</v>
      </c>
      <c r="DU16" s="302">
        <v>2E-16</v>
      </c>
      <c r="DV16" s="298" t="s">
        <v>389</v>
      </c>
      <c r="DW16" s="299" t="s">
        <v>467</v>
      </c>
      <c r="DX16" s="305" t="s">
        <v>479</v>
      </c>
      <c r="DY16" s="300" t="s">
        <v>323</v>
      </c>
      <c r="DZ16" s="301">
        <f t="shared" si="10"/>
        <v>0.37</v>
      </c>
      <c r="EA16" s="299" t="s">
        <v>322</v>
      </c>
    </row>
    <row r="17" spans="1:131" ht="15" customHeight="1" thickTop="1" thickBot="1" x14ac:dyDescent="0.3">
      <c r="A17" s="191" t="s">
        <v>73</v>
      </c>
      <c r="B17" s="192">
        <v>0</v>
      </c>
      <c r="C17" s="202" t="s">
        <v>9</v>
      </c>
      <c r="D17" s="194" t="s">
        <v>74</v>
      </c>
      <c r="E17" s="189"/>
      <c r="F17" s="206">
        <f>B26/B23</f>
        <v>2.1025364274150027</v>
      </c>
      <c r="G17" s="199"/>
      <c r="H17" s="190"/>
      <c r="I17" s="189"/>
      <c r="K17" t="s">
        <v>71</v>
      </c>
      <c r="L17" s="218">
        <v>0</v>
      </c>
      <c r="M17" s="219">
        <v>2</v>
      </c>
      <c r="N17" s="219" t="s">
        <v>25</v>
      </c>
      <c r="O17" s="220">
        <f>'Tabula data'!B19*(1-C43)</f>
        <v>18.364565347833842</v>
      </c>
      <c r="P17" s="221" t="s">
        <v>26</v>
      </c>
      <c r="Q17" s="30">
        <f t="shared" si="4"/>
        <v>0.99033657090706906</v>
      </c>
      <c r="R17" s="30">
        <f t="shared" si="5"/>
        <v>18.187100672772555</v>
      </c>
      <c r="S17" s="30">
        <f t="shared" si="11"/>
        <v>8168599.06876026</v>
      </c>
      <c r="T17" s="30">
        <f t="shared" si="12"/>
        <v>444802.20000000007</v>
      </c>
      <c r="U17" s="30">
        <f t="shared" si="13"/>
        <v>3324353.6192648825</v>
      </c>
      <c r="V17" s="31"/>
      <c r="W17" s="3"/>
      <c r="X17" s="188"/>
      <c r="Y17" s="189" t="s">
        <v>273</v>
      </c>
      <c r="Z17" s="189">
        <v>0.01</v>
      </c>
      <c r="AA17" s="189">
        <v>3.5999999999999997E-2</v>
      </c>
      <c r="AB17" s="189">
        <v>26</v>
      </c>
      <c r="AC17" s="189">
        <v>1470</v>
      </c>
      <c r="AD17" s="236">
        <f>Z17/AA17</f>
        <v>0.27777777777777779</v>
      </c>
      <c r="AE17" s="190">
        <f>Z17*AB17*AC17</f>
        <v>382.2</v>
      </c>
      <c r="AF17" s="149" t="s">
        <v>274</v>
      </c>
      <c r="AG17" s="14"/>
      <c r="AH17" s="14"/>
      <c r="AM17" s="159" t="s">
        <v>319</v>
      </c>
      <c r="AN17" s="81" t="s">
        <v>320</v>
      </c>
      <c r="AO17" s="81" t="s">
        <v>334</v>
      </c>
      <c r="AP17" s="81">
        <f>AP7*0.2</f>
        <v>4.1855535426545978E-2</v>
      </c>
      <c r="AQ17" s="81" t="s">
        <v>322</v>
      </c>
      <c r="AR17" s="167">
        <v>6.4977720000000003E-2</v>
      </c>
      <c r="AV17" s="168" t="s">
        <v>319</v>
      </c>
      <c r="AW17" s="168" t="s">
        <v>320</v>
      </c>
      <c r="AX17" s="168" t="s">
        <v>334</v>
      </c>
      <c r="AY17" s="169" t="s">
        <v>323</v>
      </c>
      <c r="AZ17" s="162">
        <f>AZ7*0.3</f>
        <v>6.2783303139818961E-2</v>
      </c>
      <c r="BA17" s="168" t="s">
        <v>322</v>
      </c>
      <c r="BC17" s="81"/>
      <c r="BD17" s="81"/>
      <c r="BE17" s="81"/>
      <c r="BF17" s="81"/>
      <c r="BG17" s="81"/>
      <c r="BH17" s="81"/>
      <c r="BJ17" s="175" t="s">
        <v>319</v>
      </c>
      <c r="BK17" s="175" t="s">
        <v>320</v>
      </c>
      <c r="BL17" s="175" t="s">
        <v>334</v>
      </c>
      <c r="BM17" s="175" t="s">
        <v>323</v>
      </c>
      <c r="BN17" s="174">
        <f>BD30</f>
        <v>0.11</v>
      </c>
      <c r="BO17" s="175" t="s">
        <v>322</v>
      </c>
      <c r="BQ17" s="81"/>
      <c r="BR17" s="81"/>
      <c r="BS17" s="81"/>
      <c r="BT17" s="81"/>
      <c r="BU17" s="81"/>
      <c r="BV17" s="81"/>
      <c r="BW17" s="81"/>
      <c r="BY17" s="178" t="s">
        <v>319</v>
      </c>
      <c r="BZ17" s="178" t="s">
        <v>320</v>
      </c>
      <c r="CA17" s="178" t="s">
        <v>332</v>
      </c>
      <c r="CB17" s="178" t="s">
        <v>323</v>
      </c>
      <c r="CC17" s="177">
        <f>BR28</f>
        <v>0.13700000000000001</v>
      </c>
      <c r="CD17" s="178" t="s">
        <v>322</v>
      </c>
      <c r="CP17" s="255"/>
      <c r="CQ17" s="255"/>
      <c r="CR17" s="255"/>
      <c r="CU17" s="258" t="s">
        <v>442</v>
      </c>
      <c r="CV17" s="258" t="s">
        <v>342</v>
      </c>
      <c r="CW17" s="259">
        <v>0.58899999999999997</v>
      </c>
      <c r="CX17" s="259">
        <v>6.5199999999999994E-2</v>
      </c>
      <c r="CY17" s="258">
        <v>9.0399999999999991</v>
      </c>
      <c r="CZ17" s="258" t="s">
        <v>422</v>
      </c>
      <c r="DA17" s="167">
        <v>2E-16</v>
      </c>
      <c r="DB17" s="81" t="s">
        <v>389</v>
      </c>
      <c r="DC17" s="260" t="s">
        <v>467</v>
      </c>
      <c r="DD17" s="265" t="s">
        <v>480</v>
      </c>
      <c r="DE17" s="261" t="s">
        <v>323</v>
      </c>
      <c r="DF17" s="262">
        <f t="shared" si="9"/>
        <v>0.55600000000000005</v>
      </c>
      <c r="DG17" s="260" t="s">
        <v>322</v>
      </c>
      <c r="DI17" s="170" t="s">
        <v>467</v>
      </c>
      <c r="DJ17" s="294" t="s">
        <v>480</v>
      </c>
      <c r="DK17" s="291" t="s">
        <v>323</v>
      </c>
      <c r="DL17" s="170">
        <f>$O$11*$Z$37*$AP$7</f>
        <v>0.64457524556880808</v>
      </c>
      <c r="DM17" s="170" t="s">
        <v>322</v>
      </c>
      <c r="DO17" s="298" t="s">
        <v>442</v>
      </c>
      <c r="DP17" s="298" t="s">
        <v>342</v>
      </c>
      <c r="DQ17" s="302">
        <v>0.53600000000000003</v>
      </c>
      <c r="DR17" s="302">
        <v>9.8000000000000004E-2</v>
      </c>
      <c r="DS17" s="298">
        <v>5.47</v>
      </c>
      <c r="DT17" s="302">
        <v>4.8E-8</v>
      </c>
      <c r="DU17" s="302" t="s">
        <v>389</v>
      </c>
      <c r="DW17" s="299" t="s">
        <v>467</v>
      </c>
      <c r="DX17" s="305" t="s">
        <v>480</v>
      </c>
      <c r="DY17" s="300" t="s">
        <v>323</v>
      </c>
      <c r="DZ17" s="301">
        <f t="shared" si="10"/>
        <v>0.55400000000000005</v>
      </c>
      <c r="EA17" s="299" t="s">
        <v>322</v>
      </c>
    </row>
    <row r="18" spans="1:131" ht="15" customHeight="1" thickTop="1" thickBot="1" x14ac:dyDescent="0.3">
      <c r="A18" s="188" t="s">
        <v>77</v>
      </c>
      <c r="B18" s="189">
        <v>0</v>
      </c>
      <c r="C18" s="189"/>
      <c r="D18" s="194" t="s">
        <v>78</v>
      </c>
      <c r="E18" s="189"/>
      <c r="F18" s="206">
        <f>B26/B6</f>
        <v>2.1025364274150027</v>
      </c>
      <c r="G18" s="199"/>
      <c r="H18" s="190"/>
      <c r="I18" s="189"/>
      <c r="K18" t="s">
        <v>75</v>
      </c>
      <c r="L18" s="218">
        <v>0</v>
      </c>
      <c r="M18" s="219">
        <v>2</v>
      </c>
      <c r="N18" s="219" t="s">
        <v>25</v>
      </c>
      <c r="O18" s="220">
        <f>'Tabula data'!B20*(1-C43)</f>
        <v>32.281986411725747</v>
      </c>
      <c r="P18" s="221" t="s">
        <v>39</v>
      </c>
      <c r="Q18" s="30">
        <f t="shared" si="4"/>
        <v>0.99033657090706906</v>
      </c>
      <c r="R18" s="30">
        <f t="shared" si="5"/>
        <v>31.970031725057076</v>
      </c>
      <c r="S18" s="30">
        <f t="shared" si="11"/>
        <v>14359098.576305721</v>
      </c>
      <c r="T18" s="30">
        <f t="shared" si="12"/>
        <v>444802.20000000007</v>
      </c>
      <c r="U18" s="30">
        <f t="shared" si="13"/>
        <v>5843685.1802505953</v>
      </c>
      <c r="V18" s="31"/>
      <c r="W18" s="3"/>
      <c r="X18" s="188"/>
      <c r="Y18" s="199" t="s">
        <v>275</v>
      </c>
      <c r="Z18" s="189">
        <v>0.14000000000000001</v>
      </c>
      <c r="AA18" s="189">
        <v>0.54</v>
      </c>
      <c r="AB18" s="189">
        <v>1400</v>
      </c>
      <c r="AC18" s="199">
        <v>840</v>
      </c>
      <c r="AD18" s="236">
        <f>Z18/AA18</f>
        <v>0.25925925925925924</v>
      </c>
      <c r="AE18" s="190">
        <f>Z18*AB18*AC18</f>
        <v>164640.00000000003</v>
      </c>
      <c r="AF18" s="14" t="s">
        <v>276</v>
      </c>
      <c r="AG18" s="14"/>
      <c r="AH18" s="14"/>
      <c r="AQ18" s="81" t="s">
        <v>322</v>
      </c>
      <c r="AR18" s="167"/>
      <c r="AV18" s="168"/>
      <c r="AW18" s="168"/>
      <c r="AX18" s="168"/>
      <c r="AY18" s="169"/>
      <c r="BA18" s="168"/>
      <c r="BC18" s="81" t="s">
        <v>304</v>
      </c>
      <c r="BD18" s="167">
        <v>15600000</v>
      </c>
      <c r="BE18" s="167">
        <v>67000</v>
      </c>
      <c r="BF18" s="81">
        <v>232.84</v>
      </c>
      <c r="BG18" s="81" t="s">
        <v>388</v>
      </c>
      <c r="BH18" s="81"/>
      <c r="BJ18" s="175"/>
      <c r="BK18" s="175"/>
      <c r="BL18" s="175"/>
      <c r="BM18" s="175"/>
      <c r="BN18" s="174"/>
      <c r="BO18" s="175"/>
      <c r="BQ18" s="81" t="s">
        <v>304</v>
      </c>
      <c r="BR18" s="167">
        <v>15000000</v>
      </c>
      <c r="BS18" s="167">
        <v>733000</v>
      </c>
      <c r="BT18" s="81">
        <v>20.420000000000002</v>
      </c>
      <c r="BU18" s="81" t="s">
        <v>422</v>
      </c>
      <c r="BV18" s="167">
        <v>2E-16</v>
      </c>
      <c r="BW18" s="81" t="s">
        <v>389</v>
      </c>
      <c r="BY18" s="178" t="s">
        <v>319</v>
      </c>
      <c r="BZ18" s="178" t="s">
        <v>320</v>
      </c>
      <c r="CA18" s="178" t="s">
        <v>333</v>
      </c>
      <c r="CB18" s="178" t="s">
        <v>323</v>
      </c>
      <c r="CC18" s="177">
        <f>BR29</f>
        <v>0.76900000000000002</v>
      </c>
      <c r="CD18" s="178" t="s">
        <v>322</v>
      </c>
      <c r="CO18" s="81" t="s">
        <v>335</v>
      </c>
      <c r="CP18" s="257">
        <f t="shared" si="0"/>
        <v>177.65852222619762</v>
      </c>
      <c r="CQ18" s="257">
        <f t="shared" si="1"/>
        <v>637</v>
      </c>
      <c r="CR18" s="257">
        <f t="shared" si="2"/>
        <v>278</v>
      </c>
      <c r="CU18" s="258" t="s">
        <v>442</v>
      </c>
      <c r="CV18" s="258" t="s">
        <v>448</v>
      </c>
      <c r="CW18" s="259">
        <v>0.78300000000000003</v>
      </c>
      <c r="CX18" s="259">
        <v>1.3599999999999999E-2</v>
      </c>
      <c r="CY18" s="258">
        <v>57.57</v>
      </c>
      <c r="CZ18" s="258" t="s">
        <v>422</v>
      </c>
      <c r="DA18" s="167">
        <v>2E-16</v>
      </c>
      <c r="DB18" s="81" t="s">
        <v>389</v>
      </c>
      <c r="DC18" s="260" t="s">
        <v>467</v>
      </c>
      <c r="DD18" s="265" t="s">
        <v>481</v>
      </c>
      <c r="DE18" s="261" t="s">
        <v>323</v>
      </c>
      <c r="DF18" s="262">
        <f t="shared" si="9"/>
        <v>0.42899999999999999</v>
      </c>
      <c r="DG18" s="260" t="s">
        <v>322</v>
      </c>
      <c r="DI18" s="170" t="s">
        <v>467</v>
      </c>
      <c r="DJ18" s="294" t="s">
        <v>481</v>
      </c>
      <c r="DK18" s="291" t="s">
        <v>323</v>
      </c>
      <c r="DL18" s="170">
        <f>$O$10*$Z$37*$AP$7</f>
        <v>0.62846086442958782</v>
      </c>
      <c r="DM18" s="170" t="s">
        <v>322</v>
      </c>
      <c r="DO18" s="298" t="s">
        <v>442</v>
      </c>
      <c r="DP18" s="298" t="s">
        <v>448</v>
      </c>
      <c r="DQ18" s="302">
        <v>0.76100000000000001</v>
      </c>
      <c r="DR18" s="302">
        <v>2.1000000000000001E-2</v>
      </c>
      <c r="DS18" s="298">
        <v>36.19</v>
      </c>
      <c r="DT18" s="298" t="s">
        <v>422</v>
      </c>
      <c r="DU18" s="302">
        <v>2E-16</v>
      </c>
      <c r="DV18" s="298" t="s">
        <v>389</v>
      </c>
      <c r="DW18" s="299" t="s">
        <v>467</v>
      </c>
      <c r="DX18" s="305" t="s">
        <v>481</v>
      </c>
      <c r="DY18" s="300" t="s">
        <v>323</v>
      </c>
      <c r="DZ18" s="301">
        <f t="shared" si="10"/>
        <v>0.43099999999999999</v>
      </c>
      <c r="EA18" s="299" t="s">
        <v>322</v>
      </c>
    </row>
    <row r="19" spans="1:131" ht="15" customHeight="1" thickTop="1" thickBot="1" x14ac:dyDescent="0.3">
      <c r="A19" s="188" t="s">
        <v>81</v>
      </c>
      <c r="B19" s="197">
        <f>B17-B18</f>
        <v>0</v>
      </c>
      <c r="C19" s="189"/>
      <c r="D19" s="204"/>
      <c r="E19" s="199"/>
      <c r="F19" s="199"/>
      <c r="G19" s="199"/>
      <c r="H19" s="198"/>
      <c r="I19" s="199"/>
      <c r="K19" t="s">
        <v>79</v>
      </c>
      <c r="L19" s="218">
        <v>0</v>
      </c>
      <c r="M19" s="219">
        <v>2</v>
      </c>
      <c r="N19" s="219" t="s">
        <v>25</v>
      </c>
      <c r="O19" s="220">
        <f>O17</f>
        <v>18.364565347833842</v>
      </c>
      <c r="P19" s="221" t="s">
        <v>45</v>
      </c>
      <c r="Q19" s="30">
        <f t="shared" si="4"/>
        <v>0.99033657090706906</v>
      </c>
      <c r="R19" s="30">
        <f t="shared" si="5"/>
        <v>18.187100672772555</v>
      </c>
      <c r="S19" s="30">
        <f t="shared" si="11"/>
        <v>8168599.06876026</v>
      </c>
      <c r="T19" s="30">
        <f t="shared" si="12"/>
        <v>444802.20000000007</v>
      </c>
      <c r="U19" s="30">
        <f t="shared" si="13"/>
        <v>3324353.6192648825</v>
      </c>
      <c r="V19" s="31"/>
      <c r="W19" s="3"/>
      <c r="X19" s="205"/>
      <c r="Y19" s="187" t="s">
        <v>277</v>
      </c>
      <c r="Z19" s="187">
        <v>0.02</v>
      </c>
      <c r="AA19" s="187">
        <v>0.6</v>
      </c>
      <c r="AB19" s="187">
        <v>975</v>
      </c>
      <c r="AC19" s="187">
        <v>840</v>
      </c>
      <c r="AD19" s="237">
        <f>Z19/AA19</f>
        <v>3.3333333333333333E-2</v>
      </c>
      <c r="AE19" s="210">
        <f>Z19*AB19*AC19</f>
        <v>16380</v>
      </c>
      <c r="AF19" s="14"/>
      <c r="AG19" s="14"/>
      <c r="AH19" s="14"/>
      <c r="AM19" s="159" t="s">
        <v>319</v>
      </c>
      <c r="AN19" s="81" t="s">
        <v>320</v>
      </c>
      <c r="AO19" s="81" t="s">
        <v>335</v>
      </c>
      <c r="AP19" s="81">
        <f>SUM(O6:O9)*(1/(SUM(AD18:AD19)+1/8))</f>
        <v>177.65852222619762</v>
      </c>
      <c r="AQ19" s="81" t="s">
        <v>322</v>
      </c>
      <c r="AR19" s="167">
        <v>298.59179999999998</v>
      </c>
      <c r="AV19" s="168" t="s">
        <v>319</v>
      </c>
      <c r="AW19" s="168" t="s">
        <v>320</v>
      </c>
      <c r="AX19" s="168" t="s">
        <v>335</v>
      </c>
      <c r="AY19" s="169" t="s">
        <v>323</v>
      </c>
      <c r="AZ19" s="162">
        <f t="shared" ref="AZ19:AZ24" si="14">AP19</f>
        <v>177.65852222619762</v>
      </c>
      <c r="BA19" s="168" t="s">
        <v>322</v>
      </c>
      <c r="BC19" s="81" t="s">
        <v>399</v>
      </c>
      <c r="BD19" s="167">
        <v>2950000</v>
      </c>
      <c r="BE19" s="167">
        <v>42900</v>
      </c>
      <c r="BF19" s="81">
        <v>68.739999999999995</v>
      </c>
      <c r="BG19" s="81" t="s">
        <v>388</v>
      </c>
      <c r="BH19" s="81"/>
      <c r="BJ19" s="175" t="s">
        <v>319</v>
      </c>
      <c r="BK19" s="175" t="s">
        <v>320</v>
      </c>
      <c r="BL19" s="175" t="s">
        <v>335</v>
      </c>
      <c r="BM19" s="175" t="s">
        <v>323</v>
      </c>
      <c r="BN19" s="181">
        <f>BD32</f>
        <v>637</v>
      </c>
      <c r="BO19" s="175" t="s">
        <v>322</v>
      </c>
      <c r="BQ19" s="81" t="s">
        <v>399</v>
      </c>
      <c r="BR19" s="167">
        <v>3560000</v>
      </c>
      <c r="BS19" s="167">
        <v>405000</v>
      </c>
      <c r="BT19" s="81">
        <v>8.81</v>
      </c>
      <c r="BU19" s="81" t="s">
        <v>422</v>
      </c>
      <c r="BV19" s="167">
        <v>2E-16</v>
      </c>
      <c r="BW19" s="81" t="s">
        <v>389</v>
      </c>
      <c r="BY19" s="178" t="s">
        <v>319</v>
      </c>
      <c r="BZ19" s="178" t="s">
        <v>320</v>
      </c>
      <c r="CA19" s="178" t="s">
        <v>334</v>
      </c>
      <c r="CB19" s="178" t="s">
        <v>323</v>
      </c>
      <c r="CC19" s="177">
        <f>BR30</f>
        <v>7.2499999999999995E-2</v>
      </c>
      <c r="CD19" s="178" t="s">
        <v>322</v>
      </c>
      <c r="CO19" s="81" t="s">
        <v>336</v>
      </c>
      <c r="CP19" s="257">
        <f t="shared" si="0"/>
        <v>305.45454545454544</v>
      </c>
      <c r="CQ19" s="257">
        <f t="shared" si="1"/>
        <v>795</v>
      </c>
      <c r="CR19" s="257">
        <f t="shared" si="2"/>
        <v>215</v>
      </c>
      <c r="CU19" s="258" t="s">
        <v>442</v>
      </c>
      <c r="CV19" s="258" t="s">
        <v>449</v>
      </c>
      <c r="CW19" s="259">
        <v>0.67</v>
      </c>
      <c r="CX19" s="259">
        <v>1.54E-2</v>
      </c>
      <c r="CY19" s="258">
        <v>43.49</v>
      </c>
      <c r="CZ19" s="258" t="s">
        <v>422</v>
      </c>
      <c r="DA19" s="167">
        <v>2E-16</v>
      </c>
      <c r="DB19" s="81" t="s">
        <v>389</v>
      </c>
      <c r="DC19" s="260" t="s">
        <v>467</v>
      </c>
      <c r="DD19" s="263" t="s">
        <v>482</v>
      </c>
      <c r="DE19" s="261" t="s">
        <v>323</v>
      </c>
      <c r="DF19" s="262">
        <f t="shared" si="9"/>
        <v>0.57999999999999996</v>
      </c>
      <c r="DG19" s="260" t="s">
        <v>322</v>
      </c>
      <c r="DI19" s="170" t="s">
        <v>467</v>
      </c>
      <c r="DJ19" s="292" t="s">
        <v>482</v>
      </c>
      <c r="DK19" s="291" t="s">
        <v>323</v>
      </c>
      <c r="DL19" s="170">
        <f>$O$12*$Z$37*$AP$7</f>
        <v>0.7332043418345191</v>
      </c>
      <c r="DM19" s="170" t="s">
        <v>322</v>
      </c>
      <c r="DO19" s="298" t="s">
        <v>442</v>
      </c>
      <c r="DP19" s="298" t="s">
        <v>449</v>
      </c>
      <c r="DQ19" s="302">
        <v>0.53100000000000003</v>
      </c>
      <c r="DR19" s="302">
        <v>1.9599999999999999E-2</v>
      </c>
      <c r="DS19" s="298">
        <v>27.12</v>
      </c>
      <c r="DT19" s="298" t="s">
        <v>422</v>
      </c>
      <c r="DU19" s="302">
        <v>2E-16</v>
      </c>
      <c r="DV19" s="298" t="s">
        <v>389</v>
      </c>
      <c r="DW19" s="299" t="s">
        <v>467</v>
      </c>
      <c r="DX19" s="303" t="s">
        <v>482</v>
      </c>
      <c r="DY19" s="300" t="s">
        <v>323</v>
      </c>
      <c r="DZ19" s="301">
        <f t="shared" si="10"/>
        <v>0.61399999999999999</v>
      </c>
      <c r="EA19" s="299" t="s">
        <v>322</v>
      </c>
    </row>
    <row r="20" spans="1:131" ht="15" customHeight="1" thickTop="1" thickBot="1" x14ac:dyDescent="0.3">
      <c r="A20" s="188"/>
      <c r="B20" s="189"/>
      <c r="C20" s="189"/>
      <c r="D20" s="194" t="s">
        <v>83</v>
      </c>
      <c r="E20" s="199"/>
      <c r="F20" s="207">
        <f>G4/B23</f>
        <v>0.17431192660550457</v>
      </c>
      <c r="G20" s="199"/>
      <c r="H20" s="190"/>
      <c r="I20" s="189"/>
      <c r="K20" t="s">
        <v>82</v>
      </c>
      <c r="L20" s="218">
        <v>0</v>
      </c>
      <c r="M20" s="219">
        <v>2</v>
      </c>
      <c r="N20" s="219" t="s">
        <v>25</v>
      </c>
      <c r="O20" s="220">
        <v>0</v>
      </c>
      <c r="P20" s="221" t="s">
        <v>50</v>
      </c>
      <c r="Q20" s="30">
        <f t="shared" si="4"/>
        <v>0.99033657090706906</v>
      </c>
      <c r="R20" s="30">
        <f t="shared" si="5"/>
        <v>0</v>
      </c>
      <c r="S20" s="30">
        <f t="shared" si="11"/>
        <v>0</v>
      </c>
      <c r="T20" s="30" t="e">
        <f t="shared" si="12"/>
        <v>#DIV/0!</v>
      </c>
      <c r="U20" s="30">
        <f t="shared" si="13"/>
        <v>0</v>
      </c>
      <c r="V20" s="31"/>
      <c r="W20" s="3"/>
      <c r="X20" s="226"/>
      <c r="Y20" s="226"/>
      <c r="Z20" s="226"/>
      <c r="AA20" s="226"/>
      <c r="AB20" s="226"/>
      <c r="AC20" s="226"/>
      <c r="AD20" s="226"/>
      <c r="AE20" s="226"/>
      <c r="AF20" s="14"/>
      <c r="AG20" s="14"/>
      <c r="AH20" s="14"/>
      <c r="AM20" s="159" t="s">
        <v>319</v>
      </c>
      <c r="AN20" s="81" t="s">
        <v>320</v>
      </c>
      <c r="AO20" s="81" t="s">
        <v>336</v>
      </c>
      <c r="AP20" s="81">
        <f>SUM(O14)*1/(SUM(AD42:AD43)+1/6)</f>
        <v>305.45454545454544</v>
      </c>
      <c r="AQ20" s="81" t="s">
        <v>322</v>
      </c>
      <c r="AR20" s="167">
        <v>278.86439999999999</v>
      </c>
      <c r="AV20" s="168" t="s">
        <v>319</v>
      </c>
      <c r="AW20" s="168" t="s">
        <v>320</v>
      </c>
      <c r="AX20" s="168" t="s">
        <v>336</v>
      </c>
      <c r="AY20" s="169" t="s">
        <v>323</v>
      </c>
      <c r="AZ20" s="162">
        <f t="shared" si="14"/>
        <v>305.45454545454544</v>
      </c>
      <c r="BA20" s="168" t="s">
        <v>322</v>
      </c>
      <c r="BC20" s="81" t="s">
        <v>301</v>
      </c>
      <c r="BD20" s="167">
        <v>23100000</v>
      </c>
      <c r="BE20" s="167">
        <v>232000</v>
      </c>
      <c r="BF20" s="81">
        <v>99.92</v>
      </c>
      <c r="BG20" s="81" t="s">
        <v>388</v>
      </c>
      <c r="BH20" s="81"/>
      <c r="BJ20" s="175" t="s">
        <v>319</v>
      </c>
      <c r="BK20" s="175" t="s">
        <v>320</v>
      </c>
      <c r="BL20" s="175" t="s">
        <v>336</v>
      </c>
      <c r="BM20" s="175" t="s">
        <v>323</v>
      </c>
      <c r="BN20" s="181">
        <f>BD33</f>
        <v>795</v>
      </c>
      <c r="BO20" s="175" t="s">
        <v>322</v>
      </c>
      <c r="BQ20" s="81" t="s">
        <v>301</v>
      </c>
      <c r="BR20" s="167">
        <v>32200000</v>
      </c>
      <c r="BS20" s="167">
        <v>1890000</v>
      </c>
      <c r="BT20" s="81">
        <v>17.04</v>
      </c>
      <c r="BU20" s="81" t="s">
        <v>422</v>
      </c>
      <c r="BV20" s="167">
        <v>2E-16</v>
      </c>
      <c r="BW20" s="81" t="s">
        <v>389</v>
      </c>
      <c r="BY20" s="178"/>
      <c r="BZ20" s="178"/>
      <c r="CA20" s="178"/>
      <c r="CB20" s="178"/>
      <c r="CC20" s="177"/>
      <c r="CD20" s="178"/>
      <c r="CO20" s="81" t="s">
        <v>337</v>
      </c>
      <c r="CP20" s="257">
        <f t="shared" si="0"/>
        <v>321.59308227688655</v>
      </c>
      <c r="CQ20" s="257">
        <f t="shared" si="1"/>
        <v>1310</v>
      </c>
      <c r="CR20" s="257">
        <f t="shared" si="2"/>
        <v>457</v>
      </c>
      <c r="CU20" s="258" t="s">
        <v>442</v>
      </c>
      <c r="CV20" s="258" t="s">
        <v>450</v>
      </c>
      <c r="CW20" s="259">
        <v>0.26200000000000001</v>
      </c>
      <c r="CX20" s="259">
        <v>9.1600000000000001E-2</v>
      </c>
      <c r="CY20" s="258">
        <v>2.86</v>
      </c>
      <c r="CZ20" s="258">
        <v>4.1999999999999997E-3</v>
      </c>
      <c r="DA20" s="81" t="s">
        <v>425</v>
      </c>
      <c r="DB20" s="81"/>
      <c r="DC20" s="260" t="s">
        <v>467</v>
      </c>
      <c r="DD20" s="264" t="s">
        <v>483</v>
      </c>
      <c r="DE20" s="261" t="s">
        <v>323</v>
      </c>
      <c r="DF20" s="262">
        <f t="shared" si="9"/>
        <v>0.443</v>
      </c>
      <c r="DG20" s="260" t="s">
        <v>322</v>
      </c>
      <c r="DI20" s="170" t="s">
        <v>467</v>
      </c>
      <c r="DJ20" s="293" t="s">
        <v>483</v>
      </c>
      <c r="DK20" s="291" t="s">
        <v>323</v>
      </c>
      <c r="DL20" s="170">
        <f>$O$13*$Z$37*$AP$7</f>
        <v>0.59623210215114741</v>
      </c>
      <c r="DM20" s="170" t="s">
        <v>322</v>
      </c>
      <c r="DO20" s="298" t="s">
        <v>442</v>
      </c>
      <c r="DP20" s="298" t="s">
        <v>450</v>
      </c>
      <c r="DQ20" s="302">
        <v>0.40300000000000002</v>
      </c>
      <c r="DR20" s="302">
        <v>0.44800000000000001</v>
      </c>
      <c r="DS20" s="298">
        <v>0.9</v>
      </c>
      <c r="DT20" s="298">
        <v>0.36899999999999999</v>
      </c>
      <c r="DW20" s="299" t="s">
        <v>467</v>
      </c>
      <c r="DX20" s="304" t="s">
        <v>483</v>
      </c>
      <c r="DY20" s="300" t="s">
        <v>323</v>
      </c>
      <c r="DZ20" s="301">
        <f t="shared" si="10"/>
        <v>0.40300000000000002</v>
      </c>
      <c r="EA20" s="299" t="s">
        <v>322</v>
      </c>
    </row>
    <row r="21" spans="1:131" ht="15" customHeight="1" thickTop="1" thickBot="1" x14ac:dyDescent="0.3">
      <c r="A21" s="188"/>
      <c r="B21" s="189"/>
      <c r="C21" s="189"/>
      <c r="D21" s="194" t="s">
        <v>86</v>
      </c>
      <c r="E21" s="199"/>
      <c r="F21" s="207">
        <f>G4/B6</f>
        <v>0.17431192660550457</v>
      </c>
      <c r="G21" s="199"/>
      <c r="H21" s="190"/>
      <c r="I21" s="189"/>
      <c r="K21" t="s">
        <v>84</v>
      </c>
      <c r="L21" s="218">
        <v>0</v>
      </c>
      <c r="M21" s="219">
        <v>2</v>
      </c>
      <c r="N21" s="219" t="s">
        <v>54</v>
      </c>
      <c r="O21" s="220">
        <f>H10</f>
        <v>3.9</v>
      </c>
      <c r="P21" s="221" t="s">
        <v>26</v>
      </c>
      <c r="Q21" s="30">
        <f t="shared" si="4"/>
        <v>3.5</v>
      </c>
      <c r="R21" s="30">
        <f t="shared" si="5"/>
        <v>13.65</v>
      </c>
      <c r="S21" s="30">
        <f t="shared" si="11"/>
        <v>0</v>
      </c>
      <c r="T21" s="30">
        <f t="shared" si="12"/>
        <v>0</v>
      </c>
      <c r="U21" s="30">
        <f t="shared" si="13"/>
        <v>0</v>
      </c>
      <c r="V21" s="31"/>
      <c r="W21" s="3"/>
      <c r="X21" s="228" t="s">
        <v>85</v>
      </c>
      <c r="Y21" s="229"/>
      <c r="Z21" s="230" t="s">
        <v>21</v>
      </c>
      <c r="AA21" s="231">
        <f>(1/(1/8+SUM(AD23:AD25)+1/8))</f>
        <v>1.7363344051446945</v>
      </c>
      <c r="AB21" s="229" t="s">
        <v>5</v>
      </c>
      <c r="AC21" s="229"/>
      <c r="AD21" s="229" t="s">
        <v>22</v>
      </c>
      <c r="AE21" s="232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9" t="s">
        <v>319</v>
      </c>
      <c r="AN21" s="81" t="s">
        <v>320</v>
      </c>
      <c r="AO21" s="81" t="s">
        <v>337</v>
      </c>
      <c r="AP21" s="81">
        <f>2*AA21*O27+R30</f>
        <v>321.59308227688655</v>
      </c>
      <c r="AQ21" s="81" t="s">
        <v>322</v>
      </c>
      <c r="AR21" s="167">
        <v>721.00049999999999</v>
      </c>
      <c r="AV21" s="168" t="s">
        <v>319</v>
      </c>
      <c r="AW21" s="168" t="s">
        <v>320</v>
      </c>
      <c r="AX21" s="168" t="s">
        <v>337</v>
      </c>
      <c r="AY21" s="169" t="s">
        <v>323</v>
      </c>
      <c r="AZ21" s="162">
        <f t="shared" si="14"/>
        <v>321.59308227688655</v>
      </c>
      <c r="BA21" s="168" t="s">
        <v>322</v>
      </c>
      <c r="BC21" s="81" t="s">
        <v>303</v>
      </c>
      <c r="BD21" s="167">
        <v>30400000</v>
      </c>
      <c r="BE21" s="167">
        <v>78800</v>
      </c>
      <c r="BF21" s="81">
        <v>386.04</v>
      </c>
      <c r="BG21" s="81" t="s">
        <v>388</v>
      </c>
      <c r="BH21" s="81"/>
      <c r="BJ21" s="175" t="s">
        <v>319</v>
      </c>
      <c r="BK21" s="175" t="s">
        <v>320</v>
      </c>
      <c r="BL21" s="175" t="s">
        <v>337</v>
      </c>
      <c r="BM21" s="175" t="s">
        <v>323</v>
      </c>
      <c r="BN21" s="181">
        <f>BD34</f>
        <v>1310</v>
      </c>
      <c r="BO21" s="175" t="s">
        <v>322</v>
      </c>
      <c r="BQ21" s="81" t="s">
        <v>303</v>
      </c>
      <c r="BR21" s="167">
        <v>25400000</v>
      </c>
      <c r="BS21" s="167">
        <v>316000</v>
      </c>
      <c r="BT21" s="81">
        <v>80.53</v>
      </c>
      <c r="BU21" s="81" t="s">
        <v>422</v>
      </c>
      <c r="BV21" s="167">
        <v>2E-16</v>
      </c>
      <c r="BW21" s="81" t="s">
        <v>389</v>
      </c>
      <c r="BY21" s="178" t="s">
        <v>319</v>
      </c>
      <c r="BZ21" s="178" t="s">
        <v>320</v>
      </c>
      <c r="CA21" s="178" t="s">
        <v>335</v>
      </c>
      <c r="CB21" s="178" t="s">
        <v>323</v>
      </c>
      <c r="CC21" s="180">
        <f>BR32</f>
        <v>278</v>
      </c>
      <c r="CD21" s="178" t="s">
        <v>322</v>
      </c>
      <c r="CE21" s="167">
        <f>BS32</f>
        <v>2.25</v>
      </c>
      <c r="CO21" s="81" t="s">
        <v>338</v>
      </c>
      <c r="CP21" s="257">
        <f t="shared" si="0"/>
        <v>165.7062043956044</v>
      </c>
      <c r="CQ21" s="257">
        <f t="shared" si="1"/>
        <v>253</v>
      </c>
      <c r="CR21" s="257">
        <f t="shared" si="2"/>
        <v>272</v>
      </c>
      <c r="CU21" s="258" t="s">
        <v>442</v>
      </c>
      <c r="CV21" s="258" t="s">
        <v>343</v>
      </c>
      <c r="CW21" s="259">
        <v>1.08</v>
      </c>
      <c r="CX21" s="259">
        <v>0.16</v>
      </c>
      <c r="CY21" s="258">
        <v>6.74</v>
      </c>
      <c r="CZ21" s="259">
        <v>1.6E-11</v>
      </c>
      <c r="DA21" s="81" t="s">
        <v>389</v>
      </c>
      <c r="DB21" s="81"/>
      <c r="DC21" s="260" t="s">
        <v>467</v>
      </c>
      <c r="DD21" s="264" t="s">
        <v>484</v>
      </c>
      <c r="DE21" s="261" t="s">
        <v>323</v>
      </c>
      <c r="DF21" s="262">
        <f t="shared" si="9"/>
        <v>0.16200000000000001</v>
      </c>
      <c r="DG21" s="260" t="s">
        <v>322</v>
      </c>
      <c r="DI21" s="170" t="s">
        <v>467</v>
      </c>
      <c r="DJ21" s="293" t="s">
        <v>484</v>
      </c>
      <c r="DK21" s="291" t="s">
        <v>323</v>
      </c>
      <c r="DL21" s="170">
        <f>$O$11*$Z$37*$AP$42</f>
        <v>0.59958926488848507</v>
      </c>
      <c r="DM21" s="170" t="s">
        <v>322</v>
      </c>
      <c r="DO21" s="298" t="s">
        <v>442</v>
      </c>
      <c r="DP21" s="298" t="s">
        <v>343</v>
      </c>
      <c r="DQ21" s="302">
        <v>1.2</v>
      </c>
      <c r="DR21" s="302">
        <v>0.66900000000000004</v>
      </c>
      <c r="DS21" s="298">
        <v>1.8</v>
      </c>
      <c r="DT21" s="302">
        <v>7.1999999999999995E-2</v>
      </c>
      <c r="DU21" s="298" t="s">
        <v>427</v>
      </c>
      <c r="DW21" s="299" t="s">
        <v>467</v>
      </c>
      <c r="DX21" s="304" t="s">
        <v>484</v>
      </c>
      <c r="DY21" s="300" t="s">
        <v>323</v>
      </c>
      <c r="DZ21" s="301">
        <f t="shared" si="10"/>
        <v>0.311</v>
      </c>
      <c r="EA21" s="299" t="s">
        <v>322</v>
      </c>
    </row>
    <row r="22" spans="1:131" ht="15" customHeight="1" thickTop="1" thickBot="1" x14ac:dyDescent="0.3">
      <c r="A22" s="205"/>
      <c r="B22" s="187"/>
      <c r="C22" s="187"/>
      <c r="D22" s="188" t="s">
        <v>88</v>
      </c>
      <c r="E22" s="189"/>
      <c r="F22" s="195">
        <f>G4/B26</f>
        <v>8.2905544147843929E-2</v>
      </c>
      <c r="G22" s="189"/>
      <c r="H22" s="190"/>
      <c r="I22" s="189"/>
      <c r="K22" t="s">
        <v>87</v>
      </c>
      <c r="L22" s="218">
        <v>0</v>
      </c>
      <c r="M22" s="219">
        <v>2</v>
      </c>
      <c r="N22" s="219" t="s">
        <v>54</v>
      </c>
      <c r="O22" s="220">
        <f>H11</f>
        <v>4</v>
      </c>
      <c r="P22" s="221" t="s">
        <v>39</v>
      </c>
      <c r="Q22" s="30">
        <f t="shared" si="4"/>
        <v>3.5</v>
      </c>
      <c r="R22" s="30">
        <f t="shared" si="5"/>
        <v>14</v>
      </c>
      <c r="S22" s="30">
        <f t="shared" si="11"/>
        <v>0</v>
      </c>
      <c r="T22" s="30">
        <f t="shared" si="12"/>
        <v>0</v>
      </c>
      <c r="U22" s="30">
        <f t="shared" si="13"/>
        <v>0</v>
      </c>
      <c r="V22" s="31"/>
      <c r="W22" s="3"/>
      <c r="X22" s="233"/>
      <c r="Y22" s="234" t="s">
        <v>27</v>
      </c>
      <c r="Z22" s="234" t="s">
        <v>28</v>
      </c>
      <c r="AA22" s="234" t="s">
        <v>29</v>
      </c>
      <c r="AB22" s="234" t="s">
        <v>30</v>
      </c>
      <c r="AC22" s="234" t="s">
        <v>31</v>
      </c>
      <c r="AD22" s="234" t="s">
        <v>32</v>
      </c>
      <c r="AE22" s="235" t="s">
        <v>33</v>
      </c>
      <c r="AF22" s="14"/>
      <c r="AG22" s="14"/>
      <c r="AH22" s="14"/>
      <c r="AM22" s="159" t="s">
        <v>319</v>
      </c>
      <c r="AN22" s="81" t="s">
        <v>320</v>
      </c>
      <c r="AO22" s="81" t="s">
        <v>338</v>
      </c>
      <c r="AP22" s="153">
        <f>'Verwarming Tabula 2zone'!B60+SUM(R10:R13)+R16</f>
        <v>165.7062043956044</v>
      </c>
      <c r="AQ22" s="81" t="s">
        <v>322</v>
      </c>
      <c r="AR22" s="167">
        <v>110.5333</v>
      </c>
      <c r="AV22" s="168" t="s">
        <v>319</v>
      </c>
      <c r="AW22" s="168" t="s">
        <v>320</v>
      </c>
      <c r="AX22" s="168" t="s">
        <v>338</v>
      </c>
      <c r="AY22" s="169" t="s">
        <v>323</v>
      </c>
      <c r="AZ22" s="162">
        <f t="shared" si="14"/>
        <v>165.7062043956044</v>
      </c>
      <c r="BA22" s="168" t="s">
        <v>322</v>
      </c>
      <c r="BC22" s="81" t="s">
        <v>400</v>
      </c>
      <c r="BD22" s="167">
        <v>-5.92</v>
      </c>
      <c r="BE22" s="167">
        <v>5.1700000000000003E-2</v>
      </c>
      <c r="BF22" s="81">
        <v>-114.57</v>
      </c>
      <c r="BG22" s="81" t="s">
        <v>388</v>
      </c>
      <c r="BH22" s="81"/>
      <c r="BJ22" s="175" t="s">
        <v>319</v>
      </c>
      <c r="BK22" s="175" t="s">
        <v>320</v>
      </c>
      <c r="BL22" s="175" t="s">
        <v>338</v>
      </c>
      <c r="BM22" s="175" t="s">
        <v>323</v>
      </c>
      <c r="BN22" s="181">
        <f>BD35</f>
        <v>253</v>
      </c>
      <c r="BO22" s="175" t="s">
        <v>322</v>
      </c>
      <c r="BQ22" s="81" t="s">
        <v>400</v>
      </c>
      <c r="BR22" s="167">
        <v>-6.08</v>
      </c>
      <c r="BS22" s="167">
        <v>0.23</v>
      </c>
      <c r="BT22" s="81">
        <v>-26.41</v>
      </c>
      <c r="BU22" s="81" t="s">
        <v>422</v>
      </c>
      <c r="BV22" s="167">
        <v>2E-16</v>
      </c>
      <c r="BW22" s="81" t="s">
        <v>389</v>
      </c>
      <c r="BY22" s="178" t="s">
        <v>319</v>
      </c>
      <c r="BZ22" s="178" t="s">
        <v>320</v>
      </c>
      <c r="CA22" s="178" t="s">
        <v>336</v>
      </c>
      <c r="CB22" s="178" t="s">
        <v>323</v>
      </c>
      <c r="CC22" s="180">
        <f>BR33</f>
        <v>215</v>
      </c>
      <c r="CD22" s="178" t="s">
        <v>322</v>
      </c>
      <c r="CE22" s="167">
        <f>BS33</f>
        <v>1.54</v>
      </c>
      <c r="CO22" s="81" t="s">
        <v>339</v>
      </c>
      <c r="CP22" s="257">
        <f t="shared" si="0"/>
        <v>125.28411280849714</v>
      </c>
      <c r="CQ22" s="257">
        <f t="shared" si="1"/>
        <v>217.39130434782609</v>
      </c>
      <c r="CR22" s="257">
        <f t="shared" si="2"/>
        <v>326.79738562091507</v>
      </c>
      <c r="CU22" s="258" t="s">
        <v>442</v>
      </c>
      <c r="CV22" s="258" t="s">
        <v>451</v>
      </c>
      <c r="CW22" s="259">
        <v>0.247</v>
      </c>
      <c r="CX22" s="259">
        <v>3.5299999999999998E-2</v>
      </c>
      <c r="CY22" s="258">
        <v>7</v>
      </c>
      <c r="CZ22" s="259">
        <v>2.6999999999999998E-12</v>
      </c>
      <c r="DA22" s="81" t="s">
        <v>389</v>
      </c>
      <c r="DB22" s="81"/>
      <c r="DC22" s="260" t="s">
        <v>467</v>
      </c>
      <c r="DD22" s="264" t="s">
        <v>485</v>
      </c>
      <c r="DE22" s="261" t="s">
        <v>323</v>
      </c>
      <c r="DF22" s="262">
        <f t="shared" si="9"/>
        <v>0.10299999999999999</v>
      </c>
      <c r="DG22" s="260" t="s">
        <v>322</v>
      </c>
      <c r="DI22" s="170" t="s">
        <v>467</v>
      </c>
      <c r="DJ22" s="293" t="s">
        <v>485</v>
      </c>
      <c r="DK22" s="291" t="s">
        <v>323</v>
      </c>
      <c r="DL22" s="170">
        <f>$O$10*$Z$37*$AP$42</f>
        <v>0.58459953326627301</v>
      </c>
      <c r="DM22" s="170" t="s">
        <v>322</v>
      </c>
      <c r="DO22" s="298" t="s">
        <v>442</v>
      </c>
      <c r="DP22" s="298" t="s">
        <v>451</v>
      </c>
      <c r="DQ22" s="302">
        <v>8.1199999999999994E-2</v>
      </c>
      <c r="DR22" s="302">
        <v>0.161</v>
      </c>
      <c r="DS22" s="298">
        <v>0.51</v>
      </c>
      <c r="DT22" s="302">
        <v>0.61299999999999999</v>
      </c>
      <c r="DW22" s="299" t="s">
        <v>467</v>
      </c>
      <c r="DX22" s="304" t="s">
        <v>485</v>
      </c>
      <c r="DY22" s="300" t="s">
        <v>323</v>
      </c>
      <c r="DZ22" s="301">
        <f t="shared" si="10"/>
        <v>0.26600000000000001</v>
      </c>
      <c r="EA22" s="299" t="s">
        <v>322</v>
      </c>
    </row>
    <row r="23" spans="1:131" ht="15" customHeight="1" thickTop="1" thickBot="1" x14ac:dyDescent="0.3">
      <c r="A23" s="191" t="s">
        <v>91</v>
      </c>
      <c r="B23" s="192">
        <f>B17+B6</f>
        <v>185.3</v>
      </c>
      <c r="C23" s="202" t="s">
        <v>9</v>
      </c>
      <c r="D23" s="188"/>
      <c r="E23" s="189"/>
      <c r="F23" s="189"/>
      <c r="G23" s="189"/>
      <c r="H23" s="190"/>
      <c r="I23" s="189"/>
      <c r="K23" t="s">
        <v>89</v>
      </c>
      <c r="L23" s="218">
        <v>0</v>
      </c>
      <c r="M23" s="219">
        <v>2</v>
      </c>
      <c r="N23" s="219" t="s">
        <v>54</v>
      </c>
      <c r="O23" s="220">
        <f>H12</f>
        <v>4.55</v>
      </c>
      <c r="P23" s="221" t="s">
        <v>45</v>
      </c>
      <c r="Q23" s="30">
        <f t="shared" si="4"/>
        <v>3.5</v>
      </c>
      <c r="R23" s="30">
        <f t="shared" si="5"/>
        <v>15.924999999999999</v>
      </c>
      <c r="S23" s="30">
        <f t="shared" si="11"/>
        <v>0</v>
      </c>
      <c r="T23" s="30">
        <f t="shared" si="12"/>
        <v>0</v>
      </c>
      <c r="U23" s="30">
        <f t="shared" si="13"/>
        <v>0</v>
      </c>
      <c r="V23" s="31"/>
      <c r="W23" s="3"/>
      <c r="X23" s="188"/>
      <c r="Y23" s="189" t="s">
        <v>90</v>
      </c>
      <c r="Z23" s="189">
        <v>0.02</v>
      </c>
      <c r="AA23" s="189">
        <v>0.6</v>
      </c>
      <c r="AB23" s="189">
        <v>975</v>
      </c>
      <c r="AC23" s="189">
        <v>840</v>
      </c>
      <c r="AD23" s="236">
        <f>Z23/AA23</f>
        <v>3.3333333333333333E-2</v>
      </c>
      <c r="AE23" s="190">
        <f>Z23*AB23*AC23</f>
        <v>16380</v>
      </c>
      <c r="AF23" s="14"/>
      <c r="AG23" s="14"/>
      <c r="AH23" s="14"/>
      <c r="AM23" s="159" t="s">
        <v>319</v>
      </c>
      <c r="AN23" s="81" t="s">
        <v>320</v>
      </c>
      <c r="AO23" s="81" t="s">
        <v>339</v>
      </c>
      <c r="AP23" s="81">
        <f>SUM(O6:O9)*1/(SUM(AD15:AD17)+1/23)</f>
        <v>125.28411280849714</v>
      </c>
      <c r="AQ23" s="81" t="s">
        <v>322</v>
      </c>
      <c r="AR23" s="81">
        <f>1/0.01496205</f>
        <v>66.83576114235683</v>
      </c>
      <c r="AV23" s="168" t="s">
        <v>319</v>
      </c>
      <c r="AW23" s="168" t="s">
        <v>320</v>
      </c>
      <c r="AX23" s="168" t="s">
        <v>339</v>
      </c>
      <c r="AY23" s="169" t="s">
        <v>323</v>
      </c>
      <c r="AZ23" s="162">
        <f t="shared" si="14"/>
        <v>125.28411280849714</v>
      </c>
      <c r="BA23" s="168" t="s">
        <v>322</v>
      </c>
      <c r="BC23" s="81" t="s">
        <v>401</v>
      </c>
      <c r="BD23" s="167">
        <v>-13.3</v>
      </c>
      <c r="BE23" s="167">
        <v>65</v>
      </c>
      <c r="BF23" s="81">
        <v>-0.2</v>
      </c>
      <c r="BG23" s="81">
        <v>0.84</v>
      </c>
      <c r="BH23" s="81"/>
      <c r="BJ23" s="175" t="s">
        <v>319</v>
      </c>
      <c r="BK23" s="175" t="s">
        <v>320</v>
      </c>
      <c r="BL23" s="175" t="s">
        <v>339</v>
      </c>
      <c r="BM23" s="175" t="s">
        <v>323</v>
      </c>
      <c r="BN23" s="181">
        <f>1/BD41</f>
        <v>217.39130434782609</v>
      </c>
      <c r="BO23" s="175" t="s">
        <v>322</v>
      </c>
      <c r="BQ23" s="81" t="s">
        <v>401</v>
      </c>
      <c r="BR23" s="167">
        <v>-27.7</v>
      </c>
      <c r="BS23" s="167">
        <v>2.08</v>
      </c>
      <c r="BT23" s="81">
        <v>-13.34</v>
      </c>
      <c r="BU23" s="81" t="s">
        <v>422</v>
      </c>
      <c r="BV23" s="167">
        <v>2E-16</v>
      </c>
      <c r="BW23" s="81" t="s">
        <v>389</v>
      </c>
      <c r="BY23" s="178" t="s">
        <v>319</v>
      </c>
      <c r="BZ23" s="178" t="s">
        <v>320</v>
      </c>
      <c r="CA23" s="178" t="s">
        <v>337</v>
      </c>
      <c r="CB23" s="178" t="s">
        <v>323</v>
      </c>
      <c r="CC23" s="180">
        <f>BR34</f>
        <v>457</v>
      </c>
      <c r="CD23" s="178" t="s">
        <v>322</v>
      </c>
      <c r="CE23" s="167">
        <f>BS34</f>
        <v>3.7</v>
      </c>
      <c r="CO23" s="81" t="s">
        <v>340</v>
      </c>
      <c r="CP23" s="257">
        <f t="shared" si="0"/>
        <v>49.472392638036808</v>
      </c>
      <c r="CQ23" s="257">
        <f t="shared" si="1"/>
        <v>81.900000000000006</v>
      </c>
      <c r="CR23" s="257">
        <f t="shared" si="2"/>
        <v>75.900000000000006</v>
      </c>
      <c r="CU23" s="258" t="s">
        <v>442</v>
      </c>
      <c r="CV23" s="258" t="s">
        <v>452</v>
      </c>
      <c r="CW23" s="259">
        <v>0.28399999999999997</v>
      </c>
      <c r="CX23" s="259">
        <v>4.4699999999999997E-2</v>
      </c>
      <c r="CY23" s="258">
        <v>6.35</v>
      </c>
      <c r="CZ23" s="259">
        <v>2.1999999999999999E-10</v>
      </c>
      <c r="DA23" s="81" t="s">
        <v>389</v>
      </c>
      <c r="DB23" s="81"/>
      <c r="DC23" s="260" t="s">
        <v>467</v>
      </c>
      <c r="DD23" s="263" t="s">
        <v>486</v>
      </c>
      <c r="DE23" s="261" t="s">
        <v>323</v>
      </c>
      <c r="DF23" s="262">
        <f t="shared" si="9"/>
        <v>0.17</v>
      </c>
      <c r="DG23" s="260" t="s">
        <v>322</v>
      </c>
      <c r="DI23" s="170" t="s">
        <v>467</v>
      </c>
      <c r="DJ23" s="292" t="s">
        <v>486</v>
      </c>
      <c r="DK23" s="291" t="s">
        <v>323</v>
      </c>
      <c r="DL23" s="170">
        <f>$O$12*$Z$37*$AP$42</f>
        <v>0.68203278881065177</v>
      </c>
      <c r="DM23" s="170" t="s">
        <v>322</v>
      </c>
      <c r="DO23" s="298" t="s">
        <v>442</v>
      </c>
      <c r="DP23" s="298" t="s">
        <v>452</v>
      </c>
      <c r="DQ23" s="302">
        <v>0.37</v>
      </c>
      <c r="DR23" s="302">
        <v>0.182</v>
      </c>
      <c r="DS23" s="298">
        <v>2.0299999999999998</v>
      </c>
      <c r="DT23" s="302">
        <v>4.2000000000000003E-2</v>
      </c>
      <c r="DU23" s="298" t="s">
        <v>434</v>
      </c>
      <c r="DW23" s="299" t="s">
        <v>467</v>
      </c>
      <c r="DX23" s="303" t="s">
        <v>486</v>
      </c>
      <c r="DY23" s="300" t="s">
        <v>323</v>
      </c>
      <c r="DZ23" s="301">
        <f t="shared" si="10"/>
        <v>0.28999999999999998</v>
      </c>
      <c r="EA23" s="299" t="s">
        <v>322</v>
      </c>
    </row>
    <row r="24" spans="1:131" ht="15" customHeight="1" thickTop="1" thickBot="1" x14ac:dyDescent="0.3">
      <c r="A24" s="188" t="s">
        <v>94</v>
      </c>
      <c r="B24" s="208">
        <f>B23/B6</f>
        <v>1</v>
      </c>
      <c r="C24" s="189"/>
      <c r="D24" s="188" t="s">
        <v>95</v>
      </c>
      <c r="E24" s="189"/>
      <c r="F24" s="208">
        <f>B8/B6</f>
        <v>0.48192120885051271</v>
      </c>
      <c r="G24" s="189"/>
      <c r="H24" s="190"/>
      <c r="I24" s="189"/>
      <c r="K24" t="s">
        <v>92</v>
      </c>
      <c r="L24" s="218">
        <v>0</v>
      </c>
      <c r="M24" s="219">
        <v>2</v>
      </c>
      <c r="N24" s="219" t="s">
        <v>54</v>
      </c>
      <c r="O24" s="220">
        <f>H13</f>
        <v>3.7</v>
      </c>
      <c r="P24" s="221" t="s">
        <v>50</v>
      </c>
      <c r="Q24" s="30">
        <f t="shared" si="4"/>
        <v>3.5</v>
      </c>
      <c r="R24" s="30">
        <f t="shared" si="5"/>
        <v>12.950000000000001</v>
      </c>
      <c r="S24" s="30">
        <f t="shared" si="11"/>
        <v>0</v>
      </c>
      <c r="T24" s="30">
        <f t="shared" si="12"/>
        <v>0</v>
      </c>
      <c r="U24" s="30">
        <f t="shared" si="13"/>
        <v>0</v>
      </c>
      <c r="V24" s="31"/>
      <c r="W24" s="3"/>
      <c r="X24" s="188"/>
      <c r="Y24" s="189" t="s">
        <v>93</v>
      </c>
      <c r="Z24" s="189">
        <v>0.14000000000000001</v>
      </c>
      <c r="AA24" s="189">
        <v>0.54</v>
      </c>
      <c r="AB24" s="189">
        <v>1400</v>
      </c>
      <c r="AC24" s="189">
        <v>840</v>
      </c>
      <c r="AD24" s="236">
        <f>Z24/AA24</f>
        <v>0.25925925925925924</v>
      </c>
      <c r="AE24" s="190">
        <f>Z24*AB24*AC24</f>
        <v>164640.00000000003</v>
      </c>
      <c r="AF24" s="14"/>
      <c r="AG24" s="14"/>
      <c r="AH24" s="14"/>
      <c r="AM24" s="159" t="s">
        <v>319</v>
      </c>
      <c r="AN24" s="81" t="s">
        <v>320</v>
      </c>
      <c r="AO24" s="81" t="s">
        <v>340</v>
      </c>
      <c r="AP24" s="81">
        <f>SUM(O14)*1/(SUM(AD44:AD46)+1)</f>
        <v>49.472392638036808</v>
      </c>
      <c r="AQ24" s="81" t="s">
        <v>322</v>
      </c>
      <c r="AR24" s="167">
        <v>43.800190000000001</v>
      </c>
      <c r="AV24" s="168" t="s">
        <v>319</v>
      </c>
      <c r="AW24" s="168" t="s">
        <v>320</v>
      </c>
      <c r="AX24" s="168" t="s">
        <v>340</v>
      </c>
      <c r="AY24" s="169" t="s">
        <v>323</v>
      </c>
      <c r="AZ24" s="162">
        <f t="shared" si="14"/>
        <v>49.472392638036808</v>
      </c>
      <c r="BA24" s="168" t="s">
        <v>322</v>
      </c>
      <c r="BC24" s="81" t="s">
        <v>402</v>
      </c>
      <c r="BD24" s="167">
        <v>-15.6</v>
      </c>
      <c r="BE24" s="167">
        <v>83.5</v>
      </c>
      <c r="BF24" s="81">
        <v>-0.19</v>
      </c>
      <c r="BG24" s="81">
        <v>0.85</v>
      </c>
      <c r="BH24" s="81"/>
      <c r="BJ24" s="175" t="s">
        <v>319</v>
      </c>
      <c r="BK24" s="175" t="s">
        <v>320</v>
      </c>
      <c r="BL24" s="175" t="s">
        <v>340</v>
      </c>
      <c r="BM24" s="175" t="s">
        <v>323</v>
      </c>
      <c r="BN24" s="181">
        <f>BD44</f>
        <v>81.900000000000006</v>
      </c>
      <c r="BO24" s="175" t="s">
        <v>322</v>
      </c>
      <c r="BQ24" s="81" t="s">
        <v>402</v>
      </c>
      <c r="BR24" s="167">
        <v>-23.8</v>
      </c>
      <c r="BS24" s="167">
        <v>9</v>
      </c>
      <c r="BT24" s="81">
        <v>-2.65</v>
      </c>
      <c r="BU24" s="81">
        <v>8.0999999999999996E-3</v>
      </c>
      <c r="BV24" s="81" t="s">
        <v>425</v>
      </c>
      <c r="BW24" s="81"/>
      <c r="BY24" s="178" t="s">
        <v>319</v>
      </c>
      <c r="BZ24" s="178" t="s">
        <v>320</v>
      </c>
      <c r="CA24" s="178" t="s">
        <v>338</v>
      </c>
      <c r="CB24" s="178" t="s">
        <v>323</v>
      </c>
      <c r="CC24" s="180">
        <f>BR35</f>
        <v>272</v>
      </c>
      <c r="CD24" s="178" t="s">
        <v>322</v>
      </c>
      <c r="CE24" s="167">
        <f>BS35</f>
        <v>18.2</v>
      </c>
      <c r="CP24" s="255"/>
      <c r="CQ24" s="255"/>
      <c r="CR24" s="255"/>
      <c r="CU24" s="258" t="s">
        <v>442</v>
      </c>
      <c r="CV24" s="258" t="s">
        <v>453</v>
      </c>
      <c r="CW24" s="259">
        <v>0.55600000000000005</v>
      </c>
      <c r="CX24" s="259">
        <v>1.43E-2</v>
      </c>
      <c r="CY24" s="258">
        <v>38.94</v>
      </c>
      <c r="CZ24" s="258" t="s">
        <v>422</v>
      </c>
      <c r="DA24" s="167">
        <v>2E-16</v>
      </c>
      <c r="DB24" s="81" t="s">
        <v>389</v>
      </c>
      <c r="DC24" s="260" t="s">
        <v>467</v>
      </c>
      <c r="DD24" s="261" t="s">
        <v>487</v>
      </c>
      <c r="DE24" s="261" t="s">
        <v>323</v>
      </c>
      <c r="DF24" s="262">
        <f t="shared" si="9"/>
        <v>8.4199999999999997E-2</v>
      </c>
      <c r="DG24" s="260" t="s">
        <v>322</v>
      </c>
      <c r="DI24" s="170" t="s">
        <v>467</v>
      </c>
      <c r="DJ24" s="291" t="s">
        <v>487</v>
      </c>
      <c r="DK24" s="291" t="s">
        <v>323</v>
      </c>
      <c r="DL24" s="170">
        <f>$O$13*$Z$37*$AP$42</f>
        <v>0.55462007002184877</v>
      </c>
      <c r="DM24" s="170" t="s">
        <v>322</v>
      </c>
      <c r="DO24" s="298" t="s">
        <v>442</v>
      </c>
      <c r="DP24" s="298" t="s">
        <v>453</v>
      </c>
      <c r="DQ24" s="302">
        <v>0.55400000000000005</v>
      </c>
      <c r="DR24" s="302">
        <v>3.2199999999999999E-2</v>
      </c>
      <c r="DS24" s="298">
        <v>17.2</v>
      </c>
      <c r="DT24" s="298" t="s">
        <v>422</v>
      </c>
      <c r="DU24" s="302">
        <v>2E-16</v>
      </c>
      <c r="DV24" s="298" t="s">
        <v>389</v>
      </c>
      <c r="DW24" s="299" t="s">
        <v>467</v>
      </c>
      <c r="DX24" s="300" t="s">
        <v>487</v>
      </c>
      <c r="DY24" s="300" t="s">
        <v>323</v>
      </c>
      <c r="DZ24" s="301">
        <f t="shared" si="10"/>
        <v>0.11799999999999999</v>
      </c>
      <c r="EA24" s="299" t="s">
        <v>322</v>
      </c>
    </row>
    <row r="25" spans="1:131" ht="15" customHeight="1" thickTop="1" thickBot="1" x14ac:dyDescent="0.3">
      <c r="A25" s="205"/>
      <c r="B25" s="187"/>
      <c r="C25" s="187"/>
      <c r="D25" s="188"/>
      <c r="E25" s="189"/>
      <c r="F25" s="189"/>
      <c r="G25" s="189"/>
      <c r="H25" s="190"/>
      <c r="I25" s="189"/>
      <c r="K25" t="s">
        <v>96</v>
      </c>
      <c r="L25" s="218">
        <v>0</v>
      </c>
      <c r="M25" s="219">
        <v>2</v>
      </c>
      <c r="N25" s="219" t="s">
        <v>20</v>
      </c>
      <c r="O25" s="220">
        <f>'Tabula data'!B7</f>
        <v>108.5</v>
      </c>
      <c r="P25" s="221" t="s">
        <v>97</v>
      </c>
      <c r="Q25" s="30">
        <f t="shared" si="4"/>
        <v>0.84975369458128069</v>
      </c>
      <c r="R25" s="30">
        <f t="shared" si="5"/>
        <v>92.198275862068954</v>
      </c>
      <c r="S25" s="30">
        <f t="shared" si="11"/>
        <v>5942328</v>
      </c>
      <c r="T25" s="30">
        <f t="shared" si="12"/>
        <v>54768</v>
      </c>
      <c r="U25" s="30">
        <f t="shared" si="13"/>
        <v>1777230</v>
      </c>
      <c r="V25" s="31"/>
      <c r="W25" s="3"/>
      <c r="X25" s="205"/>
      <c r="Y25" s="187" t="s">
        <v>90</v>
      </c>
      <c r="Z25" s="187">
        <v>0.02</v>
      </c>
      <c r="AA25" s="187">
        <v>0.6</v>
      </c>
      <c r="AB25" s="187">
        <v>975</v>
      </c>
      <c r="AC25" s="187">
        <v>840</v>
      </c>
      <c r="AD25" s="237">
        <f>Z25/AA25</f>
        <v>3.3333333333333333E-2</v>
      </c>
      <c r="AE25" s="210">
        <f>Z25*AB25*AC25</f>
        <v>16380</v>
      </c>
      <c r="AF25" s="14"/>
      <c r="AG25" s="14"/>
      <c r="AH25" s="14"/>
      <c r="AQ25" s="81" t="s">
        <v>322</v>
      </c>
      <c r="AV25" s="168"/>
      <c r="AW25" s="168"/>
      <c r="AX25" s="168"/>
      <c r="AY25" s="169"/>
      <c r="BA25" s="168"/>
      <c r="BC25" s="81" t="s">
        <v>403</v>
      </c>
      <c r="BD25" s="167">
        <v>-11.3</v>
      </c>
      <c r="BE25" s="167">
        <v>53</v>
      </c>
      <c r="BF25" s="81">
        <v>-0.21</v>
      </c>
      <c r="BG25" s="81">
        <v>0.83</v>
      </c>
      <c r="BH25" s="81"/>
      <c r="BJ25" s="175"/>
      <c r="BK25" s="175"/>
      <c r="BL25" s="175"/>
      <c r="BM25" s="175"/>
      <c r="BN25" s="174"/>
      <c r="BO25" s="175"/>
      <c r="BQ25" s="81" t="s">
        <v>403</v>
      </c>
      <c r="BR25" s="167">
        <v>-16.399999999999999</v>
      </c>
      <c r="BS25" s="167">
        <v>1.69</v>
      </c>
      <c r="BT25" s="81">
        <v>-9.69</v>
      </c>
      <c r="BU25" s="81" t="s">
        <v>422</v>
      </c>
      <c r="BV25" s="167">
        <v>2E-16</v>
      </c>
      <c r="BW25" s="81" t="s">
        <v>389</v>
      </c>
      <c r="BY25" s="178" t="s">
        <v>319</v>
      </c>
      <c r="BZ25" s="178" t="s">
        <v>320</v>
      </c>
      <c r="CA25" s="178" t="s">
        <v>339</v>
      </c>
      <c r="CB25" s="178" t="s">
        <v>323</v>
      </c>
      <c r="CC25" s="180">
        <f>1/BR41</f>
        <v>326.79738562091507</v>
      </c>
      <c r="CD25" s="178" t="s">
        <v>322</v>
      </c>
      <c r="CE25" s="167">
        <f>CC25/50</f>
        <v>6.5359477124183014</v>
      </c>
      <c r="CO25" s="81" t="s">
        <v>341</v>
      </c>
      <c r="CP25" s="254">
        <f t="shared" si="0"/>
        <v>0.3916273809836372</v>
      </c>
      <c r="CQ25" s="254">
        <f t="shared" si="1"/>
        <v>0.44900000000000001</v>
      </c>
      <c r="CR25" s="254">
        <f t="shared" si="2"/>
        <v>0.46800000000000003</v>
      </c>
      <c r="CU25" s="258" t="s">
        <v>442</v>
      </c>
      <c r="CV25" s="258" t="s">
        <v>454</v>
      </c>
      <c r="CW25" s="259">
        <v>0.42899999999999999</v>
      </c>
      <c r="CX25" s="259">
        <v>3.2500000000000001E-2</v>
      </c>
      <c r="CY25" s="258">
        <v>13.22</v>
      </c>
      <c r="CZ25" s="258" t="s">
        <v>422</v>
      </c>
      <c r="DA25" s="167">
        <v>2E-16</v>
      </c>
      <c r="DB25" s="81" t="s">
        <v>389</v>
      </c>
      <c r="DE25" s="261"/>
      <c r="DI25" s="170"/>
      <c r="DJ25" s="170"/>
      <c r="DK25" s="291"/>
      <c r="DL25" s="170"/>
      <c r="DM25" s="170"/>
      <c r="DO25" s="298" t="s">
        <v>442</v>
      </c>
      <c r="DP25" s="298" t="s">
        <v>454</v>
      </c>
      <c r="DQ25" s="302">
        <v>0.43099999999999999</v>
      </c>
      <c r="DR25" s="302">
        <v>6.2600000000000003E-2</v>
      </c>
      <c r="DS25" s="298">
        <v>6.88</v>
      </c>
      <c r="DT25" s="302">
        <v>6.6000000000000001E-12</v>
      </c>
      <c r="DU25" s="302" t="s">
        <v>389</v>
      </c>
      <c r="DY25" s="300"/>
    </row>
    <row r="26" spans="1:131" ht="15" customHeight="1" thickTop="1" thickBot="1" x14ac:dyDescent="0.3">
      <c r="A26" s="191" t="s">
        <v>100</v>
      </c>
      <c r="B26" s="209">
        <f>'Tabula data'!B6</f>
        <v>389.6</v>
      </c>
      <c r="C26" s="203" t="s">
        <v>9</v>
      </c>
      <c r="D26" s="188"/>
      <c r="E26" s="189"/>
      <c r="F26" s="189"/>
      <c r="G26" s="189"/>
      <c r="H26" s="190"/>
      <c r="I26" s="189"/>
      <c r="K26" t="s">
        <v>98</v>
      </c>
      <c r="L26" s="218">
        <v>1</v>
      </c>
      <c r="M26" s="219">
        <v>2</v>
      </c>
      <c r="N26" s="219" t="s">
        <v>99</v>
      </c>
      <c r="O26" s="220">
        <f>'Tabula data'!B4-'Tabula data'!B14</f>
        <v>89.300000000000011</v>
      </c>
      <c r="P26" s="221"/>
      <c r="Q26" s="30">
        <f t="shared" si="4"/>
        <v>1.4911242603550294</v>
      </c>
      <c r="R26" s="30">
        <f t="shared" si="5"/>
        <v>133.15739644970415</v>
      </c>
      <c r="S26" s="30">
        <f t="shared" si="11"/>
        <v>40841355.000000007</v>
      </c>
      <c r="T26" s="30">
        <f t="shared" si="12"/>
        <v>457350</v>
      </c>
      <c r="U26" s="30">
        <f t="shared" si="13"/>
        <v>40841355.000000007</v>
      </c>
      <c r="V26" s="31"/>
      <c r="W26" s="3"/>
      <c r="X26" s="226"/>
      <c r="Y26" s="226"/>
      <c r="Z26" s="226"/>
      <c r="AA26" s="226"/>
      <c r="AB26" s="226"/>
      <c r="AC26" s="226"/>
      <c r="AD26" s="226"/>
      <c r="AE26" s="226"/>
      <c r="AF26" s="14"/>
      <c r="AG26" s="14"/>
      <c r="AH26" s="14"/>
      <c r="AM26" s="159" t="s">
        <v>319</v>
      </c>
      <c r="AN26" s="81" t="s">
        <v>320</v>
      </c>
      <c r="AO26" s="81" t="s">
        <v>341</v>
      </c>
      <c r="AP26" s="81">
        <f>SUM(O17:O20,O25)/SUM(O$17:O$25,2*O$28,O$26,$O$31)</f>
        <v>0.3916273809836372</v>
      </c>
      <c r="AQ26" s="81" t="s">
        <v>322</v>
      </c>
      <c r="AR26" s="167">
        <v>0.44339849999999997</v>
      </c>
      <c r="AV26" s="168" t="s">
        <v>319</v>
      </c>
      <c r="AW26" s="168" t="s">
        <v>320</v>
      </c>
      <c r="AX26" s="168" t="s">
        <v>341</v>
      </c>
      <c r="AY26" s="169" t="s">
        <v>323</v>
      </c>
      <c r="AZ26" s="162">
        <f>AP26</f>
        <v>0.3916273809836372</v>
      </c>
      <c r="BA26" s="168" t="s">
        <v>322</v>
      </c>
      <c r="BC26" s="81" t="s">
        <v>404</v>
      </c>
      <c r="BD26" s="167">
        <v>-14.8</v>
      </c>
      <c r="BE26" s="167">
        <v>69.3</v>
      </c>
      <c r="BF26" s="81">
        <v>-0.21</v>
      </c>
      <c r="BG26" s="81">
        <v>0.83</v>
      </c>
      <c r="BH26" s="81"/>
      <c r="BJ26" s="175" t="s">
        <v>319</v>
      </c>
      <c r="BK26" s="175" t="s">
        <v>320</v>
      </c>
      <c r="BL26" s="175" t="s">
        <v>341</v>
      </c>
      <c r="BM26" s="175" t="s">
        <v>323</v>
      </c>
      <c r="BN26" s="174">
        <f>BD54</f>
        <v>0.44900000000000001</v>
      </c>
      <c r="BO26" s="175" t="s">
        <v>322</v>
      </c>
      <c r="BQ26" s="81" t="s">
        <v>404</v>
      </c>
      <c r="BR26" s="167">
        <v>-21.6</v>
      </c>
      <c r="BS26" s="167">
        <v>1.83E-2</v>
      </c>
      <c r="BT26" s="81">
        <v>-1183.33</v>
      </c>
      <c r="BU26" s="81" t="s">
        <v>422</v>
      </c>
      <c r="BV26" s="167">
        <v>2E-16</v>
      </c>
      <c r="BW26" s="81" t="s">
        <v>389</v>
      </c>
      <c r="BY26" s="178" t="s">
        <v>319</v>
      </c>
      <c r="BZ26" s="178" t="s">
        <v>320</v>
      </c>
      <c r="CA26" s="178" t="s">
        <v>340</v>
      </c>
      <c r="CB26" s="178" t="s">
        <v>323</v>
      </c>
      <c r="CC26" s="180">
        <f>BR44</f>
        <v>75.900000000000006</v>
      </c>
      <c r="CD26" s="178" t="s">
        <v>322</v>
      </c>
      <c r="CO26" s="81" t="s">
        <v>342</v>
      </c>
      <c r="CP26" s="254">
        <f t="shared" si="0"/>
        <v>0.37572743037874073</v>
      </c>
      <c r="CQ26" s="254">
        <f t="shared" si="1"/>
        <v>0.111</v>
      </c>
      <c r="CR26" s="254">
        <f t="shared" si="2"/>
        <v>0.14099999999999999</v>
      </c>
      <c r="CU26" s="258" t="s">
        <v>442</v>
      </c>
      <c r="CV26" s="258" t="s">
        <v>455</v>
      </c>
      <c r="CW26" s="259">
        <v>0.57999999999999996</v>
      </c>
      <c r="CX26" s="259">
        <v>6.94E-3</v>
      </c>
      <c r="CY26" s="258">
        <v>83.67</v>
      </c>
      <c r="CZ26" s="258" t="s">
        <v>422</v>
      </c>
      <c r="DA26" s="167">
        <v>2E-16</v>
      </c>
      <c r="DB26" s="81" t="s">
        <v>389</v>
      </c>
      <c r="DD26" s="261"/>
      <c r="DE26" s="261"/>
      <c r="DF26" s="262"/>
      <c r="DI26" s="170"/>
      <c r="DJ26" s="291"/>
      <c r="DK26" s="291"/>
      <c r="DL26" s="170"/>
      <c r="DM26" s="170"/>
      <c r="DO26" s="298" t="s">
        <v>442</v>
      </c>
      <c r="DP26" s="298" t="s">
        <v>455</v>
      </c>
      <c r="DQ26" s="302">
        <v>0.61399999999999999</v>
      </c>
      <c r="DR26" s="302">
        <v>1.37E-2</v>
      </c>
      <c r="DS26" s="298">
        <v>44.81</v>
      </c>
      <c r="DT26" s="298" t="s">
        <v>422</v>
      </c>
      <c r="DU26" s="302">
        <v>2E-16</v>
      </c>
      <c r="DV26" s="298" t="s">
        <v>389</v>
      </c>
      <c r="DX26" s="300"/>
      <c r="DY26" s="300"/>
      <c r="DZ26" s="301"/>
    </row>
    <row r="27" spans="1:131" ht="15" customHeight="1" thickTop="1" thickBot="1" x14ac:dyDescent="0.3">
      <c r="A27" s="188"/>
      <c r="B27" s="208">
        <f>SUM(O6:O25)</f>
        <v>389.5</v>
      </c>
      <c r="C27" s="190" t="s">
        <v>9</v>
      </c>
      <c r="D27" s="188"/>
      <c r="E27" s="189"/>
      <c r="F27" s="189"/>
      <c r="G27" s="189"/>
      <c r="H27" s="190"/>
      <c r="I27" s="189"/>
      <c r="K27" t="s">
        <v>101</v>
      </c>
      <c r="L27" s="218">
        <v>1</v>
      </c>
      <c r="M27" s="219">
        <v>1</v>
      </c>
      <c r="N27" s="219" t="s">
        <v>85</v>
      </c>
      <c r="O27" s="220">
        <f>SUM(O6:O9)</f>
        <v>74.188882892606586</v>
      </c>
      <c r="P27" s="221"/>
      <c r="Q27" s="30">
        <f t="shared" si="4"/>
        <v>1.7363344051446945</v>
      </c>
      <c r="R27" s="30">
        <f t="shared" si="5"/>
        <v>128.81670984568345</v>
      </c>
      <c r="S27" s="30">
        <f t="shared" si="11"/>
        <v>14644885.483000543</v>
      </c>
      <c r="T27" s="30">
        <f t="shared" si="12"/>
        <v>197400.00000000003</v>
      </c>
      <c r="U27" s="30">
        <f t="shared" si="13"/>
        <v>14644885.483000543</v>
      </c>
      <c r="V27" s="31"/>
      <c r="W27" s="3"/>
      <c r="X27" s="228" t="s">
        <v>99</v>
      </c>
      <c r="Y27" s="229"/>
      <c r="Z27" s="230" t="s">
        <v>21</v>
      </c>
      <c r="AA27" s="231">
        <f>1/(1/10+SUM(AD29:AD32)+1/6)</f>
        <v>1.4911242603550294</v>
      </c>
      <c r="AB27" s="229" t="s">
        <v>5</v>
      </c>
      <c r="AC27" s="229"/>
      <c r="AD27" s="229" t="s">
        <v>22</v>
      </c>
      <c r="AE27" s="232">
        <f>SUM(AE29:AE33)</f>
        <v>457350</v>
      </c>
      <c r="AF27" s="14" t="s">
        <v>23</v>
      </c>
      <c r="AG27" s="14">
        <f>SUM(AE29:AE32)</f>
        <v>457350</v>
      </c>
      <c r="AH27" s="14"/>
      <c r="AM27" s="159" t="s">
        <v>319</v>
      </c>
      <c r="AN27" s="81" t="s">
        <v>320</v>
      </c>
      <c r="AO27" s="81" t="s">
        <v>342</v>
      </c>
      <c r="AP27" s="81">
        <f>SUM(2*O28,O31)/SUM(O$17:O$25,2*O$28,O$26,O$31)</f>
        <v>0.37572743037874073</v>
      </c>
      <c r="AQ27" s="81" t="s">
        <v>322</v>
      </c>
      <c r="AR27" s="167">
        <v>0.14522370000000001</v>
      </c>
      <c r="AV27" s="168" t="s">
        <v>319</v>
      </c>
      <c r="AW27" s="168" t="s">
        <v>320</v>
      </c>
      <c r="AX27" s="168" t="s">
        <v>342</v>
      </c>
      <c r="AY27" s="169" t="s">
        <v>323</v>
      </c>
      <c r="AZ27" s="162">
        <f>AP27</f>
        <v>0.37572743037874073</v>
      </c>
      <c r="BA27" s="168" t="s">
        <v>322</v>
      </c>
      <c r="BC27" s="81" t="s">
        <v>405</v>
      </c>
      <c r="BD27" s="167">
        <v>0.11700000000000001</v>
      </c>
      <c r="BE27" s="167">
        <v>5.5000000000000003E-4</v>
      </c>
      <c r="BF27" s="81">
        <v>212.4</v>
      </c>
      <c r="BG27" s="81" t="s">
        <v>388</v>
      </c>
      <c r="BH27" s="81"/>
      <c r="BJ27" s="175" t="s">
        <v>319</v>
      </c>
      <c r="BK27" s="175" t="s">
        <v>320</v>
      </c>
      <c r="BL27" s="175" t="s">
        <v>342</v>
      </c>
      <c r="BM27" s="175" t="s">
        <v>323</v>
      </c>
      <c r="BN27" s="174">
        <f>BD55</f>
        <v>0.111</v>
      </c>
      <c r="BO27" s="175" t="s">
        <v>322</v>
      </c>
      <c r="BQ27" s="81" t="s">
        <v>405</v>
      </c>
      <c r="BR27" s="167">
        <v>7.0400000000000004E-2</v>
      </c>
      <c r="BS27" s="167">
        <v>1.0300000000000001E-3</v>
      </c>
      <c r="BT27" s="81">
        <v>68.37</v>
      </c>
      <c r="BU27" s="81" t="s">
        <v>422</v>
      </c>
      <c r="BV27" s="167">
        <v>2E-16</v>
      </c>
      <c r="BW27" s="81" t="s">
        <v>389</v>
      </c>
      <c r="BY27" s="178"/>
      <c r="BZ27" s="178"/>
      <c r="CA27" s="178"/>
      <c r="CB27" s="178"/>
      <c r="CC27" s="177"/>
      <c r="CD27" s="178"/>
      <c r="CO27" s="81" t="s">
        <v>343</v>
      </c>
      <c r="CP27" s="254">
        <f t="shared" si="0"/>
        <v>3.5630344205761916E-2</v>
      </c>
      <c r="CQ27" s="254">
        <f t="shared" si="1"/>
        <v>0.255</v>
      </c>
      <c r="CR27" s="254">
        <f t="shared" si="2"/>
        <v>0.108</v>
      </c>
      <c r="CU27" s="258" t="s">
        <v>442</v>
      </c>
      <c r="CV27" s="258" t="s">
        <v>456</v>
      </c>
      <c r="CW27" s="259">
        <v>0.443</v>
      </c>
      <c r="CX27" s="259">
        <v>8.1600000000000006E-3</v>
      </c>
      <c r="CY27" s="258">
        <v>54.26</v>
      </c>
      <c r="CZ27" s="258" t="s">
        <v>422</v>
      </c>
      <c r="DA27" s="167">
        <v>2E-16</v>
      </c>
      <c r="DB27" s="81" t="s">
        <v>389</v>
      </c>
      <c r="DC27" s="260" t="s">
        <v>467</v>
      </c>
      <c r="DD27" s="261" t="s">
        <v>330</v>
      </c>
      <c r="DE27" s="261" t="s">
        <v>323</v>
      </c>
      <c r="DF27" s="262">
        <f>CW33</f>
        <v>7850000</v>
      </c>
      <c r="DG27" s="260" t="s">
        <v>322</v>
      </c>
      <c r="DI27" s="170" t="s">
        <v>467</v>
      </c>
      <c r="DJ27" s="291" t="s">
        <v>330</v>
      </c>
      <c r="DK27" s="291" t="s">
        <v>323</v>
      </c>
      <c r="DL27" s="295">
        <f>$AP12</f>
        <v>10652160</v>
      </c>
      <c r="DM27" s="170" t="s">
        <v>322</v>
      </c>
      <c r="DO27" s="298" t="s">
        <v>442</v>
      </c>
      <c r="DP27" s="298" t="s">
        <v>456</v>
      </c>
      <c r="DQ27" s="302">
        <v>0.40300000000000002</v>
      </c>
      <c r="DR27" s="302">
        <v>1.29E-2</v>
      </c>
      <c r="DS27" s="298">
        <v>31.35</v>
      </c>
      <c r="DT27" s="298" t="s">
        <v>422</v>
      </c>
      <c r="DU27" s="302">
        <v>2E-16</v>
      </c>
      <c r="DV27" s="298" t="s">
        <v>389</v>
      </c>
      <c r="DW27" s="299" t="s">
        <v>467</v>
      </c>
      <c r="DX27" s="300" t="s">
        <v>330</v>
      </c>
      <c r="DY27" s="300" t="s">
        <v>323</v>
      </c>
      <c r="DZ27" s="301">
        <f>DQ33</f>
        <v>7460000</v>
      </c>
      <c r="EA27" s="299" t="s">
        <v>322</v>
      </c>
    </row>
    <row r="28" spans="1:131" ht="15" customHeight="1" thickTop="1" thickBot="1" x14ac:dyDescent="0.3">
      <c r="A28" s="188"/>
      <c r="B28" s="189"/>
      <c r="C28" s="190"/>
      <c r="D28" s="188"/>
      <c r="E28" s="189"/>
      <c r="F28" s="189"/>
      <c r="G28" s="189"/>
      <c r="H28" s="190"/>
      <c r="I28" s="189"/>
      <c r="K28" t="s">
        <v>102</v>
      </c>
      <c r="L28" s="218">
        <v>2</v>
      </c>
      <c r="M28" s="219">
        <v>2</v>
      </c>
      <c r="N28" s="219" t="s">
        <v>85</v>
      </c>
      <c r="O28" s="220">
        <f>SUM(O17:O20)</f>
        <v>69.011117107393432</v>
      </c>
      <c r="P28" s="221"/>
      <c r="Q28" s="30">
        <f t="shared" si="4"/>
        <v>1.7363344051446945</v>
      </c>
      <c r="R28" s="30">
        <f t="shared" si="5"/>
        <v>119.82637697103682</v>
      </c>
      <c r="S28" s="30">
        <f t="shared" si="11"/>
        <v>13622794.516999464</v>
      </c>
      <c r="T28" s="30">
        <f t="shared" si="12"/>
        <v>197400.00000000003</v>
      </c>
      <c r="U28" s="30">
        <f t="shared" si="13"/>
        <v>13622794.516999464</v>
      </c>
      <c r="V28" s="31"/>
      <c r="X28" s="233"/>
      <c r="Y28" s="234" t="s">
        <v>27</v>
      </c>
      <c r="Z28" s="234" t="s">
        <v>28</v>
      </c>
      <c r="AA28" s="234" t="s">
        <v>29</v>
      </c>
      <c r="AB28" s="234" t="s">
        <v>30</v>
      </c>
      <c r="AC28" s="234" t="s">
        <v>31</v>
      </c>
      <c r="AD28" s="234" t="s">
        <v>32</v>
      </c>
      <c r="AE28" s="235" t="s">
        <v>33</v>
      </c>
      <c r="AF28" s="14"/>
      <c r="AG28" s="14"/>
      <c r="AH28" s="14"/>
      <c r="AM28" s="159" t="s">
        <v>319</v>
      </c>
      <c r="AN28" s="81" t="s">
        <v>320</v>
      </c>
      <c r="AO28" s="81" t="s">
        <v>343</v>
      </c>
      <c r="AP28" s="81">
        <f>SUM(O21:O24)/SUM(O$17:O$25,2*O$28,O$26,O$31)</f>
        <v>3.5630344205761916E-2</v>
      </c>
      <c r="AQ28" s="81" t="s">
        <v>322</v>
      </c>
      <c r="AR28" s="167">
        <v>0.13569049999999999</v>
      </c>
      <c r="AV28" s="168" t="s">
        <v>319</v>
      </c>
      <c r="AW28" s="168" t="s">
        <v>320</v>
      </c>
      <c r="AX28" s="168" t="s">
        <v>343</v>
      </c>
      <c r="AY28" s="169" t="s">
        <v>323</v>
      </c>
      <c r="AZ28" s="162">
        <f>AP28</f>
        <v>3.5630344205761916E-2</v>
      </c>
      <c r="BA28" s="168" t="s">
        <v>322</v>
      </c>
      <c r="BC28" s="81" t="s">
        <v>406</v>
      </c>
      <c r="BD28" s="167">
        <v>0.22500000000000001</v>
      </c>
      <c r="BE28" s="167">
        <v>9.9500000000000001E-4</v>
      </c>
      <c r="BF28" s="81">
        <v>225.89</v>
      </c>
      <c r="BG28" s="81" t="s">
        <v>388</v>
      </c>
      <c r="BH28" s="81"/>
      <c r="BJ28" s="175" t="s">
        <v>319</v>
      </c>
      <c r="BK28" s="175" t="s">
        <v>320</v>
      </c>
      <c r="BL28" s="175" t="s">
        <v>343</v>
      </c>
      <c r="BM28" s="175" t="s">
        <v>323</v>
      </c>
      <c r="BN28" s="174">
        <f>BD56</f>
        <v>0.255</v>
      </c>
      <c r="BO28" s="175" t="s">
        <v>322</v>
      </c>
      <c r="BQ28" s="81" t="s">
        <v>406</v>
      </c>
      <c r="BR28" s="167">
        <v>0.13700000000000001</v>
      </c>
      <c r="BS28" s="167">
        <v>1.8699999999999999E-3</v>
      </c>
      <c r="BT28" s="81">
        <v>73.45</v>
      </c>
      <c r="BU28" s="81" t="s">
        <v>422</v>
      </c>
      <c r="BV28" s="167">
        <v>2E-16</v>
      </c>
      <c r="BW28" s="81" t="s">
        <v>389</v>
      </c>
      <c r="BY28" s="178" t="s">
        <v>319</v>
      </c>
      <c r="BZ28" s="178" t="s">
        <v>320</v>
      </c>
      <c r="CA28" s="178" t="s">
        <v>341</v>
      </c>
      <c r="CB28" s="178" t="s">
        <v>323</v>
      </c>
      <c r="CC28" s="177">
        <f>BR53</f>
        <v>0.46800000000000003</v>
      </c>
      <c r="CD28" s="178" t="s">
        <v>322</v>
      </c>
      <c r="CP28" s="255"/>
      <c r="CQ28" s="255"/>
      <c r="CR28" s="255"/>
      <c r="CU28" s="258" t="s">
        <v>442</v>
      </c>
      <c r="CV28" s="258" t="s">
        <v>457</v>
      </c>
      <c r="CW28" s="259">
        <v>0.16200000000000001</v>
      </c>
      <c r="CX28" s="259">
        <v>1.0999999999999999E-2</v>
      </c>
      <c r="CY28" s="258">
        <v>14.65</v>
      </c>
      <c r="CZ28" s="258" t="s">
        <v>422</v>
      </c>
      <c r="DA28" s="167">
        <v>2E-16</v>
      </c>
      <c r="DB28" s="81" t="s">
        <v>389</v>
      </c>
      <c r="DC28" s="260" t="s">
        <v>467</v>
      </c>
      <c r="DD28" s="264" t="s">
        <v>327</v>
      </c>
      <c r="DE28" s="261" t="s">
        <v>323</v>
      </c>
      <c r="DF28" s="262">
        <f>CW34</f>
        <v>1630000</v>
      </c>
      <c r="DG28" s="260" t="s">
        <v>322</v>
      </c>
      <c r="DI28" s="170" t="s">
        <v>467</v>
      </c>
      <c r="DJ28" s="293" t="s">
        <v>327</v>
      </c>
      <c r="DK28" s="291" t="s">
        <v>323</v>
      </c>
      <c r="DL28" s="295">
        <f>$AP9</f>
        <v>1768166.3999999999</v>
      </c>
      <c r="DM28" s="170" t="s">
        <v>322</v>
      </c>
      <c r="DO28" s="298" t="s">
        <v>442</v>
      </c>
      <c r="DP28" s="298" t="s">
        <v>457</v>
      </c>
      <c r="DQ28" s="302">
        <v>0.311</v>
      </c>
      <c r="DR28" s="302">
        <v>5.3900000000000003E-2</v>
      </c>
      <c r="DS28" s="298">
        <v>5.78</v>
      </c>
      <c r="DT28" s="302">
        <v>7.8999999999999996E-9</v>
      </c>
      <c r="DU28" s="302" t="s">
        <v>389</v>
      </c>
      <c r="DW28" s="299" t="s">
        <v>467</v>
      </c>
      <c r="DX28" s="304" t="s">
        <v>327</v>
      </c>
      <c r="DY28" s="300" t="s">
        <v>323</v>
      </c>
      <c r="DZ28" s="301">
        <f>DQ34</f>
        <v>794000</v>
      </c>
      <c r="EA28" s="299" t="s">
        <v>322</v>
      </c>
    </row>
    <row r="29" spans="1:131" ht="15" customHeight="1" thickTop="1" thickBot="1" x14ac:dyDescent="0.3">
      <c r="A29" s="188"/>
      <c r="B29" s="189"/>
      <c r="C29" s="190"/>
      <c r="D29" s="188"/>
      <c r="E29" s="189"/>
      <c r="F29" s="189"/>
      <c r="G29" s="189"/>
      <c r="H29" s="190"/>
      <c r="I29" s="189"/>
      <c r="L29" s="218">
        <v>2</v>
      </c>
      <c r="M29" s="219">
        <v>2</v>
      </c>
      <c r="N29" s="219" t="s">
        <v>99</v>
      </c>
      <c r="O29" s="220">
        <v>0</v>
      </c>
      <c r="P29" s="225"/>
      <c r="Q29" s="30">
        <f t="shared" si="4"/>
        <v>1.4911242603550294</v>
      </c>
      <c r="R29" s="30">
        <f>Q29*O29</f>
        <v>0</v>
      </c>
      <c r="S29" s="30">
        <f t="shared" si="11"/>
        <v>0</v>
      </c>
      <c r="T29" s="30" t="e">
        <f>S29/O29</f>
        <v>#DIV/0!</v>
      </c>
      <c r="U29" s="30">
        <f t="shared" si="13"/>
        <v>0</v>
      </c>
      <c r="X29" s="239"/>
      <c r="Y29" s="240" t="s">
        <v>103</v>
      </c>
      <c r="Z29" s="240">
        <v>0.02</v>
      </c>
      <c r="AA29" s="240">
        <v>0.18</v>
      </c>
      <c r="AB29" s="240">
        <v>550</v>
      </c>
      <c r="AC29" s="240">
        <v>1880</v>
      </c>
      <c r="AD29" s="241">
        <f>Z29/AA29</f>
        <v>0.11111111111111112</v>
      </c>
      <c r="AE29" s="242">
        <f>Z29*AB29*AC29</f>
        <v>20680</v>
      </c>
      <c r="AF29" s="14" t="s">
        <v>104</v>
      </c>
      <c r="AG29" s="14"/>
      <c r="AH29" s="14"/>
      <c r="AQ29" s="81" t="s">
        <v>322</v>
      </c>
      <c r="AV29" s="168"/>
      <c r="AW29" s="168"/>
      <c r="AX29" s="168"/>
      <c r="AY29" s="169"/>
      <c r="BA29" s="168"/>
      <c r="BC29" s="81" t="s">
        <v>407</v>
      </c>
      <c r="BD29" s="167">
        <v>0.46500000000000002</v>
      </c>
      <c r="BE29" s="167">
        <v>2.8900000000000002E-3</v>
      </c>
      <c r="BF29" s="81">
        <v>161.16999999999999</v>
      </c>
      <c r="BG29" s="81" t="s">
        <v>388</v>
      </c>
      <c r="BH29" s="81"/>
      <c r="BJ29" s="175"/>
      <c r="BK29" s="175"/>
      <c r="BL29" s="175"/>
      <c r="BM29" s="175"/>
      <c r="BN29" s="174"/>
      <c r="BO29" s="175"/>
      <c r="BQ29" s="81" t="s">
        <v>407</v>
      </c>
      <c r="BR29" s="167">
        <v>0.76900000000000002</v>
      </c>
      <c r="BS29" s="167">
        <v>3.4299999999999997E-2</v>
      </c>
      <c r="BT29" s="81">
        <v>22.44</v>
      </c>
      <c r="BU29" s="81" t="s">
        <v>422</v>
      </c>
      <c r="BV29" s="167">
        <v>2E-16</v>
      </c>
      <c r="BW29" s="81" t="s">
        <v>389</v>
      </c>
      <c r="BY29" s="178" t="s">
        <v>319</v>
      </c>
      <c r="BZ29" s="178" t="s">
        <v>320</v>
      </c>
      <c r="CA29" s="178" t="s">
        <v>342</v>
      </c>
      <c r="CB29" s="178" t="s">
        <v>323</v>
      </c>
      <c r="CC29" s="177">
        <f>BR54</f>
        <v>0.14099999999999999</v>
      </c>
      <c r="CD29" s="178" t="s">
        <v>322</v>
      </c>
      <c r="CO29" s="81" t="s">
        <v>344</v>
      </c>
      <c r="CP29" s="256">
        <f t="shared" si="0"/>
        <v>913552.64000000025</v>
      </c>
      <c r="CQ29" s="256">
        <f t="shared" si="1"/>
        <v>858000</v>
      </c>
      <c r="CR29" s="256">
        <f t="shared" si="2"/>
        <v>752000</v>
      </c>
      <c r="CU29" s="258" t="s">
        <v>442</v>
      </c>
      <c r="CV29" s="258" t="s">
        <v>360</v>
      </c>
      <c r="CW29" s="259">
        <v>0.10299999999999999</v>
      </c>
      <c r="CX29" s="259">
        <v>2.63E-2</v>
      </c>
      <c r="CY29" s="258">
        <v>3.92</v>
      </c>
      <c r="CZ29" s="259">
        <v>8.8999999999999995E-5</v>
      </c>
      <c r="DA29" s="81" t="s">
        <v>389</v>
      </c>
      <c r="DB29" s="81"/>
      <c r="DC29" s="260" t="s">
        <v>467</v>
      </c>
      <c r="DD29" s="264" t="s">
        <v>328</v>
      </c>
      <c r="DE29" s="261" t="s">
        <v>323</v>
      </c>
      <c r="DF29" s="262">
        <f>CW35</f>
        <v>11500000</v>
      </c>
      <c r="DG29" s="260" t="s">
        <v>322</v>
      </c>
      <c r="DI29" s="170" t="s">
        <v>467</v>
      </c>
      <c r="DJ29" s="293" t="s">
        <v>328</v>
      </c>
      <c r="DK29" s="291" t="s">
        <v>323</v>
      </c>
      <c r="DL29" s="295">
        <f>$AP10</f>
        <v>13429671.581219645</v>
      </c>
      <c r="DM29" s="170" t="s">
        <v>322</v>
      </c>
      <c r="DO29" s="298" t="s">
        <v>442</v>
      </c>
      <c r="DP29" s="298" t="s">
        <v>360</v>
      </c>
      <c r="DQ29" s="302">
        <v>0.26600000000000001</v>
      </c>
      <c r="DR29" s="302">
        <v>0.126</v>
      </c>
      <c r="DS29" s="298">
        <v>2.11</v>
      </c>
      <c r="DT29" s="302">
        <v>3.5000000000000003E-2</v>
      </c>
      <c r="DU29" s="298" t="s">
        <v>434</v>
      </c>
      <c r="DW29" s="299" t="s">
        <v>467</v>
      </c>
      <c r="DX29" s="304" t="s">
        <v>328</v>
      </c>
      <c r="DY29" s="300" t="s">
        <v>323</v>
      </c>
      <c r="DZ29" s="301">
        <f>DQ35</f>
        <v>8360000</v>
      </c>
      <c r="EA29" s="299" t="s">
        <v>322</v>
      </c>
    </row>
    <row r="30" spans="1:131" ht="15" customHeight="1" thickTop="1" thickBot="1" x14ac:dyDescent="0.3">
      <c r="A30" s="205"/>
      <c r="B30" s="187"/>
      <c r="C30" s="210"/>
      <c r="D30" s="205"/>
      <c r="E30" s="187"/>
      <c r="F30" s="187"/>
      <c r="G30" s="187"/>
      <c r="H30" s="210"/>
      <c r="I30" s="189"/>
      <c r="L30" s="218" t="s">
        <v>516</v>
      </c>
      <c r="M30" s="219">
        <v>1</v>
      </c>
      <c r="N30" s="219" t="s">
        <v>517</v>
      </c>
      <c r="O30" s="220">
        <f>O7</f>
        <v>34.704039143624534</v>
      </c>
      <c r="P30" s="221"/>
      <c r="Q30" s="30">
        <f t="shared" si="4"/>
        <v>1.8430034129692836</v>
      </c>
      <c r="R30" s="30">
        <f>Q30*O30</f>
        <v>63.959662585519631</v>
      </c>
      <c r="S30" s="30">
        <f t="shared" si="11"/>
        <v>6282125.1657789145</v>
      </c>
      <c r="T30" s="30">
        <f>S30/O30</f>
        <v>181020.00000000003</v>
      </c>
      <c r="U30" s="30">
        <f t="shared" si="13"/>
        <v>0</v>
      </c>
      <c r="X30" s="188"/>
      <c r="Y30" s="189" t="s">
        <v>129</v>
      </c>
      <c r="Z30" s="189">
        <v>0.08</v>
      </c>
      <c r="AA30" s="189">
        <v>0.6</v>
      </c>
      <c r="AB30" s="189">
        <v>1100</v>
      </c>
      <c r="AC30" s="189">
        <v>860</v>
      </c>
      <c r="AD30" s="236">
        <f>Z30/AA30</f>
        <v>0.13333333333333333</v>
      </c>
      <c r="AE30" s="190">
        <f>Z30*AB30*AC30</f>
        <v>75680</v>
      </c>
      <c r="AF30" s="14"/>
      <c r="AG30" s="14"/>
      <c r="AH30" s="14"/>
      <c r="AM30" s="159" t="s">
        <v>319</v>
      </c>
      <c r="AN30" s="81" t="s">
        <v>320</v>
      </c>
      <c r="AO30" s="81" t="s">
        <v>344</v>
      </c>
      <c r="AP30" s="167">
        <f>B35*1.04*1012*5</f>
        <v>913552.64000000025</v>
      </c>
      <c r="AQ30" s="81" t="s">
        <v>322</v>
      </c>
      <c r="AR30" s="167">
        <v>1612741</v>
      </c>
      <c r="AV30" s="168" t="s">
        <v>319</v>
      </c>
      <c r="AW30" s="168" t="s">
        <v>320</v>
      </c>
      <c r="AX30" s="168" t="s">
        <v>344</v>
      </c>
      <c r="AY30" s="169" t="s">
        <v>323</v>
      </c>
      <c r="AZ30" s="162">
        <f t="shared" ref="AZ30:AZ35" si="15">AP30</f>
        <v>913552.64000000025</v>
      </c>
      <c r="BA30" s="168" t="s">
        <v>322</v>
      </c>
      <c r="BC30" s="81" t="s">
        <v>408</v>
      </c>
      <c r="BD30" s="167">
        <v>0.11</v>
      </c>
      <c r="BE30" s="167">
        <v>6.3400000000000001E-4</v>
      </c>
      <c r="BF30" s="81">
        <v>173.77</v>
      </c>
      <c r="BG30" s="81" t="s">
        <v>388</v>
      </c>
      <c r="BH30" s="81"/>
      <c r="BJ30" s="175" t="s">
        <v>319</v>
      </c>
      <c r="BK30" s="175" t="s">
        <v>320</v>
      </c>
      <c r="BL30" s="175" t="s">
        <v>344</v>
      </c>
      <c r="BM30" s="175" t="s">
        <v>323</v>
      </c>
      <c r="BN30" s="174">
        <f>BD59</f>
        <v>858000</v>
      </c>
      <c r="BO30" s="175" t="s">
        <v>322</v>
      </c>
      <c r="BQ30" s="81" t="s">
        <v>408</v>
      </c>
      <c r="BR30" s="167">
        <v>7.2499999999999995E-2</v>
      </c>
      <c r="BS30" s="167">
        <v>7.0500000000000001E-4</v>
      </c>
      <c r="BT30" s="81">
        <v>102.71</v>
      </c>
      <c r="BU30" s="81" t="s">
        <v>422</v>
      </c>
      <c r="BV30" s="167">
        <v>2E-16</v>
      </c>
      <c r="BW30" s="81" t="s">
        <v>389</v>
      </c>
      <c r="BY30" s="178" t="s">
        <v>319</v>
      </c>
      <c r="BZ30" s="178" t="s">
        <v>320</v>
      </c>
      <c r="CA30" s="178" t="s">
        <v>343</v>
      </c>
      <c r="CB30" s="178" t="s">
        <v>323</v>
      </c>
      <c r="CC30" s="177">
        <f>BR55</f>
        <v>0.108</v>
      </c>
      <c r="CD30" s="178" t="s">
        <v>322</v>
      </c>
      <c r="CO30" s="81" t="s">
        <v>345</v>
      </c>
      <c r="CP30" s="256">
        <f t="shared" si="0"/>
        <v>14269622.41878036</v>
      </c>
      <c r="CQ30" s="256">
        <f t="shared" si="1"/>
        <v>2990000</v>
      </c>
      <c r="CR30" s="256">
        <f t="shared" si="2"/>
        <v>8650000</v>
      </c>
      <c r="CU30" s="258" t="s">
        <v>442</v>
      </c>
      <c r="CV30" s="258" t="s">
        <v>458</v>
      </c>
      <c r="CW30" s="259">
        <v>0.17</v>
      </c>
      <c r="CX30" s="259">
        <v>6.45E-3</v>
      </c>
      <c r="CY30" s="258">
        <v>26.34</v>
      </c>
      <c r="CZ30" s="258" t="s">
        <v>422</v>
      </c>
      <c r="DA30" s="167">
        <v>2E-16</v>
      </c>
      <c r="DB30" s="81" t="s">
        <v>389</v>
      </c>
      <c r="DC30" s="260" t="s">
        <v>467</v>
      </c>
      <c r="DD30" s="264" t="s">
        <v>329</v>
      </c>
      <c r="DE30" s="261" t="s">
        <v>323</v>
      </c>
      <c r="DF30" s="262">
        <f>CW36</f>
        <v>12000000</v>
      </c>
      <c r="DG30" s="260" t="s">
        <v>322</v>
      </c>
      <c r="DI30" s="170" t="s">
        <v>467</v>
      </c>
      <c r="DJ30" s="293" t="s">
        <v>329</v>
      </c>
      <c r="DK30" s="291" t="s">
        <v>323</v>
      </c>
      <c r="DL30" s="295">
        <f>$AP11</f>
        <v>14644885.483000543</v>
      </c>
      <c r="DM30" s="170" t="s">
        <v>322</v>
      </c>
      <c r="DO30" s="298" t="s">
        <v>442</v>
      </c>
      <c r="DP30" s="298" t="s">
        <v>458</v>
      </c>
      <c r="DQ30" s="302">
        <v>0.28999999999999998</v>
      </c>
      <c r="DR30" s="302">
        <v>2.6599999999999999E-2</v>
      </c>
      <c r="DS30" s="298">
        <v>10.9</v>
      </c>
      <c r="DT30" s="298" t="s">
        <v>422</v>
      </c>
      <c r="DU30" s="302">
        <v>2E-16</v>
      </c>
      <c r="DV30" s="298" t="s">
        <v>389</v>
      </c>
      <c r="DW30" s="299" t="s">
        <v>467</v>
      </c>
      <c r="DX30" s="304" t="s">
        <v>329</v>
      </c>
      <c r="DY30" s="300" t="s">
        <v>323</v>
      </c>
      <c r="DZ30" s="301">
        <f>DQ36</f>
        <v>11300000</v>
      </c>
      <c r="EA30" s="299" t="s">
        <v>322</v>
      </c>
    </row>
    <row r="31" spans="1:131" ht="15" customHeight="1" thickTop="1" thickBot="1" x14ac:dyDescent="0.3">
      <c r="L31" s="223" t="s">
        <v>516</v>
      </c>
      <c r="M31" s="224">
        <v>2</v>
      </c>
      <c r="N31" s="224" t="s">
        <v>517</v>
      </c>
      <c r="O31" s="220">
        <f>O18</f>
        <v>32.281986411725747</v>
      </c>
      <c r="P31" s="225"/>
      <c r="Q31" s="30">
        <f t="shared" si="4"/>
        <v>1.8430034129692836</v>
      </c>
      <c r="R31" s="30">
        <f>Q31*O31</f>
        <v>59.495811134238586</v>
      </c>
      <c r="S31" s="30">
        <f t="shared" si="11"/>
        <v>5843685.1802505953</v>
      </c>
      <c r="T31" s="30">
        <f>S31/O31</f>
        <v>181020.00000000003</v>
      </c>
      <c r="U31" s="30">
        <f t="shared" si="13"/>
        <v>0</v>
      </c>
      <c r="X31" s="188"/>
      <c r="Y31" s="189" t="s">
        <v>278</v>
      </c>
      <c r="Z31" s="189">
        <v>0.2</v>
      </c>
      <c r="AA31" s="189">
        <v>1.4</v>
      </c>
      <c r="AB31" s="189">
        <v>2100</v>
      </c>
      <c r="AC31" s="189">
        <v>840</v>
      </c>
      <c r="AD31" s="236">
        <f>Z31/AA31</f>
        <v>0.14285714285714288</v>
      </c>
      <c r="AE31" s="190">
        <f>Z31*AB31*AC31</f>
        <v>352800</v>
      </c>
      <c r="AF31" s="14"/>
      <c r="AG31" s="14"/>
      <c r="AH31" s="14"/>
      <c r="AM31" s="159" t="s">
        <v>319</v>
      </c>
      <c r="AN31" s="81" t="s">
        <v>320</v>
      </c>
      <c r="AO31" s="81" t="s">
        <v>345</v>
      </c>
      <c r="AP31" s="167">
        <f>U25+SUM(U17:U20)</f>
        <v>14269622.41878036</v>
      </c>
      <c r="AQ31" s="81" t="s">
        <v>322</v>
      </c>
      <c r="AR31" s="167">
        <v>6867267</v>
      </c>
      <c r="AV31" s="168" t="s">
        <v>319</v>
      </c>
      <c r="AW31" s="168" t="s">
        <v>320</v>
      </c>
      <c r="AX31" s="168" t="s">
        <v>345</v>
      </c>
      <c r="AY31" s="169" t="s">
        <v>323</v>
      </c>
      <c r="AZ31" s="162">
        <f t="shared" si="15"/>
        <v>14269622.41878036</v>
      </c>
      <c r="BA31" s="168" t="s">
        <v>322</v>
      </c>
      <c r="BC31" s="81" t="s">
        <v>409</v>
      </c>
      <c r="BD31" s="167">
        <v>7.3400000000000007E-2</v>
      </c>
      <c r="BE31" s="167">
        <v>4.9700000000000005E-4</v>
      </c>
      <c r="BF31" s="81">
        <v>147.68</v>
      </c>
      <c r="BG31" s="81" t="s">
        <v>388</v>
      </c>
      <c r="BH31" s="81"/>
      <c r="BJ31" s="175" t="s">
        <v>319</v>
      </c>
      <c r="BK31" s="175" t="s">
        <v>320</v>
      </c>
      <c r="BL31" s="175" t="s">
        <v>345</v>
      </c>
      <c r="BM31" s="175" t="s">
        <v>323</v>
      </c>
      <c r="BN31" s="174">
        <f>BD60</f>
        <v>2990000</v>
      </c>
      <c r="BO31" s="175" t="s">
        <v>322</v>
      </c>
      <c r="BQ31" s="81" t="s">
        <v>409</v>
      </c>
      <c r="BR31" s="167">
        <v>4.4299999999999999E-2</v>
      </c>
      <c r="BS31" s="167">
        <v>3.0499999999999999E-4</v>
      </c>
      <c r="BT31" s="81">
        <v>145.31</v>
      </c>
      <c r="BU31" s="81" t="s">
        <v>422</v>
      </c>
      <c r="BV31" s="167">
        <v>2E-16</v>
      </c>
      <c r="BW31" s="81" t="s">
        <v>389</v>
      </c>
      <c r="BY31" s="178"/>
      <c r="BZ31" s="178"/>
      <c r="CA31" s="178"/>
      <c r="CB31" s="178"/>
      <c r="CC31" s="177"/>
      <c r="CD31" s="178"/>
      <c r="CO31" s="81" t="s">
        <v>346</v>
      </c>
      <c r="CP31" s="256">
        <f t="shared" si="0"/>
        <v>13622794.516999464</v>
      </c>
      <c r="CQ31" s="256">
        <f t="shared" si="1"/>
        <v>5280000</v>
      </c>
      <c r="CR31" s="256">
        <f t="shared" si="2"/>
        <v>17100000</v>
      </c>
      <c r="CU31" s="258" t="s">
        <v>442</v>
      </c>
      <c r="CV31" s="258" t="s">
        <v>459</v>
      </c>
      <c r="CW31" s="259">
        <v>8.4199999999999997E-2</v>
      </c>
      <c r="CX31" s="259">
        <v>5.8300000000000001E-3</v>
      </c>
      <c r="CY31" s="258">
        <v>14.44</v>
      </c>
      <c r="CZ31" s="258" t="s">
        <v>422</v>
      </c>
      <c r="DA31" s="167">
        <v>2E-16</v>
      </c>
      <c r="DB31" s="81" t="s">
        <v>389</v>
      </c>
      <c r="DE31" s="261"/>
      <c r="DI31" s="170"/>
      <c r="DJ31" s="170"/>
      <c r="DK31" s="291"/>
      <c r="DL31" s="170"/>
      <c r="DM31" s="170"/>
      <c r="DO31" s="298" t="s">
        <v>442</v>
      </c>
      <c r="DP31" s="298" t="s">
        <v>459</v>
      </c>
      <c r="DQ31" s="302">
        <v>0.11799999999999999</v>
      </c>
      <c r="DR31" s="302">
        <v>2.2200000000000001E-2</v>
      </c>
      <c r="DS31" s="298">
        <v>5.31</v>
      </c>
      <c r="DT31" s="302">
        <v>1.1999999999999999E-7</v>
      </c>
      <c r="DU31" s="302" t="s">
        <v>389</v>
      </c>
      <c r="DY31" s="300"/>
    </row>
    <row r="32" spans="1:131" ht="15" customHeight="1" thickTop="1" thickBot="1" x14ac:dyDescent="0.3">
      <c r="L32"/>
      <c r="M32"/>
      <c r="N32"/>
      <c r="Q32"/>
      <c r="R32"/>
      <c r="X32" s="205"/>
      <c r="Y32" s="187" t="s">
        <v>80</v>
      </c>
      <c r="Z32" s="187">
        <v>0.01</v>
      </c>
      <c r="AA32" s="187">
        <v>0.6</v>
      </c>
      <c r="AB32" s="187">
        <v>975</v>
      </c>
      <c r="AC32" s="187">
        <v>840</v>
      </c>
      <c r="AD32" s="237">
        <f>Z32/AA32</f>
        <v>1.6666666666666666E-2</v>
      </c>
      <c r="AE32" s="210">
        <f>Z32*AB32*AC32</f>
        <v>8190</v>
      </c>
      <c r="AF32" s="14"/>
      <c r="AG32" s="14"/>
      <c r="AH32" s="14"/>
      <c r="AM32" s="159" t="s">
        <v>319</v>
      </c>
      <c r="AN32" s="81" t="s">
        <v>320</v>
      </c>
      <c r="AO32" s="81" t="s">
        <v>346</v>
      </c>
      <c r="AP32" s="167">
        <f>SUM(U28,U31)</f>
        <v>13622794.516999464</v>
      </c>
      <c r="AQ32" s="81" t="s">
        <v>322</v>
      </c>
      <c r="AR32" s="167">
        <v>4590824</v>
      </c>
      <c r="AV32" s="168" t="s">
        <v>319</v>
      </c>
      <c r="AW32" s="168" t="s">
        <v>320</v>
      </c>
      <c r="AX32" s="168" t="s">
        <v>346</v>
      </c>
      <c r="AY32" s="169" t="s">
        <v>323</v>
      </c>
      <c r="AZ32" s="162">
        <f t="shared" si="15"/>
        <v>13622794.516999464</v>
      </c>
      <c r="BA32" s="168" t="s">
        <v>322</v>
      </c>
      <c r="BC32" s="81" t="s">
        <v>410</v>
      </c>
      <c r="BD32" s="167">
        <v>637</v>
      </c>
      <c r="BE32" s="167">
        <v>4.58</v>
      </c>
      <c r="BF32" s="81">
        <v>139.22</v>
      </c>
      <c r="BG32" s="81" t="s">
        <v>388</v>
      </c>
      <c r="BH32" s="81"/>
      <c r="BJ32" s="175" t="s">
        <v>319</v>
      </c>
      <c r="BK32" s="175" t="s">
        <v>320</v>
      </c>
      <c r="BL32" s="175" t="s">
        <v>346</v>
      </c>
      <c r="BM32" s="175" t="s">
        <v>323</v>
      </c>
      <c r="BN32" s="174">
        <f>BD61</f>
        <v>5280000</v>
      </c>
      <c r="BO32" s="175" t="s">
        <v>322</v>
      </c>
      <c r="BQ32" s="81" t="s">
        <v>410</v>
      </c>
      <c r="BR32" s="167">
        <v>278</v>
      </c>
      <c r="BS32" s="167">
        <v>2.25</v>
      </c>
      <c r="BT32" s="81">
        <v>123.56</v>
      </c>
      <c r="BU32" s="81" t="s">
        <v>422</v>
      </c>
      <c r="BV32" s="167">
        <v>2E-16</v>
      </c>
      <c r="BW32" s="81" t="s">
        <v>389</v>
      </c>
      <c r="BY32" s="178" t="s">
        <v>319</v>
      </c>
      <c r="BZ32" s="178" t="s">
        <v>320</v>
      </c>
      <c r="CA32" s="178" t="s">
        <v>344</v>
      </c>
      <c r="CB32" s="178" t="s">
        <v>323</v>
      </c>
      <c r="CC32" s="177">
        <f>BR58</f>
        <v>752000</v>
      </c>
      <c r="CD32" s="178" t="s">
        <v>322</v>
      </c>
      <c r="CO32" s="81" t="s">
        <v>347</v>
      </c>
      <c r="CP32" s="254">
        <f t="shared" si="0"/>
        <v>7.8325476196727445E-2</v>
      </c>
      <c r="CQ32" s="254">
        <f t="shared" si="1"/>
        <v>0.38</v>
      </c>
      <c r="CR32" s="254">
        <f t="shared" si="2"/>
        <v>0.23</v>
      </c>
      <c r="CU32" s="258" t="s">
        <v>442</v>
      </c>
      <c r="CV32" s="258" t="s">
        <v>308</v>
      </c>
      <c r="CW32" s="259">
        <v>275000000</v>
      </c>
      <c r="CX32" s="259">
        <v>6940000</v>
      </c>
      <c r="CY32" s="258">
        <v>39.590000000000003</v>
      </c>
      <c r="CZ32" s="258" t="s">
        <v>422</v>
      </c>
      <c r="DA32" s="167">
        <v>2E-16</v>
      </c>
      <c r="DB32" s="81" t="s">
        <v>389</v>
      </c>
      <c r="DC32" s="260" t="s">
        <v>467</v>
      </c>
      <c r="DD32" s="264" t="s">
        <v>335</v>
      </c>
      <c r="DE32" s="261" t="s">
        <v>323</v>
      </c>
      <c r="DF32" s="262">
        <f>CW47</f>
        <v>145</v>
      </c>
      <c r="DG32" s="260" t="s">
        <v>322</v>
      </c>
      <c r="DI32" s="170" t="s">
        <v>467</v>
      </c>
      <c r="DJ32" s="293" t="s">
        <v>335</v>
      </c>
      <c r="DK32" s="291" t="s">
        <v>323</v>
      </c>
      <c r="DL32" s="170">
        <f>$AP19</f>
        <v>177.65852222619762</v>
      </c>
      <c r="DM32" s="170" t="s">
        <v>322</v>
      </c>
      <c r="DO32" s="298" t="s">
        <v>442</v>
      </c>
      <c r="DP32" s="298" t="s">
        <v>308</v>
      </c>
      <c r="DQ32" s="302">
        <v>3580000000</v>
      </c>
      <c r="DR32" s="302">
        <v>757000000</v>
      </c>
      <c r="DS32" s="298">
        <v>4.72</v>
      </c>
      <c r="DT32" s="302">
        <v>2.3999999999999999E-6</v>
      </c>
      <c r="DU32" s="302" t="s">
        <v>389</v>
      </c>
      <c r="DW32" s="299" t="s">
        <v>467</v>
      </c>
      <c r="DX32" s="304" t="s">
        <v>335</v>
      </c>
      <c r="DY32" s="300" t="s">
        <v>323</v>
      </c>
      <c r="DZ32" s="301">
        <f>DQ47</f>
        <v>150</v>
      </c>
      <c r="EA32" s="299" t="s">
        <v>322</v>
      </c>
    </row>
    <row r="33" spans="1:131" ht="15" customHeight="1" thickTop="1" thickBot="1" x14ac:dyDescent="0.3">
      <c r="A33" s="72" t="s">
        <v>109</v>
      </c>
      <c r="B33" s="72" t="s">
        <v>110</v>
      </c>
      <c r="C33" s="72"/>
      <c r="D33" s="72" t="s">
        <v>111</v>
      </c>
      <c r="E33" s="307" t="s">
        <v>112</v>
      </c>
      <c r="F33" s="307"/>
      <c r="G33" s="72" t="s">
        <v>113</v>
      </c>
      <c r="L33"/>
      <c r="M33"/>
      <c r="N33"/>
      <c r="Q33" s="69" t="s">
        <v>106</v>
      </c>
      <c r="R33" s="70">
        <f>SUM(R4:R25)</f>
        <v>465.86607602237405</v>
      </c>
      <c r="S33" s="69" t="s">
        <v>107</v>
      </c>
      <c r="X33" s="189"/>
      <c r="Y33" s="189"/>
      <c r="Z33" s="189"/>
      <c r="AA33" s="189"/>
      <c r="AB33" s="189"/>
      <c r="AC33" s="189"/>
      <c r="AD33" s="236"/>
      <c r="AE33" s="189"/>
      <c r="AF33" s="14"/>
      <c r="AG33" s="14"/>
      <c r="AH33" s="14"/>
      <c r="AM33" s="159" t="s">
        <v>319</v>
      </c>
      <c r="AN33" s="81" t="s">
        <v>320</v>
      </c>
      <c r="AO33" s="81" t="s">
        <v>347</v>
      </c>
      <c r="AP33" s="81">
        <f>AP26*0.2</f>
        <v>7.8325476196727445E-2</v>
      </c>
      <c r="AQ33" s="81" t="s">
        <v>322</v>
      </c>
      <c r="AR33" s="167">
        <v>0.1616958</v>
      </c>
      <c r="AV33" s="168" t="s">
        <v>319</v>
      </c>
      <c r="AW33" s="168" t="s">
        <v>320</v>
      </c>
      <c r="AX33" s="168" t="s">
        <v>347</v>
      </c>
      <c r="AY33" s="169" t="s">
        <v>323</v>
      </c>
      <c r="AZ33" s="162">
        <f t="shared" si="15"/>
        <v>7.8325476196727445E-2</v>
      </c>
      <c r="BA33" s="168" t="s">
        <v>322</v>
      </c>
      <c r="BC33" s="81" t="s">
        <v>411</v>
      </c>
      <c r="BD33" s="167">
        <v>795</v>
      </c>
      <c r="BE33" s="167">
        <v>5.28</v>
      </c>
      <c r="BF33" s="81">
        <v>150.51</v>
      </c>
      <c r="BG33" s="81" t="s">
        <v>388</v>
      </c>
      <c r="BH33" s="81"/>
      <c r="BJ33" s="175" t="s">
        <v>319</v>
      </c>
      <c r="BK33" s="175" t="s">
        <v>320</v>
      </c>
      <c r="BL33" s="175" t="s">
        <v>347</v>
      </c>
      <c r="BM33" s="175" t="s">
        <v>323</v>
      </c>
      <c r="BN33" s="174">
        <f>BD66</f>
        <v>0.38</v>
      </c>
      <c r="BO33" s="175" t="s">
        <v>322</v>
      </c>
      <c r="BQ33" s="81" t="s">
        <v>411</v>
      </c>
      <c r="BR33" s="167">
        <v>215</v>
      </c>
      <c r="BS33" s="167">
        <v>1.54</v>
      </c>
      <c r="BT33" s="81">
        <v>139.77000000000001</v>
      </c>
      <c r="BU33" s="81" t="s">
        <v>422</v>
      </c>
      <c r="BV33" s="167">
        <v>2E-16</v>
      </c>
      <c r="BW33" s="81" t="s">
        <v>389</v>
      </c>
      <c r="BY33" s="178" t="s">
        <v>319</v>
      </c>
      <c r="BZ33" s="178" t="s">
        <v>320</v>
      </c>
      <c r="CA33" s="178" t="s">
        <v>345</v>
      </c>
      <c r="CB33" s="178" t="s">
        <v>323</v>
      </c>
      <c r="CC33" s="177">
        <f>BR59</f>
        <v>8650000</v>
      </c>
      <c r="CD33" s="178" t="s">
        <v>322</v>
      </c>
      <c r="CO33" s="81" t="s">
        <v>348</v>
      </c>
      <c r="CP33" s="254">
        <f t="shared" si="0"/>
        <v>7.5145486075748155E-2</v>
      </c>
      <c r="CQ33" s="254">
        <f t="shared" si="1"/>
        <v>7.2800000000000004E-2</v>
      </c>
      <c r="CR33" s="254">
        <f t="shared" si="2"/>
        <v>4.8599999999999997E-2</v>
      </c>
      <c r="CU33" s="258" t="s">
        <v>442</v>
      </c>
      <c r="CV33" s="258" t="s">
        <v>304</v>
      </c>
      <c r="CW33" s="259">
        <v>7850000</v>
      </c>
      <c r="CX33" s="259">
        <v>64500</v>
      </c>
      <c r="CY33" s="258">
        <v>121.74</v>
      </c>
      <c r="CZ33" s="258" t="s">
        <v>422</v>
      </c>
      <c r="DA33" s="167">
        <v>2E-16</v>
      </c>
      <c r="DB33" s="81" t="s">
        <v>389</v>
      </c>
      <c r="DC33" s="260" t="s">
        <v>467</v>
      </c>
      <c r="DD33" s="264" t="s">
        <v>336</v>
      </c>
      <c r="DE33" s="261" t="s">
        <v>323</v>
      </c>
      <c r="DF33" s="262">
        <f>CW48</f>
        <v>152</v>
      </c>
      <c r="DG33" s="260" t="s">
        <v>322</v>
      </c>
      <c r="DI33" s="170" t="s">
        <v>467</v>
      </c>
      <c r="DJ33" s="293" t="s">
        <v>336</v>
      </c>
      <c r="DK33" s="291" t="s">
        <v>323</v>
      </c>
      <c r="DL33" s="170">
        <f>$AP20</f>
        <v>305.45454545454544</v>
      </c>
      <c r="DM33" s="170" t="s">
        <v>322</v>
      </c>
      <c r="DO33" s="298" t="s">
        <v>442</v>
      </c>
      <c r="DP33" s="298" t="s">
        <v>304</v>
      </c>
      <c r="DQ33" s="302">
        <v>7460000</v>
      </c>
      <c r="DR33" s="302">
        <v>111000</v>
      </c>
      <c r="DS33" s="298">
        <v>67.13</v>
      </c>
      <c r="DT33" s="298" t="s">
        <v>422</v>
      </c>
      <c r="DU33" s="302">
        <v>2E-16</v>
      </c>
      <c r="DV33" s="298" t="s">
        <v>389</v>
      </c>
      <c r="DW33" s="299" t="s">
        <v>467</v>
      </c>
      <c r="DX33" s="304" t="s">
        <v>336</v>
      </c>
      <c r="DY33" s="300" t="s">
        <v>323</v>
      </c>
      <c r="DZ33" s="301">
        <f>DQ48</f>
        <v>164</v>
      </c>
      <c r="EA33" s="299" t="s">
        <v>322</v>
      </c>
    </row>
    <row r="34" spans="1:131" ht="15" customHeight="1" thickTop="1" thickBot="1" x14ac:dyDescent="0.3">
      <c r="A34" s="73">
        <v>1</v>
      </c>
      <c r="B34" s="74">
        <f>B7*3.5</f>
        <v>336</v>
      </c>
      <c r="C34" s="73"/>
      <c r="D34" s="73" t="s">
        <v>42</v>
      </c>
      <c r="E34" s="308">
        <v>21</v>
      </c>
      <c r="F34" s="308"/>
      <c r="G34" s="76">
        <f>VLOOKUP(D34,A6:B22,2,0)</f>
        <v>96</v>
      </c>
      <c r="L34"/>
      <c r="M34"/>
      <c r="N34"/>
      <c r="Q34"/>
      <c r="R34">
        <f>G4*Z37</f>
        <v>24.870999999999999</v>
      </c>
      <c r="X34" s="226"/>
      <c r="Y34" s="226"/>
      <c r="Z34" s="227" t="s">
        <v>437</v>
      </c>
      <c r="AA34" s="227">
        <v>2.8</v>
      </c>
      <c r="AB34" s="227" t="s">
        <v>5</v>
      </c>
      <c r="AC34" s="226"/>
      <c r="AD34" s="226"/>
      <c r="AE34" s="226"/>
      <c r="AF34" s="14"/>
      <c r="AG34" s="14"/>
      <c r="AH34" s="14"/>
      <c r="AM34" s="159" t="s">
        <v>319</v>
      </c>
      <c r="AN34" s="81" t="s">
        <v>320</v>
      </c>
      <c r="AO34" s="81" t="s">
        <v>348</v>
      </c>
      <c r="AP34" s="81">
        <f>AP27*0.2</f>
        <v>7.5145486075748155E-2</v>
      </c>
      <c r="AQ34" s="81" t="s">
        <v>322</v>
      </c>
      <c r="AR34" s="81" t="s">
        <v>349</v>
      </c>
      <c r="AV34" s="168" t="s">
        <v>319</v>
      </c>
      <c r="AW34" s="168" t="s">
        <v>320</v>
      </c>
      <c r="AX34" s="168" t="s">
        <v>348</v>
      </c>
      <c r="AY34" s="169" t="s">
        <v>323</v>
      </c>
      <c r="AZ34" s="162">
        <f t="shared" si="15"/>
        <v>7.5145486075748155E-2</v>
      </c>
      <c r="BA34" s="168" t="s">
        <v>322</v>
      </c>
      <c r="BC34" s="81" t="s">
        <v>295</v>
      </c>
      <c r="BD34" s="167">
        <v>1310</v>
      </c>
      <c r="BE34" s="167">
        <v>8.17</v>
      </c>
      <c r="BF34" s="81">
        <v>160.79</v>
      </c>
      <c r="BG34" s="81" t="s">
        <v>388</v>
      </c>
      <c r="BH34" s="81"/>
      <c r="BJ34" s="175" t="s">
        <v>319</v>
      </c>
      <c r="BK34" s="175" t="s">
        <v>320</v>
      </c>
      <c r="BL34" s="175" t="s">
        <v>348</v>
      </c>
      <c r="BM34" s="175" t="s">
        <v>323</v>
      </c>
      <c r="BN34" s="174">
        <f>BD67</f>
        <v>7.2800000000000004E-2</v>
      </c>
      <c r="BO34" s="175" t="s">
        <v>322</v>
      </c>
      <c r="BQ34" s="81" t="s">
        <v>295</v>
      </c>
      <c r="BR34" s="167">
        <v>457</v>
      </c>
      <c r="BS34" s="167">
        <v>3.7</v>
      </c>
      <c r="BT34" s="81">
        <v>123.52</v>
      </c>
      <c r="BU34" s="81" t="s">
        <v>422</v>
      </c>
      <c r="BV34" s="167">
        <v>2E-16</v>
      </c>
      <c r="BW34" s="81" t="s">
        <v>389</v>
      </c>
      <c r="BY34" s="178" t="s">
        <v>319</v>
      </c>
      <c r="BZ34" s="178" t="s">
        <v>320</v>
      </c>
      <c r="CA34" s="178" t="s">
        <v>346</v>
      </c>
      <c r="CB34" s="178" t="s">
        <v>323</v>
      </c>
      <c r="CC34" s="177">
        <f>BR60</f>
        <v>17100000</v>
      </c>
      <c r="CD34" s="178" t="s">
        <v>322</v>
      </c>
      <c r="CO34" s="81" t="s">
        <v>350</v>
      </c>
      <c r="CP34" s="254">
        <f t="shared" si="0"/>
        <v>0.80712606884115246</v>
      </c>
      <c r="CQ34" s="254">
        <f t="shared" si="1"/>
        <v>0.41799999999999998</v>
      </c>
      <c r="CR34" s="254">
        <f t="shared" si="2"/>
        <v>0.63200000000000001</v>
      </c>
      <c r="CU34" s="258" t="s">
        <v>442</v>
      </c>
      <c r="CV34" s="258" t="s">
        <v>399</v>
      </c>
      <c r="CW34" s="259">
        <v>1630000</v>
      </c>
      <c r="CX34" s="259">
        <v>10900</v>
      </c>
      <c r="CY34" s="258">
        <v>149.77000000000001</v>
      </c>
      <c r="CZ34" s="258" t="s">
        <v>422</v>
      </c>
      <c r="DA34" s="167">
        <v>2E-16</v>
      </c>
      <c r="DB34" s="81" t="s">
        <v>389</v>
      </c>
      <c r="DC34" s="260" t="s">
        <v>467</v>
      </c>
      <c r="DD34" s="265" t="s">
        <v>337</v>
      </c>
      <c r="DE34" s="261" t="s">
        <v>323</v>
      </c>
      <c r="DF34" s="262">
        <f>CW49</f>
        <v>316</v>
      </c>
      <c r="DG34" s="260" t="s">
        <v>322</v>
      </c>
      <c r="DI34" s="170" t="s">
        <v>467</v>
      </c>
      <c r="DJ34" s="294" t="s">
        <v>337</v>
      </c>
      <c r="DK34" s="291" t="s">
        <v>323</v>
      </c>
      <c r="DL34" s="170">
        <f>$AP21</f>
        <v>321.59308227688655</v>
      </c>
      <c r="DM34" s="170" t="s">
        <v>322</v>
      </c>
      <c r="DO34" s="298" t="s">
        <v>442</v>
      </c>
      <c r="DP34" s="298" t="s">
        <v>399</v>
      </c>
      <c r="DQ34" s="302">
        <v>794000</v>
      </c>
      <c r="DR34" s="302">
        <v>29900</v>
      </c>
      <c r="DS34" s="298">
        <v>26.6</v>
      </c>
      <c r="DT34" s="298" t="s">
        <v>422</v>
      </c>
      <c r="DU34" s="302">
        <v>2E-16</v>
      </c>
      <c r="DV34" s="298" t="s">
        <v>389</v>
      </c>
      <c r="DW34" s="299" t="s">
        <v>467</v>
      </c>
      <c r="DX34" s="305" t="s">
        <v>337</v>
      </c>
      <c r="DY34" s="300" t="s">
        <v>323</v>
      </c>
      <c r="DZ34" s="301">
        <f>DQ49</f>
        <v>260</v>
      </c>
      <c r="EA34" s="299" t="s">
        <v>322</v>
      </c>
    </row>
    <row r="35" spans="1:131" ht="15" customHeight="1" thickTop="1" thickBot="1" x14ac:dyDescent="0.3">
      <c r="A35" s="73">
        <v>2</v>
      </c>
      <c r="B35" s="74">
        <f>B4-B34</f>
        <v>173.60000000000002</v>
      </c>
      <c r="C35" s="73"/>
      <c r="D35" s="73" t="s">
        <v>116</v>
      </c>
      <c r="E35" s="77">
        <v>16</v>
      </c>
      <c r="F35" s="77"/>
      <c r="G35" s="76">
        <f>VLOOKUP(D35,A7:B23,2,0)</f>
        <v>89.300000000000011</v>
      </c>
      <c r="L35"/>
      <c r="M35"/>
      <c r="N35" t="s">
        <v>114</v>
      </c>
      <c r="O35" s="3">
        <f>SUM(R6:R9,R15,R17:R20,R25)</f>
        <v>234.01447281596126</v>
      </c>
      <c r="P35" s="3"/>
      <c r="Q35"/>
      <c r="R35"/>
      <c r="X35" s="228" t="s">
        <v>115</v>
      </c>
      <c r="Y35" s="229"/>
      <c r="Z35" s="230" t="s">
        <v>21</v>
      </c>
      <c r="AA35" s="243">
        <v>3.5</v>
      </c>
      <c r="AB35" s="229" t="s">
        <v>5</v>
      </c>
      <c r="AC35" s="229"/>
      <c r="AD35" s="229" t="s">
        <v>22</v>
      </c>
      <c r="AE35" s="232">
        <f>SUM(AE36:AE37)</f>
        <v>0</v>
      </c>
      <c r="AF35" s="14" t="s">
        <v>23</v>
      </c>
      <c r="AG35" s="14">
        <f>SUM(AE37:AE38)</f>
        <v>0</v>
      </c>
      <c r="AH35" s="14"/>
      <c r="AM35" s="159" t="s">
        <v>319</v>
      </c>
      <c r="AN35" s="81" t="s">
        <v>320</v>
      </c>
      <c r="AO35" s="81" t="s">
        <v>350</v>
      </c>
      <c r="AP35" s="81">
        <f>AP28*0.2+0.8</f>
        <v>0.80712606884115246</v>
      </c>
      <c r="AQ35" s="81" t="s">
        <v>322</v>
      </c>
      <c r="AR35" s="81" t="s">
        <v>351</v>
      </c>
      <c r="AV35" s="168" t="s">
        <v>319</v>
      </c>
      <c r="AW35" s="168" t="s">
        <v>320</v>
      </c>
      <c r="AX35" s="168" t="s">
        <v>350</v>
      </c>
      <c r="AY35" s="169" t="s">
        <v>323</v>
      </c>
      <c r="AZ35" s="162">
        <f t="shared" si="15"/>
        <v>0.80712606884115246</v>
      </c>
      <c r="BA35" s="168" t="s">
        <v>322</v>
      </c>
      <c r="BC35" s="81" t="s">
        <v>120</v>
      </c>
      <c r="BD35" s="167">
        <v>253</v>
      </c>
      <c r="BE35" s="167">
        <v>0.97099999999999997</v>
      </c>
      <c r="BF35" s="81">
        <v>260.89</v>
      </c>
      <c r="BG35" s="81" t="s">
        <v>388</v>
      </c>
      <c r="BH35" s="81"/>
      <c r="BJ35" s="175" t="s">
        <v>319</v>
      </c>
      <c r="BK35" s="175" t="s">
        <v>320</v>
      </c>
      <c r="BL35" s="175" t="s">
        <v>350</v>
      </c>
      <c r="BM35" s="175" t="s">
        <v>323</v>
      </c>
      <c r="BN35" s="174">
        <f>BD68</f>
        <v>0.41799999999999998</v>
      </c>
      <c r="BO35" s="175" t="s">
        <v>322</v>
      </c>
      <c r="BQ35" s="81" t="s">
        <v>120</v>
      </c>
      <c r="BR35" s="167">
        <v>272</v>
      </c>
      <c r="BS35" s="167">
        <v>18.2</v>
      </c>
      <c r="BT35" s="81">
        <v>14.96</v>
      </c>
      <c r="BU35" s="81" t="s">
        <v>422</v>
      </c>
      <c r="BV35" s="167">
        <v>2E-16</v>
      </c>
      <c r="BW35" s="81" t="s">
        <v>389</v>
      </c>
      <c r="BY35" s="178" t="s">
        <v>319</v>
      </c>
      <c r="BZ35" s="178" t="s">
        <v>320</v>
      </c>
      <c r="CA35" s="178" t="s">
        <v>347</v>
      </c>
      <c r="CB35" s="178" t="s">
        <v>323</v>
      </c>
      <c r="CC35" s="177">
        <f>BR65</f>
        <v>0.23</v>
      </c>
      <c r="CD35" s="178" t="s">
        <v>322</v>
      </c>
      <c r="CP35" s="255"/>
      <c r="CQ35" s="255"/>
      <c r="CR35" s="255"/>
      <c r="CU35" s="258" t="s">
        <v>442</v>
      </c>
      <c r="CV35" s="258" t="s">
        <v>301</v>
      </c>
      <c r="CW35" s="259">
        <v>11500000</v>
      </c>
      <c r="CX35" s="259">
        <v>165000</v>
      </c>
      <c r="CY35" s="258">
        <v>69.819999999999993</v>
      </c>
      <c r="CZ35" s="258" t="s">
        <v>422</v>
      </c>
      <c r="DA35" s="167">
        <v>2E-16</v>
      </c>
      <c r="DB35" s="81" t="s">
        <v>389</v>
      </c>
      <c r="DC35" s="260" t="s">
        <v>467</v>
      </c>
      <c r="DD35" s="265" t="s">
        <v>338</v>
      </c>
      <c r="DE35" s="261" t="s">
        <v>323</v>
      </c>
      <c r="DF35" s="262">
        <f>CW50</f>
        <v>141</v>
      </c>
      <c r="DG35" s="260" t="s">
        <v>322</v>
      </c>
      <c r="DI35" s="170" t="s">
        <v>467</v>
      </c>
      <c r="DJ35" s="294" t="s">
        <v>338</v>
      </c>
      <c r="DK35" s="291" t="s">
        <v>323</v>
      </c>
      <c r="DL35" s="296">
        <f>$AP22</f>
        <v>165.7062043956044</v>
      </c>
      <c r="DM35" s="170" t="s">
        <v>322</v>
      </c>
      <c r="DO35" s="298" t="s">
        <v>442</v>
      </c>
      <c r="DP35" s="298" t="s">
        <v>301</v>
      </c>
      <c r="DQ35" s="302">
        <v>8360000</v>
      </c>
      <c r="DR35" s="302">
        <v>241000</v>
      </c>
      <c r="DS35" s="298">
        <v>34.72</v>
      </c>
      <c r="DT35" s="298" t="s">
        <v>422</v>
      </c>
      <c r="DU35" s="302">
        <v>2E-16</v>
      </c>
      <c r="DV35" s="298" t="s">
        <v>389</v>
      </c>
      <c r="DW35" s="299" t="s">
        <v>467</v>
      </c>
      <c r="DX35" s="305" t="s">
        <v>338</v>
      </c>
      <c r="DY35" s="300" t="s">
        <v>323</v>
      </c>
      <c r="DZ35" s="301">
        <f>DQ50</f>
        <v>121</v>
      </c>
      <c r="EA35" s="299" t="s">
        <v>322</v>
      </c>
    </row>
    <row r="36" spans="1:131" ht="15" customHeight="1" thickTop="1" thickBot="1" x14ac:dyDescent="0.3">
      <c r="A36" s="73">
        <v>3</v>
      </c>
      <c r="B36" s="74">
        <f>G36*2</f>
        <v>0</v>
      </c>
      <c r="C36" s="73"/>
      <c r="D36" s="73" t="s">
        <v>118</v>
      </c>
      <c r="E36" s="309" t="s">
        <v>119</v>
      </c>
      <c r="F36" s="309"/>
      <c r="G36" s="76">
        <f>B17</f>
        <v>0</v>
      </c>
      <c r="L36"/>
      <c r="M36"/>
      <c r="N36" t="s">
        <v>117</v>
      </c>
      <c r="O36" s="3">
        <f>SUM(R10:R13,R21:R24)</f>
        <v>113.05</v>
      </c>
      <c r="Q36"/>
      <c r="R36"/>
      <c r="X36" s="239"/>
      <c r="Y36" s="240" t="s">
        <v>16</v>
      </c>
      <c r="Z36" s="240">
        <v>3.15</v>
      </c>
      <c r="AA36" s="240" t="s">
        <v>5</v>
      </c>
      <c r="AB36" s="240"/>
      <c r="AC36" s="240" t="s">
        <v>506</v>
      </c>
      <c r="AD36" s="240">
        <f>(AA35-(1-AD37)*Z36)/AD37</f>
        <v>4.5500000000000007</v>
      </c>
      <c r="AE36" s="244"/>
      <c r="AF36" s="14"/>
      <c r="AG36" s="14"/>
      <c r="AH36" s="14"/>
      <c r="AQ36" s="81" t="s">
        <v>322</v>
      </c>
      <c r="AV36" s="168"/>
      <c r="AW36" s="168"/>
      <c r="AX36" s="168"/>
      <c r="AY36" s="169"/>
      <c r="BA36" s="168"/>
      <c r="BC36" s="81" t="s">
        <v>412</v>
      </c>
      <c r="BD36" s="167">
        <v>-5.43</v>
      </c>
      <c r="BE36" s="167">
        <v>2.2100000000000002E-2</v>
      </c>
      <c r="BF36" s="81">
        <v>-245.28</v>
      </c>
      <c r="BG36" s="81" t="s">
        <v>388</v>
      </c>
      <c r="BH36" s="81"/>
      <c r="BJ36" s="175"/>
      <c r="BK36" s="175"/>
      <c r="BL36" s="175"/>
      <c r="BM36" s="175"/>
      <c r="BN36" s="174"/>
      <c r="BO36" s="175"/>
      <c r="BQ36" s="81" t="s">
        <v>412</v>
      </c>
      <c r="BR36" s="167">
        <v>-5.48</v>
      </c>
      <c r="BS36" s="167">
        <v>7.46E-2</v>
      </c>
      <c r="BT36" s="81">
        <v>-73.489999999999995</v>
      </c>
      <c r="BU36" s="81" t="s">
        <v>422</v>
      </c>
      <c r="BV36" s="167">
        <v>2E-16</v>
      </c>
      <c r="BW36" s="81" t="s">
        <v>389</v>
      </c>
      <c r="BY36" s="178" t="s">
        <v>319</v>
      </c>
      <c r="BZ36" s="178" t="s">
        <v>320</v>
      </c>
      <c r="CA36" s="178" t="s">
        <v>348</v>
      </c>
      <c r="CB36" s="178" t="s">
        <v>323</v>
      </c>
      <c r="CC36" s="177">
        <f>BR66</f>
        <v>4.8599999999999997E-2</v>
      </c>
      <c r="CD36" s="178" t="s">
        <v>322</v>
      </c>
      <c r="CO36" s="81" t="s">
        <v>352</v>
      </c>
      <c r="CP36" s="257">
        <f t="shared" si="0"/>
        <v>258.92850261069572</v>
      </c>
      <c r="CQ36" s="257">
        <f t="shared" si="1"/>
        <v>568</v>
      </c>
      <c r="CR36" s="257">
        <f t="shared" si="2"/>
        <v>219</v>
      </c>
      <c r="CU36" s="258" t="s">
        <v>442</v>
      </c>
      <c r="CV36" s="258" t="s">
        <v>303</v>
      </c>
      <c r="CW36" s="259">
        <v>12000000</v>
      </c>
      <c r="CX36" s="259">
        <v>69100</v>
      </c>
      <c r="CY36" s="258">
        <v>173.7</v>
      </c>
      <c r="CZ36" s="258" t="s">
        <v>422</v>
      </c>
      <c r="DA36" s="167">
        <v>2E-16</v>
      </c>
      <c r="DB36" s="81" t="s">
        <v>389</v>
      </c>
      <c r="DC36" s="260" t="s">
        <v>467</v>
      </c>
      <c r="DD36" s="266" t="s">
        <v>340</v>
      </c>
      <c r="DE36" s="261" t="s">
        <v>323</v>
      </c>
      <c r="DF36" s="262">
        <f>CW59</f>
        <v>67.400000000000006</v>
      </c>
      <c r="DG36" s="260" t="s">
        <v>322</v>
      </c>
      <c r="DI36" s="170" t="s">
        <v>467</v>
      </c>
      <c r="DJ36" s="297" t="s">
        <v>340</v>
      </c>
      <c r="DK36" s="291" t="s">
        <v>323</v>
      </c>
      <c r="DL36" s="170">
        <f>$AP24</f>
        <v>49.472392638036808</v>
      </c>
      <c r="DM36" s="170" t="s">
        <v>322</v>
      </c>
      <c r="DO36" s="298" t="s">
        <v>442</v>
      </c>
      <c r="DP36" s="298" t="s">
        <v>303</v>
      </c>
      <c r="DQ36" s="302">
        <v>11300000</v>
      </c>
      <c r="DR36" s="302">
        <v>151000</v>
      </c>
      <c r="DS36" s="298">
        <v>74.819999999999993</v>
      </c>
      <c r="DT36" s="298" t="s">
        <v>422</v>
      </c>
      <c r="DU36" s="302">
        <v>2E-16</v>
      </c>
      <c r="DV36" s="298" t="s">
        <v>389</v>
      </c>
      <c r="DW36" s="299" t="s">
        <v>467</v>
      </c>
      <c r="DX36" s="306" t="s">
        <v>340</v>
      </c>
      <c r="DY36" s="300" t="s">
        <v>323</v>
      </c>
      <c r="DZ36" s="301">
        <f>DQ59</f>
        <v>98</v>
      </c>
      <c r="EA36" s="299" t="s">
        <v>322</v>
      </c>
    </row>
    <row r="37" spans="1:131" ht="15" customHeight="1" thickTop="1" thickBot="1" x14ac:dyDescent="0.3">
      <c r="L37"/>
      <c r="M37"/>
      <c r="N37" t="s">
        <v>120</v>
      </c>
      <c r="O37" s="3">
        <f>'Verwarming Tabula'!B60</f>
        <v>138.03320000000002</v>
      </c>
      <c r="Q37"/>
      <c r="R37"/>
      <c r="X37" s="205"/>
      <c r="Y37" s="187" t="s">
        <v>121</v>
      </c>
      <c r="Z37" s="187">
        <v>0.77</v>
      </c>
      <c r="AA37" s="187"/>
      <c r="AB37" s="187"/>
      <c r="AC37" s="187" t="s">
        <v>507</v>
      </c>
      <c r="AD37" s="187">
        <v>0.25</v>
      </c>
      <c r="AE37" s="210"/>
      <c r="AF37" s="149" t="s">
        <v>279</v>
      </c>
      <c r="AG37" s="14"/>
      <c r="AH37" s="14"/>
      <c r="AM37" s="159" t="s">
        <v>319</v>
      </c>
      <c r="AN37" s="81" t="s">
        <v>320</v>
      </c>
      <c r="AO37" s="81" t="s">
        <v>352</v>
      </c>
      <c r="AP37" s="81">
        <f>SUM(O17:O20)*(1/(SUM(AD18:AD19)+1/8))+O25*(1/(SUM(AD9:AD10)+1/8))</f>
        <v>258.92850261069572</v>
      </c>
      <c r="AQ37" s="81" t="s">
        <v>322</v>
      </c>
      <c r="AR37" s="81" t="s">
        <v>353</v>
      </c>
      <c r="AV37" s="168" t="s">
        <v>319</v>
      </c>
      <c r="AW37" s="168" t="s">
        <v>320</v>
      </c>
      <c r="AX37" s="168" t="s">
        <v>352</v>
      </c>
      <c r="AY37" s="169" t="s">
        <v>323</v>
      </c>
      <c r="AZ37" s="162">
        <f>AP37</f>
        <v>258.92850261069572</v>
      </c>
      <c r="BA37" s="168" t="s">
        <v>322</v>
      </c>
      <c r="BC37" s="81" t="s">
        <v>413</v>
      </c>
      <c r="BD37" s="167">
        <v>-6.85</v>
      </c>
      <c r="BE37" s="167">
        <v>1.8800000000000001E-2</v>
      </c>
      <c r="BF37" s="81">
        <v>-364.7</v>
      </c>
      <c r="BG37" s="81" t="s">
        <v>388</v>
      </c>
      <c r="BH37" s="81"/>
      <c r="BJ37" s="175" t="s">
        <v>319</v>
      </c>
      <c r="BK37" s="175" t="s">
        <v>320</v>
      </c>
      <c r="BL37" s="175" t="s">
        <v>352</v>
      </c>
      <c r="BM37" s="175" t="s">
        <v>323</v>
      </c>
      <c r="BN37" s="174">
        <f>BD70</f>
        <v>568</v>
      </c>
      <c r="BO37" s="175" t="s">
        <v>322</v>
      </c>
      <c r="BQ37" s="81" t="s">
        <v>413</v>
      </c>
      <c r="BR37" s="167">
        <v>-6.06</v>
      </c>
      <c r="BS37" s="167">
        <v>4.41E-2</v>
      </c>
      <c r="BT37" s="81">
        <v>-137.35</v>
      </c>
      <c r="BU37" s="81" t="s">
        <v>422</v>
      </c>
      <c r="BV37" s="167">
        <v>2E-16</v>
      </c>
      <c r="BW37" s="81" t="s">
        <v>389</v>
      </c>
      <c r="BY37" s="178" t="s">
        <v>319</v>
      </c>
      <c r="BZ37" s="178" t="s">
        <v>320</v>
      </c>
      <c r="CA37" s="178" t="s">
        <v>350</v>
      </c>
      <c r="CB37" s="178" t="s">
        <v>323</v>
      </c>
      <c r="CC37" s="177">
        <f>BR67</f>
        <v>0.63200000000000001</v>
      </c>
      <c r="CD37" s="178" t="s">
        <v>322</v>
      </c>
      <c r="CO37" s="81" t="s">
        <v>354</v>
      </c>
      <c r="CP37" s="257">
        <f t="shared" si="0"/>
        <v>299.14856507631225</v>
      </c>
      <c r="CQ37" s="257">
        <f t="shared" si="1"/>
        <v>238</v>
      </c>
      <c r="CR37" s="257">
        <f t="shared" si="2"/>
        <v>85.9</v>
      </c>
      <c r="CU37" s="258" t="s">
        <v>442</v>
      </c>
      <c r="CV37" s="258" t="s">
        <v>400</v>
      </c>
      <c r="CW37" s="259">
        <v>-6.51</v>
      </c>
      <c r="CX37" s="259">
        <v>7.8899999999999998E-2</v>
      </c>
      <c r="CY37" s="258">
        <v>-82.46</v>
      </c>
      <c r="CZ37" s="258" t="s">
        <v>422</v>
      </c>
      <c r="DA37" s="167">
        <v>2E-16</v>
      </c>
      <c r="DB37" s="81" t="s">
        <v>389</v>
      </c>
      <c r="DC37" s="260" t="s">
        <v>467</v>
      </c>
      <c r="DD37" s="266" t="s">
        <v>339</v>
      </c>
      <c r="DE37" s="261" t="s">
        <v>323</v>
      </c>
      <c r="DF37" s="262">
        <f>1/CW56</f>
        <v>116.95906432748538</v>
      </c>
      <c r="DG37" s="260" t="s">
        <v>322</v>
      </c>
      <c r="DI37" s="170" t="s">
        <v>467</v>
      </c>
      <c r="DJ37" s="297" t="s">
        <v>339</v>
      </c>
      <c r="DK37" s="291" t="s">
        <v>323</v>
      </c>
      <c r="DL37" s="170">
        <f>$AP23</f>
        <v>125.28411280849714</v>
      </c>
      <c r="DM37" s="170" t="s">
        <v>322</v>
      </c>
      <c r="DO37" s="298" t="s">
        <v>442</v>
      </c>
      <c r="DP37" s="298" t="s">
        <v>400</v>
      </c>
      <c r="DQ37" s="302">
        <v>-3.97</v>
      </c>
      <c r="DR37" s="302">
        <v>5.6300000000000003E-2</v>
      </c>
      <c r="DS37" s="298">
        <v>-70.510000000000005</v>
      </c>
      <c r="DT37" s="298" t="s">
        <v>422</v>
      </c>
      <c r="DU37" s="302">
        <v>2E-16</v>
      </c>
      <c r="DV37" s="298" t="s">
        <v>389</v>
      </c>
      <c r="DW37" s="299" t="s">
        <v>467</v>
      </c>
      <c r="DX37" s="306" t="s">
        <v>339</v>
      </c>
      <c r="DY37" s="300" t="s">
        <v>323</v>
      </c>
      <c r="DZ37" s="301">
        <f>1/DQ56</f>
        <v>114.02508551881414</v>
      </c>
      <c r="EA37" s="299" t="s">
        <v>322</v>
      </c>
    </row>
    <row r="38" spans="1:131" ht="15" customHeight="1" thickTop="1" thickBot="1" x14ac:dyDescent="0.3">
      <c r="B38" s="3"/>
      <c r="L38"/>
      <c r="M38"/>
      <c r="N38"/>
      <c r="O38" s="3"/>
      <c r="Q38"/>
      <c r="R38"/>
      <c r="X38" s="226"/>
      <c r="Y38" s="226"/>
      <c r="Z38" s="226"/>
      <c r="AA38" s="226"/>
      <c r="AB38" s="226"/>
      <c r="AC38" s="226"/>
      <c r="AD38" s="226"/>
      <c r="AE38" s="226"/>
      <c r="AF38" s="14"/>
      <c r="AG38" s="14"/>
      <c r="AH38" s="14"/>
      <c r="AM38" s="159" t="s">
        <v>319</v>
      </c>
      <c r="AN38" s="81" t="s">
        <v>320</v>
      </c>
      <c r="AO38" s="81" t="s">
        <v>354</v>
      </c>
      <c r="AP38" s="81">
        <f>2*AA21*O28+R31</f>
        <v>299.14856507631225</v>
      </c>
      <c r="AQ38" s="81" t="s">
        <v>322</v>
      </c>
      <c r="AR38" s="167">
        <v>85.692350000000005</v>
      </c>
      <c r="AV38" s="168" t="s">
        <v>319</v>
      </c>
      <c r="AW38" s="168" t="s">
        <v>320</v>
      </c>
      <c r="AX38" s="168" t="s">
        <v>354</v>
      </c>
      <c r="AY38" s="169" t="s">
        <v>323</v>
      </c>
      <c r="AZ38" s="162">
        <f>AP38</f>
        <v>299.14856507631225</v>
      </c>
      <c r="BA38" s="168" t="s">
        <v>322</v>
      </c>
      <c r="BC38" s="81" t="s">
        <v>414</v>
      </c>
      <c r="BD38" s="167">
        <v>-8.6300000000000008</v>
      </c>
      <c r="BE38" s="167">
        <v>5.8999999999999997E-2</v>
      </c>
      <c r="BF38" s="81">
        <v>-146.31</v>
      </c>
      <c r="BG38" s="81" t="s">
        <v>388</v>
      </c>
      <c r="BH38" s="81"/>
      <c r="BJ38" s="175" t="s">
        <v>319</v>
      </c>
      <c r="BK38" s="175" t="s">
        <v>320</v>
      </c>
      <c r="BL38" s="175" t="s">
        <v>354</v>
      </c>
      <c r="BM38" s="175" t="s">
        <v>323</v>
      </c>
      <c r="BN38" s="174">
        <f>BD71</f>
        <v>238</v>
      </c>
      <c r="BO38" s="175" t="s">
        <v>322</v>
      </c>
      <c r="BQ38" s="81" t="s">
        <v>414</v>
      </c>
      <c r="BR38" s="167">
        <v>-6.9</v>
      </c>
      <c r="BS38" s="167">
        <v>0.127</v>
      </c>
      <c r="BT38" s="81">
        <v>-54.4</v>
      </c>
      <c r="BU38" s="81" t="s">
        <v>422</v>
      </c>
      <c r="BV38" s="167">
        <v>2E-16</v>
      </c>
      <c r="BW38" s="81" t="s">
        <v>389</v>
      </c>
      <c r="BY38" s="178"/>
      <c r="BZ38" s="178"/>
      <c r="CA38" s="178"/>
      <c r="CB38" s="178"/>
      <c r="CC38" s="177"/>
      <c r="CD38" s="178"/>
      <c r="CO38" s="81" t="s">
        <v>355</v>
      </c>
      <c r="CP38" s="257">
        <f t="shared" si="0"/>
        <v>100.65734672527473</v>
      </c>
      <c r="CQ38" s="257">
        <f t="shared" si="1"/>
        <v>58</v>
      </c>
      <c r="CR38" s="257">
        <f t="shared" si="2"/>
        <v>49.4</v>
      </c>
      <c r="CU38" s="258" t="s">
        <v>442</v>
      </c>
      <c r="CV38" s="258" t="s">
        <v>401</v>
      </c>
      <c r="CW38" s="259">
        <v>-16.600000000000001</v>
      </c>
      <c r="CX38" s="259">
        <v>67.3</v>
      </c>
      <c r="CY38" s="258">
        <v>-0.25</v>
      </c>
      <c r="CZ38" s="258">
        <v>0.80559999999999998</v>
      </c>
      <c r="DA38" s="81"/>
      <c r="DB38" s="81"/>
      <c r="DC38" s="260" t="s">
        <v>467</v>
      </c>
      <c r="DD38" s="263" t="s">
        <v>331</v>
      </c>
      <c r="DE38" s="261" t="s">
        <v>323</v>
      </c>
      <c r="DF38" s="262">
        <f>CW42</f>
        <v>5.6899999999999999E-2</v>
      </c>
      <c r="DG38" s="260" t="s">
        <v>322</v>
      </c>
      <c r="DI38" s="170" t="s">
        <v>467</v>
      </c>
      <c r="DJ38" s="292" t="s">
        <v>331</v>
      </c>
      <c r="DK38" s="291" t="s">
        <v>323</v>
      </c>
      <c r="DL38" s="170">
        <f>$AP14</f>
        <v>3.234599391841006E-2</v>
      </c>
      <c r="DM38" s="170" t="s">
        <v>322</v>
      </c>
      <c r="DO38" s="298" t="s">
        <v>442</v>
      </c>
      <c r="DP38" s="298" t="s">
        <v>401</v>
      </c>
      <c r="DQ38" s="302">
        <v>-12</v>
      </c>
      <c r="DR38" s="302">
        <v>6.74</v>
      </c>
      <c r="DS38" s="298">
        <v>-1.78</v>
      </c>
      <c r="DT38" s="298">
        <v>7.4999999999999997E-2</v>
      </c>
      <c r="DU38" s="298" t="s">
        <v>427</v>
      </c>
      <c r="DW38" s="299" t="s">
        <v>467</v>
      </c>
      <c r="DX38" s="303" t="s">
        <v>331</v>
      </c>
      <c r="DY38" s="300" t="s">
        <v>323</v>
      </c>
      <c r="DZ38" s="301">
        <f>DQ42</f>
        <v>5.5899999999999998E-2</v>
      </c>
      <c r="EA38" s="299" t="s">
        <v>322</v>
      </c>
    </row>
    <row r="39" spans="1:131" ht="15" customHeight="1" thickTop="1" thickBot="1" x14ac:dyDescent="0.3">
      <c r="L39"/>
      <c r="M39"/>
      <c r="N39" t="s">
        <v>122</v>
      </c>
      <c r="O39" s="3">
        <f>B4*1.204*1012*5/1000000</f>
        <v>3.1046055040000002</v>
      </c>
      <c r="P39" t="s">
        <v>123</v>
      </c>
      <c r="R39"/>
      <c r="X39" s="226"/>
      <c r="Y39" s="226"/>
      <c r="Z39" s="227" t="s">
        <v>4</v>
      </c>
      <c r="AA39" s="227">
        <v>0.85</v>
      </c>
      <c r="AB39" s="227" t="s">
        <v>5</v>
      </c>
      <c r="AC39" s="226"/>
      <c r="AD39" s="226"/>
      <c r="AE39" s="226"/>
      <c r="AF39" s="14"/>
      <c r="AG39" s="14"/>
      <c r="AH39" s="14"/>
      <c r="AM39" s="159" t="s">
        <v>319</v>
      </c>
      <c r="AN39" s="81" t="s">
        <v>320</v>
      </c>
      <c r="AO39" s="81" t="s">
        <v>355</v>
      </c>
      <c r="AP39" s="153">
        <f>'Verwarming Tabula 2zone'!B139+SUM(R21:R24)</f>
        <v>100.65734672527473</v>
      </c>
      <c r="AQ39" s="81" t="s">
        <v>322</v>
      </c>
      <c r="AR39" s="81" t="s">
        <v>356</v>
      </c>
      <c r="AV39" s="168" t="s">
        <v>319</v>
      </c>
      <c r="AW39" s="168" t="s">
        <v>320</v>
      </c>
      <c r="AX39" s="168" t="s">
        <v>355</v>
      </c>
      <c r="AY39" s="169" t="s">
        <v>323</v>
      </c>
      <c r="AZ39" s="162">
        <f>AP39</f>
        <v>100.65734672527473</v>
      </c>
      <c r="BA39" s="168" t="s">
        <v>322</v>
      </c>
      <c r="BC39" s="81" t="s">
        <v>415</v>
      </c>
      <c r="BD39" s="167">
        <v>-6.14</v>
      </c>
      <c r="BE39" s="167">
        <v>2.1399999999999999E-2</v>
      </c>
      <c r="BF39" s="81">
        <v>-287.01</v>
      </c>
      <c r="BG39" s="81" t="s">
        <v>388</v>
      </c>
      <c r="BH39" s="81"/>
      <c r="BJ39" s="175" t="s">
        <v>319</v>
      </c>
      <c r="BK39" s="175" t="s">
        <v>320</v>
      </c>
      <c r="BL39" s="175" t="s">
        <v>355</v>
      </c>
      <c r="BM39" s="175" t="s">
        <v>323</v>
      </c>
      <c r="BN39" s="174">
        <f>BD72</f>
        <v>58</v>
      </c>
      <c r="BO39" s="175" t="s">
        <v>322</v>
      </c>
      <c r="BQ39" s="81" t="s">
        <v>415</v>
      </c>
      <c r="BR39" s="167">
        <v>-6.05</v>
      </c>
      <c r="BS39" s="167">
        <v>2.2700000000000001E-2</v>
      </c>
      <c r="BT39" s="81">
        <v>-266.10000000000002</v>
      </c>
      <c r="BU39" s="81" t="s">
        <v>422</v>
      </c>
      <c r="BV39" s="167">
        <v>2E-16</v>
      </c>
      <c r="BW39" s="81" t="s">
        <v>389</v>
      </c>
      <c r="BY39" s="178" t="s">
        <v>319</v>
      </c>
      <c r="BZ39" s="178" t="s">
        <v>320</v>
      </c>
      <c r="CA39" s="178" t="s">
        <v>352</v>
      </c>
      <c r="CB39" s="178" t="s">
        <v>323</v>
      </c>
      <c r="CC39" s="177">
        <f>BR69</f>
        <v>219</v>
      </c>
      <c r="CD39" s="178" t="s">
        <v>322</v>
      </c>
      <c r="CO39" s="81" t="s">
        <v>357</v>
      </c>
      <c r="CP39" s="257">
        <f t="shared" si="0"/>
        <v>563.57766902352603</v>
      </c>
      <c r="CQ39" s="257">
        <f t="shared" si="1"/>
        <v>215.51724137931035</v>
      </c>
      <c r="CR39" s="257">
        <f t="shared" si="2"/>
        <v>350.87719298245611</v>
      </c>
      <c r="CU39" s="258" t="s">
        <v>442</v>
      </c>
      <c r="CV39" s="258" t="s">
        <v>402</v>
      </c>
      <c r="CW39" s="259">
        <v>-15.4</v>
      </c>
      <c r="CX39" s="259">
        <v>24.3</v>
      </c>
      <c r="CY39" s="258">
        <v>-0.63</v>
      </c>
      <c r="CZ39" s="258">
        <v>0.5262</v>
      </c>
      <c r="DA39" s="81"/>
      <c r="DB39" s="81"/>
      <c r="DC39" s="260" t="s">
        <v>467</v>
      </c>
      <c r="DD39" s="264" t="s">
        <v>332</v>
      </c>
      <c r="DE39" s="261" t="s">
        <v>323</v>
      </c>
      <c r="DF39" s="262">
        <f>CW43</f>
        <v>0.128</v>
      </c>
      <c r="DG39" s="260" t="s">
        <v>322</v>
      </c>
      <c r="DI39" s="170" t="s">
        <v>467</v>
      </c>
      <c r="DJ39" s="293" t="s">
        <v>332</v>
      </c>
      <c r="DK39" s="291" t="s">
        <v>323</v>
      </c>
      <c r="DL39" s="170">
        <f>$AP15</f>
        <v>7.9822780959947368E-2</v>
      </c>
      <c r="DM39" s="170" t="s">
        <v>322</v>
      </c>
      <c r="DO39" s="298" t="s">
        <v>442</v>
      </c>
      <c r="DP39" s="298" t="s">
        <v>402</v>
      </c>
      <c r="DQ39" s="302">
        <v>-13</v>
      </c>
      <c r="DR39" s="302">
        <v>7.73</v>
      </c>
      <c r="DS39" s="298">
        <v>-1.69</v>
      </c>
      <c r="DT39" s="298">
        <v>9.1999999999999998E-2</v>
      </c>
      <c r="DU39" s="298" t="s">
        <v>427</v>
      </c>
      <c r="DW39" s="299" t="s">
        <v>467</v>
      </c>
      <c r="DX39" s="304" t="s">
        <v>332</v>
      </c>
      <c r="DY39" s="300" t="s">
        <v>323</v>
      </c>
      <c r="DZ39" s="301">
        <f>DQ43</f>
        <v>0.115</v>
      </c>
      <c r="EA39" s="299" t="s">
        <v>322</v>
      </c>
    </row>
    <row r="40" spans="1:131" ht="15" customHeight="1" thickTop="1" thickBot="1" x14ac:dyDescent="0.3">
      <c r="A40" t="s">
        <v>280</v>
      </c>
      <c r="L40"/>
      <c r="M40"/>
      <c r="N40" t="s">
        <v>124</v>
      </c>
      <c r="O40" s="3">
        <f>SUM(S6:S9,S15)/1000000</f>
        <v>38.941706326173779</v>
      </c>
      <c r="P40" t="s">
        <v>125</v>
      </c>
      <c r="Q40" s="3">
        <f>SUM(U6:U9,U15)/1000000</f>
        <v>15.206901581219645</v>
      </c>
      <c r="R40"/>
      <c r="X40" s="228" t="s">
        <v>63</v>
      </c>
      <c r="Y40" s="229"/>
      <c r="Z40" s="230" t="s">
        <v>21</v>
      </c>
      <c r="AA40" s="231">
        <f>1/(1/10+SUM(AD42:AD46))</f>
        <v>0.84168336673346678</v>
      </c>
      <c r="AB40" s="229" t="s">
        <v>5</v>
      </c>
      <c r="AC40" s="229"/>
      <c r="AD40" s="229" t="s">
        <v>22</v>
      </c>
      <c r="AE40" s="232">
        <f>SUM(AE42:AE46)</f>
        <v>376883</v>
      </c>
      <c r="AF40" s="14" t="s">
        <v>23</v>
      </c>
      <c r="AG40" s="14">
        <f>SUM(AE42:AE43)</f>
        <v>110960</v>
      </c>
      <c r="AH40" s="14"/>
      <c r="AM40" s="159" t="s">
        <v>319</v>
      </c>
      <c r="AN40" s="81" t="s">
        <v>320</v>
      </c>
      <c r="AO40" s="81" t="s">
        <v>357</v>
      </c>
      <c r="AP40" s="81">
        <f>SUM(O17:O20)*1/(SUM(AD15:AD17)+1/23)+O25*1/(SUM(AD7:AD8)+1/23)</f>
        <v>563.57766902352603</v>
      </c>
      <c r="AQ40" s="81" t="s">
        <v>322</v>
      </c>
      <c r="AR40" s="81">
        <f>1/0.01634389</f>
        <v>61.184944343115376</v>
      </c>
      <c r="AV40" s="168" t="s">
        <v>319</v>
      </c>
      <c r="AW40" s="168" t="s">
        <v>320</v>
      </c>
      <c r="AX40" s="168" t="s">
        <v>357</v>
      </c>
      <c r="AY40" s="169" t="s">
        <v>323</v>
      </c>
      <c r="AZ40" s="162">
        <f>AP40</f>
        <v>563.57766902352603</v>
      </c>
      <c r="BA40" s="168" t="s">
        <v>322</v>
      </c>
      <c r="BC40" s="81" t="s">
        <v>416</v>
      </c>
      <c r="BD40" s="167">
        <v>-7.59</v>
      </c>
      <c r="BE40" s="167">
        <v>2.3199999999999998E-2</v>
      </c>
      <c r="BF40" s="81">
        <v>-327.07</v>
      </c>
      <c r="BG40" s="81" t="s">
        <v>388</v>
      </c>
      <c r="BH40" s="81"/>
      <c r="BJ40" s="175" t="s">
        <v>319</v>
      </c>
      <c r="BK40" s="175" t="s">
        <v>320</v>
      </c>
      <c r="BL40" s="175" t="s">
        <v>357</v>
      </c>
      <c r="BM40" s="175" t="s">
        <v>323</v>
      </c>
      <c r="BN40" s="174">
        <f>1/BD77</f>
        <v>215.51724137931035</v>
      </c>
      <c r="BO40" s="175" t="s">
        <v>322</v>
      </c>
      <c r="BQ40" s="81" t="s">
        <v>416</v>
      </c>
      <c r="BR40" s="167">
        <v>-6.56</v>
      </c>
      <c r="BS40" s="167">
        <v>3.3300000000000003E-2</v>
      </c>
      <c r="BT40" s="81">
        <v>-196.87</v>
      </c>
      <c r="BU40" s="81" t="s">
        <v>422</v>
      </c>
      <c r="BV40" s="167">
        <v>2E-16</v>
      </c>
      <c r="BW40" s="81" t="s">
        <v>389</v>
      </c>
      <c r="BY40" s="178" t="s">
        <v>319</v>
      </c>
      <c r="BZ40" s="178" t="s">
        <v>320</v>
      </c>
      <c r="CA40" s="178" t="s">
        <v>354</v>
      </c>
      <c r="CB40" s="178" t="s">
        <v>323</v>
      </c>
      <c r="CC40" s="177">
        <f>BR70</f>
        <v>85.9</v>
      </c>
      <c r="CD40" s="178" t="s">
        <v>322</v>
      </c>
      <c r="CP40" s="255"/>
      <c r="CQ40" s="255"/>
      <c r="CR40" s="255"/>
      <c r="CU40" s="258" t="s">
        <v>442</v>
      </c>
      <c r="CV40" s="258" t="s">
        <v>403</v>
      </c>
      <c r="CW40" s="259">
        <v>-20.2</v>
      </c>
      <c r="CX40" s="259">
        <v>72.8</v>
      </c>
      <c r="CY40" s="258">
        <v>-0.28000000000000003</v>
      </c>
      <c r="CZ40" s="258">
        <v>0.78110000000000002</v>
      </c>
      <c r="DA40" s="81"/>
      <c r="DB40" s="81"/>
      <c r="DC40" s="260" t="s">
        <v>467</v>
      </c>
      <c r="DD40" s="264" t="s">
        <v>333</v>
      </c>
      <c r="DE40" s="261" t="s">
        <v>323</v>
      </c>
      <c r="DF40" s="262">
        <f>CW44</f>
        <v>0.72</v>
      </c>
      <c r="DG40" s="260" t="s">
        <v>322</v>
      </c>
      <c r="DI40" s="170" t="s">
        <v>467</v>
      </c>
      <c r="DJ40" s="293" t="s">
        <v>333</v>
      </c>
      <c r="DK40" s="291" t="s">
        <v>323</v>
      </c>
      <c r="DL40" s="170">
        <f>$AP16</f>
        <v>0.80704132184519506</v>
      </c>
      <c r="DM40" s="170" t="s">
        <v>322</v>
      </c>
      <c r="DO40" s="298" t="s">
        <v>442</v>
      </c>
      <c r="DP40" s="298" t="s">
        <v>403</v>
      </c>
      <c r="DQ40" s="302">
        <v>-13</v>
      </c>
      <c r="DR40" s="302">
        <v>7.61</v>
      </c>
      <c r="DS40" s="298">
        <v>-1.71</v>
      </c>
      <c r="DT40" s="298">
        <v>8.6999999999999994E-2</v>
      </c>
      <c r="DU40" s="298" t="s">
        <v>427</v>
      </c>
      <c r="DW40" s="299" t="s">
        <v>467</v>
      </c>
      <c r="DX40" s="304" t="s">
        <v>333</v>
      </c>
      <c r="DY40" s="300" t="s">
        <v>323</v>
      </c>
      <c r="DZ40" s="301">
        <f>DQ44</f>
        <v>0.64500000000000002</v>
      </c>
      <c r="EA40" s="299" t="s">
        <v>322</v>
      </c>
    </row>
    <row r="41" spans="1:131" ht="15" customHeight="1" thickTop="1" thickBot="1" x14ac:dyDescent="0.3">
      <c r="A41" s="150" t="s">
        <v>281</v>
      </c>
      <c r="L41"/>
      <c r="M41"/>
      <c r="N41" t="s">
        <v>126</v>
      </c>
      <c r="O41" s="3">
        <f>SUM(S26:S27)/1000000</f>
        <v>55.48624048300055</v>
      </c>
      <c r="P41" t="s">
        <v>125</v>
      </c>
      <c r="Q41" s="3">
        <f>SUM(U26:U27)/1000000</f>
        <v>55.48624048300055</v>
      </c>
      <c r="R41"/>
      <c r="X41" s="233"/>
      <c r="Y41" s="234" t="s">
        <v>27</v>
      </c>
      <c r="Z41" s="234" t="s">
        <v>28</v>
      </c>
      <c r="AA41" s="234" t="s">
        <v>29</v>
      </c>
      <c r="AB41" s="234" t="s">
        <v>30</v>
      </c>
      <c r="AC41" s="234" t="s">
        <v>31</v>
      </c>
      <c r="AD41" s="234" t="s">
        <v>32</v>
      </c>
      <c r="AE41" s="235" t="s">
        <v>33</v>
      </c>
      <c r="AF41" s="14"/>
      <c r="AG41" s="14"/>
      <c r="AH41" s="14"/>
      <c r="AQ41" s="81" t="s">
        <v>322</v>
      </c>
      <c r="AV41" s="168"/>
      <c r="AW41" s="168"/>
      <c r="AX41" s="168"/>
      <c r="AY41" s="169"/>
      <c r="BA41" s="168"/>
      <c r="BC41" s="81" t="s">
        <v>417</v>
      </c>
      <c r="BD41" s="167">
        <v>4.5999999999999999E-3</v>
      </c>
      <c r="BE41" s="167">
        <v>2.5000000000000001E-5</v>
      </c>
      <c r="BF41" s="81">
        <v>184.29</v>
      </c>
      <c r="BG41" s="81" t="s">
        <v>388</v>
      </c>
      <c r="BH41" s="81"/>
      <c r="BJ41" s="175"/>
      <c r="BK41" s="175"/>
      <c r="BL41" s="175"/>
      <c r="BM41" s="175"/>
      <c r="BN41" s="174"/>
      <c r="BO41" s="175"/>
      <c r="BQ41" s="81" t="s">
        <v>417</v>
      </c>
      <c r="BR41" s="167">
        <v>3.0599999999999998E-3</v>
      </c>
      <c r="BS41" s="167">
        <v>6.4700000000000001E-5</v>
      </c>
      <c r="BT41" s="81">
        <v>47.35</v>
      </c>
      <c r="BU41" s="81" t="s">
        <v>422</v>
      </c>
      <c r="BV41" s="167">
        <v>2E-16</v>
      </c>
      <c r="BW41" s="81" t="s">
        <v>389</v>
      </c>
      <c r="BY41" s="178" t="s">
        <v>319</v>
      </c>
      <c r="BZ41" s="178" t="s">
        <v>320</v>
      </c>
      <c r="CA41" s="178" t="s">
        <v>355</v>
      </c>
      <c r="CB41" s="178" t="s">
        <v>323</v>
      </c>
      <c r="CC41" s="177">
        <f>BR71</f>
        <v>49.4</v>
      </c>
      <c r="CD41" s="178" t="s">
        <v>322</v>
      </c>
      <c r="CO41" s="81" t="s">
        <v>358</v>
      </c>
      <c r="CP41" s="254">
        <f t="shared" si="0"/>
        <v>0.19467183924950815</v>
      </c>
      <c r="CQ41" s="254">
        <f t="shared" si="1"/>
        <v>9.35E-2</v>
      </c>
      <c r="CR41" s="254">
        <f t="shared" si="2"/>
        <v>0.11799999999999999</v>
      </c>
      <c r="CU41" s="258" t="s">
        <v>442</v>
      </c>
      <c r="CV41" s="258" t="s">
        <v>404</v>
      </c>
      <c r="CW41" s="259">
        <v>-17.399999999999999</v>
      </c>
      <c r="CX41" s="259">
        <v>186</v>
      </c>
      <c r="CY41" s="258">
        <v>-0.09</v>
      </c>
      <c r="CZ41" s="258">
        <v>0.92549999999999999</v>
      </c>
      <c r="DA41" s="81"/>
      <c r="DB41" s="81"/>
      <c r="DC41" s="260" t="s">
        <v>467</v>
      </c>
      <c r="DD41" s="261" t="s">
        <v>334</v>
      </c>
      <c r="DE41" s="261" t="s">
        <v>323</v>
      </c>
      <c r="DF41" s="262">
        <f>CW45</f>
        <v>8.5300000000000001E-2</v>
      </c>
      <c r="DG41" s="260" t="s">
        <v>322</v>
      </c>
      <c r="DI41" s="170" t="s">
        <v>467</v>
      </c>
      <c r="DJ41" s="291" t="s">
        <v>334</v>
      </c>
      <c r="DK41" s="291" t="s">
        <v>323</v>
      </c>
      <c r="DL41" s="170">
        <f>$AP17</f>
        <v>4.1855535426545978E-2</v>
      </c>
      <c r="DM41" s="170" t="s">
        <v>322</v>
      </c>
      <c r="DO41" s="298" t="s">
        <v>442</v>
      </c>
      <c r="DP41" s="298" t="s">
        <v>404</v>
      </c>
      <c r="DQ41" s="302">
        <v>-13.7</v>
      </c>
      <c r="DR41" s="302">
        <v>6.85</v>
      </c>
      <c r="DS41" s="298">
        <v>-2</v>
      </c>
      <c r="DT41" s="298">
        <v>4.4999999999999998E-2</v>
      </c>
      <c r="DU41" s="298" t="s">
        <v>434</v>
      </c>
      <c r="DW41" s="299" t="s">
        <v>467</v>
      </c>
      <c r="DX41" s="300" t="s">
        <v>334</v>
      </c>
      <c r="DY41" s="300" t="s">
        <v>323</v>
      </c>
      <c r="DZ41" s="301">
        <f>DQ45</f>
        <v>7.8200000000000006E-2</v>
      </c>
      <c r="EA41" s="299" t="s">
        <v>322</v>
      </c>
    </row>
    <row r="42" spans="1:131" ht="15" customHeight="1" thickTop="1" thickBot="1" x14ac:dyDescent="0.3">
      <c r="A42" t="s">
        <v>282</v>
      </c>
      <c r="C42">
        <f>0.55</f>
        <v>0.55000000000000004</v>
      </c>
      <c r="L42"/>
      <c r="M42"/>
      <c r="N42" t="s">
        <v>127</v>
      </c>
      <c r="O42" s="3">
        <f>S14/1000000</f>
        <v>36.180768</v>
      </c>
      <c r="Q42" s="3">
        <f>U14/1000000</f>
        <v>10.65216</v>
      </c>
      <c r="R42"/>
      <c r="X42" s="239"/>
      <c r="Y42" s="240" t="s">
        <v>128</v>
      </c>
      <c r="Z42" s="240">
        <v>0.02</v>
      </c>
      <c r="AA42" s="240">
        <v>1.4</v>
      </c>
      <c r="AB42" s="240">
        <v>2100</v>
      </c>
      <c r="AC42" s="240">
        <v>840</v>
      </c>
      <c r="AD42" s="241">
        <f>Z42/AA42</f>
        <v>1.4285714285714287E-2</v>
      </c>
      <c r="AE42" s="242">
        <f>Z42*AB42*AC42</f>
        <v>35280</v>
      </c>
      <c r="AF42" s="14" t="s">
        <v>104</v>
      </c>
      <c r="AG42" s="14"/>
      <c r="AH42" s="14"/>
      <c r="AM42" s="159" t="s">
        <v>319</v>
      </c>
      <c r="AN42" s="81" t="s">
        <v>320</v>
      </c>
      <c r="AO42" s="81" t="s">
        <v>358</v>
      </c>
      <c r="AP42" s="81">
        <f>SUM(O26)/SUM($O$6:$O$14,$O$26,2*$O$27,O30)</f>
        <v>0.19467183924950815</v>
      </c>
      <c r="AQ42" s="81" t="s">
        <v>322</v>
      </c>
      <c r="AR42" s="81" t="s">
        <v>359</v>
      </c>
      <c r="AV42" s="168" t="s">
        <v>319</v>
      </c>
      <c r="AW42" s="168" t="s">
        <v>320</v>
      </c>
      <c r="AX42" s="168" t="s">
        <v>358</v>
      </c>
      <c r="AY42" s="169" t="s">
        <v>323</v>
      </c>
      <c r="AZ42" s="162">
        <f>AP42</f>
        <v>0.19467183924950815</v>
      </c>
      <c r="BA42" s="168" t="s">
        <v>322</v>
      </c>
      <c r="BC42" s="81" t="s">
        <v>418</v>
      </c>
      <c r="BD42" s="167">
        <v>393</v>
      </c>
      <c r="BE42" s="167">
        <v>4.21</v>
      </c>
      <c r="BF42" s="81">
        <v>93.48</v>
      </c>
      <c r="BG42" s="81" t="s">
        <v>388</v>
      </c>
      <c r="BH42" s="81"/>
      <c r="BJ42" s="175" t="s">
        <v>319</v>
      </c>
      <c r="BK42" s="175" t="s">
        <v>320</v>
      </c>
      <c r="BL42" s="175" t="s">
        <v>358</v>
      </c>
      <c r="BM42" s="175" t="s">
        <v>323</v>
      </c>
      <c r="BN42" s="174">
        <f>BD15</f>
        <v>9.35E-2</v>
      </c>
      <c r="BO42" s="175" t="s">
        <v>322</v>
      </c>
      <c r="BQ42" s="81" t="s">
        <v>418</v>
      </c>
      <c r="BR42" s="167">
        <v>113</v>
      </c>
      <c r="BS42" s="167">
        <v>2.08</v>
      </c>
      <c r="BT42" s="81">
        <v>54.6</v>
      </c>
      <c r="BU42" s="81" t="s">
        <v>422</v>
      </c>
      <c r="BV42" s="167">
        <v>2E-16</v>
      </c>
      <c r="BW42" s="81" t="s">
        <v>389</v>
      </c>
      <c r="BY42" s="178" t="s">
        <v>319</v>
      </c>
      <c r="BZ42" s="178" t="s">
        <v>320</v>
      </c>
      <c r="CA42" s="178" t="s">
        <v>357</v>
      </c>
      <c r="CB42" s="178" t="s">
        <v>323</v>
      </c>
      <c r="CC42" s="177">
        <f>1/BR76</f>
        <v>350.87719298245611</v>
      </c>
      <c r="CD42" s="178" t="s">
        <v>322</v>
      </c>
      <c r="CO42" s="81" t="s">
        <v>360</v>
      </c>
      <c r="CP42" s="254">
        <f t="shared" si="0"/>
        <v>0.19701484443186004</v>
      </c>
      <c r="CQ42" s="254">
        <f t="shared" si="1"/>
        <v>0.19800000000000001</v>
      </c>
      <c r="CR42" s="254">
        <f t="shared" si="2"/>
        <v>0.28299999999999997</v>
      </c>
      <c r="CU42" s="258" t="s">
        <v>442</v>
      </c>
      <c r="CV42" s="258" t="s">
        <v>405</v>
      </c>
      <c r="CW42" s="259">
        <v>5.6899999999999999E-2</v>
      </c>
      <c r="CX42" s="259">
        <v>2.8200000000000002E-4</v>
      </c>
      <c r="CY42" s="258">
        <v>201.84</v>
      </c>
      <c r="CZ42" s="258" t="s">
        <v>422</v>
      </c>
      <c r="DA42" s="167">
        <v>2E-16</v>
      </c>
      <c r="DB42" s="81" t="s">
        <v>389</v>
      </c>
      <c r="DC42" s="260" t="s">
        <v>467</v>
      </c>
      <c r="DD42" s="261" t="s">
        <v>428</v>
      </c>
      <c r="DE42" s="261" t="s">
        <v>323</v>
      </c>
      <c r="DF42" s="262">
        <f>CW46</f>
        <v>2.41E-2</v>
      </c>
      <c r="DG42" s="260" t="s">
        <v>322</v>
      </c>
      <c r="DI42" s="170" t="s">
        <v>467</v>
      </c>
      <c r="DJ42" s="291" t="s">
        <v>428</v>
      </c>
      <c r="DK42" s="291" t="s">
        <v>323</v>
      </c>
      <c r="DL42" s="170">
        <f>$AP46</f>
        <v>3.8934367849901633E-2</v>
      </c>
      <c r="DM42" s="170" t="s">
        <v>322</v>
      </c>
      <c r="DO42" s="298" t="s">
        <v>442</v>
      </c>
      <c r="DP42" s="298" t="s">
        <v>405</v>
      </c>
      <c r="DQ42" s="302">
        <v>5.5899999999999998E-2</v>
      </c>
      <c r="DR42" s="302">
        <v>6.9700000000000003E-4</v>
      </c>
      <c r="DS42" s="298">
        <v>80.17</v>
      </c>
      <c r="DT42" s="298" t="s">
        <v>422</v>
      </c>
      <c r="DU42" s="302">
        <v>2E-16</v>
      </c>
      <c r="DV42" s="298" t="s">
        <v>389</v>
      </c>
      <c r="DW42" s="299" t="s">
        <v>467</v>
      </c>
      <c r="DX42" s="300" t="s">
        <v>428</v>
      </c>
      <c r="DY42" s="300" t="s">
        <v>323</v>
      </c>
      <c r="DZ42" s="301">
        <f>DQ46</f>
        <v>3.27E-2</v>
      </c>
      <c r="EA42" s="299" t="s">
        <v>322</v>
      </c>
    </row>
    <row r="43" spans="1:131" ht="15" customHeight="1" thickTop="1" thickBot="1" x14ac:dyDescent="0.3">
      <c r="A43" t="s">
        <v>283</v>
      </c>
      <c r="C43">
        <f>B7/B6</f>
        <v>0.51807879114948729</v>
      </c>
      <c r="D43" t="s">
        <v>284</v>
      </c>
      <c r="L43"/>
      <c r="M43"/>
      <c r="N43"/>
      <c r="Q43"/>
      <c r="R43"/>
      <c r="X43" s="188"/>
      <c r="Y43" s="189" t="s">
        <v>129</v>
      </c>
      <c r="Z43" s="189">
        <v>0.08</v>
      </c>
      <c r="AA43" s="189">
        <v>0.6</v>
      </c>
      <c r="AB43" s="189">
        <v>1100</v>
      </c>
      <c r="AC43" s="189">
        <v>860</v>
      </c>
      <c r="AD43" s="236">
        <f>Z43/AA43</f>
        <v>0.13333333333333333</v>
      </c>
      <c r="AE43" s="190">
        <f>Z43*AB43*AC43</f>
        <v>75680</v>
      </c>
      <c r="AF43" s="14"/>
      <c r="AG43" s="14"/>
      <c r="AH43" s="14"/>
      <c r="AM43" s="159" t="s">
        <v>319</v>
      </c>
      <c r="AN43" s="81" t="s">
        <v>320</v>
      </c>
      <c r="AO43" s="81" t="s">
        <v>360</v>
      </c>
      <c r="AP43" s="81">
        <f>SUM(O26)/SUM(O$17:O$25,2*O$28,O$26,O$31)</f>
        <v>0.19701484443186004</v>
      </c>
      <c r="AQ43" s="81" t="s">
        <v>322</v>
      </c>
      <c r="AR43" s="81" t="s">
        <v>361</v>
      </c>
      <c r="AV43" s="168" t="s">
        <v>319</v>
      </c>
      <c r="AW43" s="168" t="s">
        <v>320</v>
      </c>
      <c r="AX43" s="168" t="s">
        <v>360</v>
      </c>
      <c r="AY43" s="169" t="s">
        <v>323</v>
      </c>
      <c r="AZ43" s="162">
        <f t="shared" ref="AZ43:AZ50" si="16">AP43</f>
        <v>0.19701484443186004</v>
      </c>
      <c r="BA43" s="168" t="s">
        <v>322</v>
      </c>
      <c r="BC43" s="81" t="s">
        <v>419</v>
      </c>
      <c r="BD43" s="167">
        <v>141</v>
      </c>
      <c r="BE43" s="167">
        <v>4.72</v>
      </c>
      <c r="BF43" s="81">
        <v>29.84</v>
      </c>
      <c r="BG43" s="81" t="s">
        <v>388</v>
      </c>
      <c r="BH43" s="81"/>
      <c r="BJ43" s="175" t="s">
        <v>319</v>
      </c>
      <c r="BK43" s="175" t="s">
        <v>320</v>
      </c>
      <c r="BL43" s="175" t="s">
        <v>360</v>
      </c>
      <c r="BM43" s="175" t="s">
        <v>323</v>
      </c>
      <c r="BN43" s="174">
        <f>BD57</f>
        <v>0.19800000000000001</v>
      </c>
      <c r="BO43" s="175" t="s">
        <v>322</v>
      </c>
      <c r="BQ43" s="81" t="s">
        <v>419</v>
      </c>
      <c r="BR43" s="167">
        <v>4990</v>
      </c>
      <c r="BS43" s="167">
        <v>2330</v>
      </c>
      <c r="BT43" s="81">
        <v>2.14</v>
      </c>
      <c r="BU43" s="81">
        <v>3.27E-2</v>
      </c>
      <c r="BV43" s="81" t="s">
        <v>434</v>
      </c>
      <c r="BW43" s="81"/>
      <c r="BY43" s="178"/>
      <c r="BZ43" s="178"/>
      <c r="CA43" s="178"/>
      <c r="CB43" s="178"/>
      <c r="CC43" s="177"/>
      <c r="CD43" s="178"/>
      <c r="CO43" s="81" t="s">
        <v>362</v>
      </c>
      <c r="CP43" s="256">
        <f t="shared" si="0"/>
        <v>20420677.500000004</v>
      </c>
      <c r="CQ43" s="256">
        <f t="shared" si="1"/>
        <v>8270000</v>
      </c>
      <c r="CR43" s="256">
        <f t="shared" si="2"/>
        <v>19200000</v>
      </c>
      <c r="CU43" s="258" t="s">
        <v>442</v>
      </c>
      <c r="CV43" s="258" t="s">
        <v>406</v>
      </c>
      <c r="CW43" s="259">
        <v>0.128</v>
      </c>
      <c r="CX43" s="259">
        <v>4.9799999999999996E-4</v>
      </c>
      <c r="CY43" s="258">
        <v>256.75</v>
      </c>
      <c r="CZ43" s="258" t="s">
        <v>422</v>
      </c>
      <c r="DA43" s="167">
        <v>2E-16</v>
      </c>
      <c r="DB43" s="81" t="s">
        <v>389</v>
      </c>
      <c r="DE43" s="261"/>
      <c r="DI43" s="170"/>
      <c r="DJ43" s="170"/>
      <c r="DK43" s="291"/>
      <c r="DL43" s="170"/>
      <c r="DM43" s="170"/>
      <c r="DO43" s="298" t="s">
        <v>442</v>
      </c>
      <c r="DP43" s="298" t="s">
        <v>406</v>
      </c>
      <c r="DQ43" s="302">
        <v>0.115</v>
      </c>
      <c r="DR43" s="302">
        <v>1.0399999999999999E-3</v>
      </c>
      <c r="DS43" s="298">
        <v>111.1</v>
      </c>
      <c r="DT43" s="298" t="s">
        <v>422</v>
      </c>
      <c r="DU43" s="302">
        <v>2E-16</v>
      </c>
      <c r="DV43" s="298" t="s">
        <v>389</v>
      </c>
      <c r="DY43" s="300"/>
    </row>
    <row r="44" spans="1:131" ht="15" customHeight="1" thickTop="1" thickBot="1" x14ac:dyDescent="0.3">
      <c r="A44" t="s">
        <v>287</v>
      </c>
      <c r="C44">
        <v>0.7</v>
      </c>
      <c r="E44" s="79"/>
      <c r="L44"/>
      <c r="M44"/>
      <c r="N44"/>
      <c r="Q44"/>
      <c r="R44"/>
      <c r="X44" s="188"/>
      <c r="Y44" s="189" t="s">
        <v>285</v>
      </c>
      <c r="Z44" s="189">
        <v>0.03</v>
      </c>
      <c r="AA44" s="189">
        <v>3.5999999999999997E-2</v>
      </c>
      <c r="AB44" s="189">
        <v>30</v>
      </c>
      <c r="AC44" s="189">
        <v>1470</v>
      </c>
      <c r="AD44" s="236">
        <f>Z44/AA44</f>
        <v>0.83333333333333337</v>
      </c>
      <c r="AE44" s="190">
        <f>Z44*AB44*AC44</f>
        <v>1322.9999999999998</v>
      </c>
      <c r="AF44" s="149" t="s">
        <v>286</v>
      </c>
      <c r="AG44" s="14"/>
      <c r="AH44" s="14"/>
      <c r="AM44" s="159" t="s">
        <v>319</v>
      </c>
      <c r="AN44" s="81" t="s">
        <v>320</v>
      </c>
      <c r="AO44" s="81" t="s">
        <v>362</v>
      </c>
      <c r="AP44" s="81">
        <f>U26/2</f>
        <v>20420677.500000004</v>
      </c>
      <c r="AQ44" s="81" t="s">
        <v>322</v>
      </c>
      <c r="AR44" s="81" t="s">
        <v>363</v>
      </c>
      <c r="AV44" s="168" t="s">
        <v>319</v>
      </c>
      <c r="AW44" s="168" t="s">
        <v>320</v>
      </c>
      <c r="AX44" s="168" t="s">
        <v>362</v>
      </c>
      <c r="AY44" s="169" t="s">
        <v>323</v>
      </c>
      <c r="AZ44" s="162">
        <f t="shared" si="16"/>
        <v>20420677.500000004</v>
      </c>
      <c r="BA44" s="168" t="s">
        <v>322</v>
      </c>
      <c r="BC44" s="81" t="s">
        <v>420</v>
      </c>
      <c r="BD44" s="167">
        <v>81.900000000000006</v>
      </c>
      <c r="BE44" s="167">
        <v>0.45900000000000002</v>
      </c>
      <c r="BF44" s="81">
        <v>178.48</v>
      </c>
      <c r="BG44" s="81" t="s">
        <v>388</v>
      </c>
      <c r="BH44" s="81"/>
      <c r="BJ44" s="175" t="s">
        <v>319</v>
      </c>
      <c r="BK44" s="175" t="s">
        <v>320</v>
      </c>
      <c r="BL44" s="175" t="s">
        <v>362</v>
      </c>
      <c r="BM44" s="175" t="s">
        <v>323</v>
      </c>
      <c r="BN44" s="174">
        <f>BD87</f>
        <v>8270000</v>
      </c>
      <c r="BO44" s="175" t="s">
        <v>322</v>
      </c>
      <c r="BQ44" s="81" t="s">
        <v>420</v>
      </c>
      <c r="BR44" s="167">
        <v>75.900000000000006</v>
      </c>
      <c r="BS44" s="167">
        <v>3.39</v>
      </c>
      <c r="BT44" s="81">
        <v>22.42</v>
      </c>
      <c r="BU44" s="81" t="s">
        <v>422</v>
      </c>
      <c r="BV44" s="167">
        <v>2E-16</v>
      </c>
      <c r="BW44" s="81" t="s">
        <v>389</v>
      </c>
      <c r="BY44" s="178" t="s">
        <v>319</v>
      </c>
      <c r="BZ44" s="178" t="s">
        <v>320</v>
      </c>
      <c r="CA44" s="178" t="s">
        <v>358</v>
      </c>
      <c r="CB44" s="178" t="s">
        <v>323</v>
      </c>
      <c r="CC44" s="177">
        <f>BR15</f>
        <v>0.11799999999999999</v>
      </c>
      <c r="CD44" s="178" t="s">
        <v>322</v>
      </c>
      <c r="CO44" s="81" t="s">
        <v>364</v>
      </c>
      <c r="CP44" s="256">
        <f t="shared" si="0"/>
        <v>20420677.500000004</v>
      </c>
      <c r="CQ44" s="256">
        <f t="shared" si="1"/>
        <v>25000000</v>
      </c>
      <c r="CR44" s="256">
        <f t="shared" si="2"/>
        <v>65100000</v>
      </c>
      <c r="CU44" s="258" t="s">
        <v>442</v>
      </c>
      <c r="CV44" s="258" t="s">
        <v>407</v>
      </c>
      <c r="CW44" s="259">
        <v>0.72</v>
      </c>
      <c r="CX44" s="259">
        <v>1.6999999999999999E-3</v>
      </c>
      <c r="CY44" s="258">
        <v>423.03</v>
      </c>
      <c r="CZ44" s="258" t="s">
        <v>422</v>
      </c>
      <c r="DA44" s="167">
        <v>2E-16</v>
      </c>
      <c r="DB44" s="81" t="s">
        <v>389</v>
      </c>
      <c r="DC44" s="260" t="s">
        <v>467</v>
      </c>
      <c r="DD44" s="266" t="s">
        <v>489</v>
      </c>
      <c r="DE44" s="261" t="s">
        <v>323</v>
      </c>
      <c r="DF44" s="262">
        <f>CW68</f>
        <v>0.16600000000000001</v>
      </c>
      <c r="DG44" s="260" t="s">
        <v>322</v>
      </c>
      <c r="DI44" s="170" t="s">
        <v>467</v>
      </c>
      <c r="DJ44" s="297" t="s">
        <v>489</v>
      </c>
      <c r="DK44" s="291" t="s">
        <v>323</v>
      </c>
      <c r="DL44" s="170">
        <f>$O$11*$Z$37*$AP$26</f>
        <v>1.2062123334296027</v>
      </c>
      <c r="DM44" s="170" t="s">
        <v>322</v>
      </c>
      <c r="DO44" s="298" t="s">
        <v>442</v>
      </c>
      <c r="DP44" s="298" t="s">
        <v>407</v>
      </c>
      <c r="DQ44" s="302">
        <v>0.64500000000000002</v>
      </c>
      <c r="DR44" s="302">
        <v>5.2500000000000003E-3</v>
      </c>
      <c r="DS44" s="298">
        <v>122.83</v>
      </c>
      <c r="DT44" s="298" t="s">
        <v>422</v>
      </c>
      <c r="DU44" s="302">
        <v>2E-16</v>
      </c>
      <c r="DV44" s="298" t="s">
        <v>389</v>
      </c>
      <c r="DW44" s="299" t="s">
        <v>467</v>
      </c>
      <c r="DX44" s="306" t="s">
        <v>489</v>
      </c>
      <c r="DY44" s="300" t="s">
        <v>323</v>
      </c>
      <c r="DZ44" s="301">
        <f>DQ68</f>
        <v>0.17100000000000001</v>
      </c>
      <c r="EA44" s="299" t="s">
        <v>322</v>
      </c>
    </row>
    <row r="45" spans="1:131" ht="15" customHeight="1" thickTop="1" thickBot="1" x14ac:dyDescent="0.3">
      <c r="A45" t="s">
        <v>288</v>
      </c>
      <c r="C45">
        <v>0.5</v>
      </c>
      <c r="E45" s="79"/>
      <c r="L45"/>
      <c r="M45"/>
      <c r="N45"/>
      <c r="Q45"/>
      <c r="R45"/>
      <c r="X45" s="188"/>
      <c r="Y45" s="189" t="s">
        <v>131</v>
      </c>
      <c r="Z45" s="189">
        <v>0.15</v>
      </c>
      <c r="AA45" s="189">
        <v>1.4</v>
      </c>
      <c r="AB45" s="189">
        <v>2100</v>
      </c>
      <c r="AC45" s="189">
        <v>840</v>
      </c>
      <c r="AD45" s="236">
        <f>Z45/AA45</f>
        <v>0.10714285714285715</v>
      </c>
      <c r="AE45" s="190">
        <f>Z45*AB45*AC45</f>
        <v>264600</v>
      </c>
      <c r="AF45" s="14"/>
      <c r="AG45" s="14"/>
      <c r="AH45" s="14"/>
      <c r="AM45" s="159" t="s">
        <v>319</v>
      </c>
      <c r="AN45" s="81" t="s">
        <v>320</v>
      </c>
      <c r="AO45" s="81" t="s">
        <v>364</v>
      </c>
      <c r="AP45" s="81">
        <f>U26/2</f>
        <v>20420677.500000004</v>
      </c>
      <c r="AQ45" s="81" t="s">
        <v>322</v>
      </c>
      <c r="AR45" s="81" t="s">
        <v>365</v>
      </c>
      <c r="AV45" s="168" t="s">
        <v>319</v>
      </c>
      <c r="AW45" s="168" t="s">
        <v>320</v>
      </c>
      <c r="AX45" s="168" t="s">
        <v>364</v>
      </c>
      <c r="AY45" s="169" t="s">
        <v>323</v>
      </c>
      <c r="AZ45" s="162">
        <f t="shared" si="16"/>
        <v>20420677.500000004</v>
      </c>
      <c r="BA45" s="168" t="s">
        <v>322</v>
      </c>
      <c r="BJ45" s="175" t="s">
        <v>319</v>
      </c>
      <c r="BK45" s="175" t="s">
        <v>320</v>
      </c>
      <c r="BL45" s="175" t="s">
        <v>364</v>
      </c>
      <c r="BM45" s="175" t="s">
        <v>323</v>
      </c>
      <c r="BN45" s="174">
        <f>BD88</f>
        <v>25000000</v>
      </c>
      <c r="BO45" s="175" t="s">
        <v>322</v>
      </c>
      <c r="BY45" s="178" t="s">
        <v>319</v>
      </c>
      <c r="BZ45" s="178" t="s">
        <v>320</v>
      </c>
      <c r="CA45" s="178" t="s">
        <v>360</v>
      </c>
      <c r="CB45" s="178" t="s">
        <v>323</v>
      </c>
      <c r="CC45" s="177">
        <f>BR56</f>
        <v>0.28299999999999997</v>
      </c>
      <c r="CD45" s="178" t="s">
        <v>322</v>
      </c>
      <c r="CO45" s="81" t="s">
        <v>366</v>
      </c>
      <c r="CP45" s="254">
        <f t="shared" si="0"/>
        <v>3.8934367849901633E-2</v>
      </c>
      <c r="CQ45" s="254">
        <f t="shared" si="1"/>
        <v>7.3400000000000007E-2</v>
      </c>
      <c r="CR45" s="254">
        <f t="shared" si="2"/>
        <v>4.4299999999999999E-2</v>
      </c>
      <c r="CU45" s="258" t="s">
        <v>442</v>
      </c>
      <c r="CV45" s="258" t="s">
        <v>408</v>
      </c>
      <c r="CW45" s="259">
        <v>8.5300000000000001E-2</v>
      </c>
      <c r="CX45" s="259">
        <v>2.5000000000000001E-4</v>
      </c>
      <c r="CY45" s="258">
        <v>340.79</v>
      </c>
      <c r="CZ45" s="258" t="s">
        <v>422</v>
      </c>
      <c r="DA45" s="167">
        <v>2E-16</v>
      </c>
      <c r="DB45" s="81" t="s">
        <v>389</v>
      </c>
      <c r="DC45" s="260" t="s">
        <v>467</v>
      </c>
      <c r="DD45" s="266" t="s">
        <v>490</v>
      </c>
      <c r="DE45" s="261" t="s">
        <v>323</v>
      </c>
      <c r="DF45" s="262">
        <f t="shared" ref="DF45:DF59" si="17">CW69</f>
        <v>0.44600000000000001</v>
      </c>
      <c r="DG45" s="260" t="s">
        <v>322</v>
      </c>
      <c r="DI45" s="170" t="s">
        <v>467</v>
      </c>
      <c r="DJ45" s="297" t="s">
        <v>490</v>
      </c>
      <c r="DK45" s="291" t="s">
        <v>323</v>
      </c>
      <c r="DL45" s="170">
        <f>$O$10*$Z$37*$AP$26</f>
        <v>1.1760570250938625</v>
      </c>
      <c r="DM45" s="170" t="s">
        <v>322</v>
      </c>
      <c r="DO45" s="298" t="s">
        <v>442</v>
      </c>
      <c r="DP45" s="298" t="s">
        <v>408</v>
      </c>
      <c r="DQ45" s="302">
        <v>7.8200000000000006E-2</v>
      </c>
      <c r="DR45" s="302">
        <v>6.6E-4</v>
      </c>
      <c r="DS45" s="298">
        <v>118.5</v>
      </c>
      <c r="DT45" s="298" t="s">
        <v>422</v>
      </c>
      <c r="DU45" s="302">
        <v>2E-16</v>
      </c>
      <c r="DV45" s="298" t="s">
        <v>389</v>
      </c>
      <c r="DW45" s="299" t="s">
        <v>467</v>
      </c>
      <c r="DX45" s="306" t="s">
        <v>490</v>
      </c>
      <c r="DY45" s="300" t="s">
        <v>323</v>
      </c>
      <c r="DZ45" s="301">
        <f t="shared" ref="DZ45:DZ59" si="18">DQ69</f>
        <v>3.0899999999999999E-8</v>
      </c>
      <c r="EA45" s="299" t="s">
        <v>322</v>
      </c>
    </row>
    <row r="46" spans="1:131" ht="15" customHeight="1" thickTop="1" thickBot="1" x14ac:dyDescent="0.3">
      <c r="L46"/>
      <c r="M46"/>
      <c r="N46"/>
      <c r="Q46"/>
      <c r="R46"/>
      <c r="X46" s="205"/>
      <c r="Y46" s="187" t="s">
        <v>132</v>
      </c>
      <c r="Z46" s="187">
        <v>0</v>
      </c>
      <c r="AA46" s="187">
        <v>0.02</v>
      </c>
      <c r="AB46" s="187">
        <v>30</v>
      </c>
      <c r="AC46" s="187">
        <v>1470</v>
      </c>
      <c r="AD46" s="237">
        <f>Z46/AA46</f>
        <v>0</v>
      </c>
      <c r="AE46" s="210">
        <f>Z46*AB46*AC46</f>
        <v>0</v>
      </c>
      <c r="AF46" s="14"/>
      <c r="AG46" s="14"/>
      <c r="AH46" s="14"/>
      <c r="AM46" s="159" t="s">
        <v>319</v>
      </c>
      <c r="AN46" s="81" t="s">
        <v>320</v>
      </c>
      <c r="AO46" s="81" t="s">
        <v>366</v>
      </c>
      <c r="AP46" s="81">
        <f>AP42*0.2</f>
        <v>3.8934367849901633E-2</v>
      </c>
      <c r="AQ46" s="81" t="s">
        <v>322</v>
      </c>
      <c r="AR46" s="81" t="s">
        <v>367</v>
      </c>
      <c r="AV46" s="168" t="s">
        <v>319</v>
      </c>
      <c r="AW46" s="168" t="s">
        <v>320</v>
      </c>
      <c r="AX46" s="168" t="s">
        <v>366</v>
      </c>
      <c r="AY46" s="169" t="s">
        <v>323</v>
      </c>
      <c r="AZ46" s="162">
        <f t="shared" si="16"/>
        <v>3.8934367849901633E-2</v>
      </c>
      <c r="BA46" s="168" t="s">
        <v>322</v>
      </c>
      <c r="BJ46" s="175" t="s">
        <v>319</v>
      </c>
      <c r="BK46" s="175" t="s">
        <v>320</v>
      </c>
      <c r="BL46" s="175" t="s">
        <v>366</v>
      </c>
      <c r="BM46" s="175" t="s">
        <v>323</v>
      </c>
      <c r="BN46" s="174">
        <f>BD31</f>
        <v>7.3400000000000007E-2</v>
      </c>
      <c r="BO46" s="175" t="s">
        <v>322</v>
      </c>
      <c r="BQ46" s="81" t="s">
        <v>433</v>
      </c>
      <c r="BR46" s="81" t="s">
        <v>421</v>
      </c>
      <c r="BS46" s="81"/>
      <c r="BT46" s="81"/>
      <c r="BU46" s="81"/>
      <c r="BV46" s="81"/>
      <c r="BW46" s="81"/>
      <c r="BY46" s="178" t="s">
        <v>319</v>
      </c>
      <c r="BZ46" s="178" t="s">
        <v>320</v>
      </c>
      <c r="CA46" s="178" t="s">
        <v>362</v>
      </c>
      <c r="CB46" s="178" t="s">
        <v>323</v>
      </c>
      <c r="CC46" s="177">
        <f>BR87</f>
        <v>19200000</v>
      </c>
      <c r="CD46" s="178" t="s">
        <v>322</v>
      </c>
      <c r="CO46" s="81" t="s">
        <v>368</v>
      </c>
      <c r="CP46" s="254">
        <f t="shared" si="0"/>
        <v>3.9402968886372014E-2</v>
      </c>
      <c r="CQ46" s="254">
        <f t="shared" si="1"/>
        <v>0.126</v>
      </c>
      <c r="CR46" s="254">
        <f t="shared" si="2"/>
        <v>7.3200000000000001E-2</v>
      </c>
      <c r="CU46" s="258" t="s">
        <v>442</v>
      </c>
      <c r="CV46" s="258" t="s">
        <v>409</v>
      </c>
      <c r="CW46" s="259">
        <v>2.41E-2</v>
      </c>
      <c r="CX46" s="259">
        <v>1.73E-4</v>
      </c>
      <c r="CY46" s="258">
        <v>139.22</v>
      </c>
      <c r="CZ46" s="258" t="s">
        <v>422</v>
      </c>
      <c r="DA46" s="167">
        <v>2E-16</v>
      </c>
      <c r="DB46" s="81" t="s">
        <v>389</v>
      </c>
      <c r="DC46" s="260" t="s">
        <v>467</v>
      </c>
      <c r="DD46" s="266" t="s">
        <v>491</v>
      </c>
      <c r="DE46" s="261" t="s">
        <v>323</v>
      </c>
      <c r="DF46" s="262">
        <f t="shared" si="17"/>
        <v>0.67</v>
      </c>
      <c r="DG46" s="260" t="s">
        <v>322</v>
      </c>
      <c r="DI46" s="170" t="s">
        <v>467</v>
      </c>
      <c r="DJ46" s="297" t="s">
        <v>491</v>
      </c>
      <c r="DK46" s="291" t="s">
        <v>323</v>
      </c>
      <c r="DL46" s="170">
        <f>$O$12*$Z$37*$AP$26</f>
        <v>1.3720665292761729</v>
      </c>
      <c r="DM46" s="170" t="s">
        <v>322</v>
      </c>
      <c r="DO46" s="298" t="s">
        <v>442</v>
      </c>
      <c r="DP46" s="298" t="s">
        <v>409</v>
      </c>
      <c r="DQ46" s="302">
        <v>3.27E-2</v>
      </c>
      <c r="DR46" s="302">
        <v>7.3399999999999995E-4</v>
      </c>
      <c r="DS46" s="298">
        <v>44.5</v>
      </c>
      <c r="DT46" s="298" t="s">
        <v>422</v>
      </c>
      <c r="DU46" s="302">
        <v>2E-16</v>
      </c>
      <c r="DV46" s="298" t="s">
        <v>389</v>
      </c>
      <c r="DW46" s="299" t="s">
        <v>467</v>
      </c>
      <c r="DX46" s="306" t="s">
        <v>491</v>
      </c>
      <c r="DY46" s="300" t="s">
        <v>323</v>
      </c>
      <c r="DZ46" s="301">
        <f t="shared" si="18"/>
        <v>0.65</v>
      </c>
      <c r="EA46" s="299" t="s">
        <v>322</v>
      </c>
    </row>
    <row r="47" spans="1:131" ht="15" customHeight="1" thickTop="1" thickBot="1" x14ac:dyDescent="0.3">
      <c r="B47" s="3"/>
      <c r="L47"/>
      <c r="M47"/>
      <c r="N47"/>
      <c r="Q47"/>
      <c r="R47"/>
      <c r="X47" s="189"/>
      <c r="Y47" s="189"/>
      <c r="Z47" s="189"/>
      <c r="AA47" s="189"/>
      <c r="AB47" s="189"/>
      <c r="AC47" s="189"/>
      <c r="AD47" s="236"/>
      <c r="AE47" s="189"/>
      <c r="AF47" s="14"/>
      <c r="AG47" s="14"/>
      <c r="AH47" s="14"/>
      <c r="AM47" s="159" t="s">
        <v>319</v>
      </c>
      <c r="AN47" s="81" t="s">
        <v>320</v>
      </c>
      <c r="AO47" s="81" t="s">
        <v>368</v>
      </c>
      <c r="AP47" s="81">
        <f>AP43*0.2</f>
        <v>3.9402968886372014E-2</v>
      </c>
      <c r="AQ47" s="81" t="s">
        <v>322</v>
      </c>
      <c r="AR47" s="81" t="s">
        <v>369</v>
      </c>
      <c r="AV47" s="168" t="s">
        <v>319</v>
      </c>
      <c r="AW47" s="168" t="s">
        <v>320</v>
      </c>
      <c r="AX47" s="168" t="s">
        <v>368</v>
      </c>
      <c r="AY47" s="169" t="s">
        <v>323</v>
      </c>
      <c r="AZ47" s="162">
        <f t="shared" si="16"/>
        <v>3.9402968886372014E-2</v>
      </c>
      <c r="BA47" s="168" t="s">
        <v>322</v>
      </c>
      <c r="BC47" s="81"/>
      <c r="BD47" s="172" t="s">
        <v>421</v>
      </c>
      <c r="BE47" s="81"/>
      <c r="BF47" s="81"/>
      <c r="BG47" s="81"/>
      <c r="BH47" s="81"/>
      <c r="BI47" s="81"/>
      <c r="BJ47" s="175" t="s">
        <v>319</v>
      </c>
      <c r="BK47" s="175" t="s">
        <v>320</v>
      </c>
      <c r="BL47" s="175" t="s">
        <v>368</v>
      </c>
      <c r="BM47" s="175" t="s">
        <v>323</v>
      </c>
      <c r="BN47" s="174">
        <f>BD69</f>
        <v>0.126</v>
      </c>
      <c r="BO47" s="175" t="s">
        <v>322</v>
      </c>
      <c r="BQ47" s="81" t="s">
        <v>380</v>
      </c>
      <c r="BR47" s="81"/>
      <c r="BS47" s="81"/>
      <c r="BT47" s="81"/>
      <c r="BU47" s="81"/>
      <c r="BV47" s="81"/>
      <c r="BW47" s="81"/>
      <c r="BY47" s="178" t="s">
        <v>319</v>
      </c>
      <c r="BZ47" s="178" t="s">
        <v>320</v>
      </c>
      <c r="CA47" s="178" t="s">
        <v>364</v>
      </c>
      <c r="CB47" s="178" t="s">
        <v>323</v>
      </c>
      <c r="CC47" s="177">
        <f>BR89</f>
        <v>65100000</v>
      </c>
      <c r="CD47" s="178" t="s">
        <v>322</v>
      </c>
      <c r="CO47" s="81" t="s">
        <v>370</v>
      </c>
      <c r="CP47" s="257">
        <f t="shared" si="0"/>
        <v>532.62958579881661</v>
      </c>
      <c r="CQ47" s="257">
        <f t="shared" si="1"/>
        <v>502</v>
      </c>
      <c r="CR47" s="257">
        <f t="shared" si="2"/>
        <v>198</v>
      </c>
      <c r="CU47" s="258" t="s">
        <v>442</v>
      </c>
      <c r="CV47" s="258" t="s">
        <v>410</v>
      </c>
      <c r="CW47" s="259">
        <v>145</v>
      </c>
      <c r="CX47" s="259">
        <v>0.56100000000000005</v>
      </c>
      <c r="CY47" s="258">
        <v>258.81</v>
      </c>
      <c r="CZ47" s="258" t="s">
        <v>422</v>
      </c>
      <c r="DA47" s="167">
        <v>2E-16</v>
      </c>
      <c r="DB47" s="81" t="s">
        <v>389</v>
      </c>
      <c r="DC47" s="260" t="s">
        <v>467</v>
      </c>
      <c r="DD47" s="266" t="s">
        <v>492</v>
      </c>
      <c r="DE47" s="261" t="s">
        <v>323</v>
      </c>
      <c r="DF47" s="262">
        <f t="shared" si="17"/>
        <v>0.745</v>
      </c>
      <c r="DG47" s="260" t="s">
        <v>322</v>
      </c>
      <c r="DI47" s="170" t="s">
        <v>467</v>
      </c>
      <c r="DJ47" s="297" t="s">
        <v>492</v>
      </c>
      <c r="DK47" s="291" t="s">
        <v>323</v>
      </c>
      <c r="DL47" s="170">
        <f>$O$13*$Z$37*$AP$26</f>
        <v>1.1157464084223825</v>
      </c>
      <c r="DM47" s="170" t="s">
        <v>322</v>
      </c>
      <c r="DO47" s="298" t="s">
        <v>442</v>
      </c>
      <c r="DP47" s="298" t="s">
        <v>410</v>
      </c>
      <c r="DQ47" s="302">
        <v>150</v>
      </c>
      <c r="DR47" s="302">
        <v>1.05</v>
      </c>
      <c r="DS47" s="298">
        <v>142.68</v>
      </c>
      <c r="DT47" s="298" t="s">
        <v>422</v>
      </c>
      <c r="DU47" s="302">
        <v>2E-16</v>
      </c>
      <c r="DV47" s="298" t="s">
        <v>389</v>
      </c>
      <c r="DW47" s="299" t="s">
        <v>467</v>
      </c>
      <c r="DX47" s="306" t="s">
        <v>492</v>
      </c>
      <c r="DY47" s="300" t="s">
        <v>323</v>
      </c>
      <c r="DZ47" s="301">
        <f t="shared" si="18"/>
        <v>0.879</v>
      </c>
      <c r="EA47" s="299" t="s">
        <v>322</v>
      </c>
    </row>
    <row r="48" spans="1:131" ht="15" customHeight="1" thickTop="1" thickBot="1" x14ac:dyDescent="0.3">
      <c r="B48" s="3"/>
      <c r="L48"/>
      <c r="M48"/>
      <c r="N48"/>
      <c r="Q48"/>
      <c r="R48"/>
      <c r="X48" s="226"/>
      <c r="Y48" s="226"/>
      <c r="Z48" s="245" t="s">
        <v>4</v>
      </c>
      <c r="AA48" s="245">
        <v>4</v>
      </c>
      <c r="AB48" s="245" t="s">
        <v>5</v>
      </c>
      <c r="AC48" s="226"/>
      <c r="AD48" s="226"/>
      <c r="AE48" s="226"/>
      <c r="AF48" s="14"/>
      <c r="AG48" s="14"/>
      <c r="AH48" s="14"/>
      <c r="AM48" s="159" t="s">
        <v>319</v>
      </c>
      <c r="AN48" s="81" t="s">
        <v>320</v>
      </c>
      <c r="AO48" s="81" t="s">
        <v>370</v>
      </c>
      <c r="AP48" s="81">
        <f>AA27*4*O26</f>
        <v>532.62958579881661</v>
      </c>
      <c r="AQ48" s="81" t="s">
        <v>322</v>
      </c>
      <c r="AR48" s="81" t="s">
        <v>371</v>
      </c>
      <c r="AV48" s="168" t="s">
        <v>319</v>
      </c>
      <c r="AW48" s="168" t="s">
        <v>320</v>
      </c>
      <c r="AX48" s="168" t="s">
        <v>370</v>
      </c>
      <c r="AY48" s="169" t="s">
        <v>323</v>
      </c>
      <c r="AZ48" s="162">
        <f t="shared" si="16"/>
        <v>532.62958579881661</v>
      </c>
      <c r="BA48" s="168" t="s">
        <v>322</v>
      </c>
      <c r="BC48" s="81" t="s">
        <v>380</v>
      </c>
      <c r="BD48" s="81"/>
      <c r="BE48" s="81"/>
      <c r="BF48" s="81"/>
      <c r="BG48" s="81"/>
      <c r="BH48" s="81"/>
      <c r="BI48" s="81"/>
      <c r="BJ48" s="175" t="s">
        <v>319</v>
      </c>
      <c r="BK48" s="175" t="s">
        <v>320</v>
      </c>
      <c r="BL48" s="175" t="s">
        <v>370</v>
      </c>
      <c r="BM48" s="175" t="s">
        <v>323</v>
      </c>
      <c r="BN48" s="174">
        <f>BD95</f>
        <v>502</v>
      </c>
      <c r="BO48" s="175" t="s">
        <v>322</v>
      </c>
      <c r="BQ48" s="81" t="s">
        <v>381</v>
      </c>
      <c r="BR48" s="81" t="s">
        <v>382</v>
      </c>
      <c r="BS48" s="81" t="s">
        <v>383</v>
      </c>
      <c r="BT48" s="81" t="s">
        <v>384</v>
      </c>
      <c r="BU48" s="81" t="s">
        <v>385</v>
      </c>
      <c r="BV48" s="81" t="s">
        <v>386</v>
      </c>
      <c r="BW48" s="81"/>
      <c r="BY48" s="178" t="s">
        <v>319</v>
      </c>
      <c r="BZ48" s="178" t="s">
        <v>320</v>
      </c>
      <c r="CA48" s="178" t="s">
        <v>366</v>
      </c>
      <c r="CB48" s="178" t="s">
        <v>323</v>
      </c>
      <c r="CC48" s="177">
        <f>BR31</f>
        <v>4.4299999999999999E-2</v>
      </c>
      <c r="CD48" s="178" t="s">
        <v>322</v>
      </c>
      <c r="CO48" s="81" t="s">
        <v>372</v>
      </c>
      <c r="CP48" s="257">
        <f t="shared" si="0"/>
        <v>266.3147928994083</v>
      </c>
      <c r="CQ48" s="257">
        <f t="shared" si="1"/>
        <v>393</v>
      </c>
      <c r="CR48" s="257">
        <f t="shared" si="2"/>
        <v>3.48E-4</v>
      </c>
      <c r="CU48" s="258" t="s">
        <v>442</v>
      </c>
      <c r="CV48" s="258" t="s">
        <v>411</v>
      </c>
      <c r="CW48" s="259">
        <v>152</v>
      </c>
      <c r="CX48" s="259">
        <v>0.5</v>
      </c>
      <c r="CY48" s="258">
        <v>304.25</v>
      </c>
      <c r="CZ48" s="258" t="s">
        <v>422</v>
      </c>
      <c r="DA48" s="167">
        <v>2E-16</v>
      </c>
      <c r="DB48" s="81" t="s">
        <v>389</v>
      </c>
      <c r="DC48" s="260" t="s">
        <v>467</v>
      </c>
      <c r="DD48" s="266" t="s">
        <v>493</v>
      </c>
      <c r="DE48" s="261" t="s">
        <v>323</v>
      </c>
      <c r="DF48" s="262">
        <f t="shared" si="17"/>
        <v>0.83299999999999996</v>
      </c>
      <c r="DG48" s="260" t="s">
        <v>322</v>
      </c>
      <c r="DI48" s="170" t="s">
        <v>467</v>
      </c>
      <c r="DJ48" s="297" t="s">
        <v>493</v>
      </c>
      <c r="DK48" s="291" t="s">
        <v>323</v>
      </c>
      <c r="DL48" s="170">
        <f>$O$11*$Z$37*$AP$27</f>
        <v>1.1572404855665215</v>
      </c>
      <c r="DM48" s="170" t="s">
        <v>322</v>
      </c>
      <c r="DO48" s="298" t="s">
        <v>442</v>
      </c>
      <c r="DP48" s="298" t="s">
        <v>411</v>
      </c>
      <c r="DQ48" s="302">
        <v>164</v>
      </c>
      <c r="DR48" s="302">
        <v>0.95599999999999996</v>
      </c>
      <c r="DS48" s="298">
        <v>171.74</v>
      </c>
      <c r="DT48" s="298" t="s">
        <v>422</v>
      </c>
      <c r="DU48" s="302">
        <v>2E-16</v>
      </c>
      <c r="DV48" s="298" t="s">
        <v>389</v>
      </c>
      <c r="DW48" s="299" t="s">
        <v>467</v>
      </c>
      <c r="DX48" s="306" t="s">
        <v>493</v>
      </c>
      <c r="DY48" s="300" t="s">
        <v>323</v>
      </c>
      <c r="DZ48" s="301">
        <f t="shared" si="18"/>
        <v>0.92600000000000005</v>
      </c>
      <c r="EA48" s="299" t="s">
        <v>322</v>
      </c>
    </row>
    <row r="49" spans="2:131" ht="15" customHeight="1" thickTop="1" thickBot="1" x14ac:dyDescent="0.3">
      <c r="B49" s="3"/>
      <c r="L49"/>
      <c r="M49"/>
      <c r="N49"/>
      <c r="Q49"/>
      <c r="R49"/>
      <c r="X49" s="246" t="s">
        <v>68</v>
      </c>
      <c r="Y49" s="247"/>
      <c r="Z49" s="248" t="s">
        <v>21</v>
      </c>
      <c r="AA49" s="249">
        <v>4</v>
      </c>
      <c r="AB49" s="247" t="s">
        <v>5</v>
      </c>
      <c r="AC49" s="247"/>
      <c r="AD49" s="247" t="s">
        <v>22</v>
      </c>
      <c r="AE49" s="250">
        <f>0.04*550*1660</f>
        <v>36520</v>
      </c>
      <c r="AF49" s="14" t="s">
        <v>23</v>
      </c>
      <c r="AG49" s="14">
        <f>SUM(AE51:AE52)</f>
        <v>0</v>
      </c>
      <c r="AH49" s="14"/>
      <c r="AM49" s="159" t="s">
        <v>319</v>
      </c>
      <c r="AN49" s="81" t="s">
        <v>320</v>
      </c>
      <c r="AO49" s="81" t="s">
        <v>372</v>
      </c>
      <c r="AP49" s="81">
        <f>AP50/2</f>
        <v>266.3147928994083</v>
      </c>
      <c r="AQ49" s="81" t="s">
        <v>322</v>
      </c>
      <c r="AR49" s="81" t="s">
        <v>373</v>
      </c>
      <c r="AV49" s="168" t="s">
        <v>319</v>
      </c>
      <c r="AW49" s="168" t="s">
        <v>320</v>
      </c>
      <c r="AX49" s="168" t="s">
        <v>372</v>
      </c>
      <c r="AY49" s="169" t="s">
        <v>323</v>
      </c>
      <c r="AZ49" s="162">
        <f t="shared" si="16"/>
        <v>266.3147928994083</v>
      </c>
      <c r="BA49" s="168" t="s">
        <v>322</v>
      </c>
      <c r="BC49" s="81" t="s">
        <v>381</v>
      </c>
      <c r="BD49" s="81" t="s">
        <v>382</v>
      </c>
      <c r="BE49" s="81" t="s">
        <v>383</v>
      </c>
      <c r="BF49" s="81" t="s">
        <v>384</v>
      </c>
      <c r="BG49" s="81" t="s">
        <v>385</v>
      </c>
      <c r="BH49" s="81" t="s">
        <v>386</v>
      </c>
      <c r="BI49" s="81"/>
      <c r="BJ49" s="175" t="s">
        <v>319</v>
      </c>
      <c r="BK49" s="175" t="s">
        <v>320</v>
      </c>
      <c r="BL49" s="175" t="s">
        <v>372</v>
      </c>
      <c r="BM49" s="175" t="s">
        <v>323</v>
      </c>
      <c r="BN49" s="174">
        <f>BD96</f>
        <v>393</v>
      </c>
      <c r="BO49" s="175" t="s">
        <v>322</v>
      </c>
      <c r="BQ49" s="81" t="s">
        <v>387</v>
      </c>
      <c r="BR49" s="167">
        <v>289</v>
      </c>
      <c r="BS49" s="167">
        <v>0.27</v>
      </c>
      <c r="BT49" s="81">
        <v>1069.93</v>
      </c>
      <c r="BU49" s="81" t="s">
        <v>422</v>
      </c>
      <c r="BV49" s="167">
        <v>2E-16</v>
      </c>
      <c r="BW49" s="81" t="s">
        <v>389</v>
      </c>
      <c r="BY49" s="178" t="s">
        <v>319</v>
      </c>
      <c r="BZ49" s="178" t="s">
        <v>320</v>
      </c>
      <c r="CA49" s="178" t="s">
        <v>368</v>
      </c>
      <c r="CB49" s="178" t="s">
        <v>323</v>
      </c>
      <c r="CC49" s="177">
        <f>BR68</f>
        <v>7.3200000000000001E-2</v>
      </c>
      <c r="CD49" s="178" t="s">
        <v>322</v>
      </c>
      <c r="CO49" s="81" t="s">
        <v>374</v>
      </c>
      <c r="CP49" s="257">
        <f t="shared" si="0"/>
        <v>532.62958579881661</v>
      </c>
      <c r="CQ49" s="257">
        <f t="shared" si="1"/>
        <v>506</v>
      </c>
      <c r="CR49" s="257">
        <f t="shared" si="2"/>
        <v>221</v>
      </c>
      <c r="CU49" s="258" t="s">
        <v>442</v>
      </c>
      <c r="CV49" s="258" t="s">
        <v>295</v>
      </c>
      <c r="CW49" s="259">
        <v>316</v>
      </c>
      <c r="CX49" s="259">
        <v>0.999</v>
      </c>
      <c r="CY49" s="258">
        <v>316.22000000000003</v>
      </c>
      <c r="CZ49" s="258" t="s">
        <v>422</v>
      </c>
      <c r="DA49" s="167">
        <v>2E-16</v>
      </c>
      <c r="DB49" s="81" t="s">
        <v>389</v>
      </c>
      <c r="DC49" s="260" t="s">
        <v>467</v>
      </c>
      <c r="DD49" s="266" t="s">
        <v>494</v>
      </c>
      <c r="DE49" s="261" t="s">
        <v>323</v>
      </c>
      <c r="DF49" s="262">
        <f t="shared" si="17"/>
        <v>0.57799999999999996</v>
      </c>
      <c r="DG49" s="260" t="s">
        <v>322</v>
      </c>
      <c r="DI49" s="170" t="s">
        <v>467</v>
      </c>
      <c r="DJ49" s="297" t="s">
        <v>494</v>
      </c>
      <c r="DK49" s="291" t="s">
        <v>323</v>
      </c>
      <c r="DL49" s="170">
        <f>$O$10*$Z$37*$AP$27</f>
        <v>1.1283094734273584</v>
      </c>
      <c r="DM49" s="170" t="s">
        <v>322</v>
      </c>
      <c r="DO49" s="298" t="s">
        <v>442</v>
      </c>
      <c r="DP49" s="298" t="s">
        <v>295</v>
      </c>
      <c r="DQ49" s="302">
        <v>260</v>
      </c>
      <c r="DR49" s="302">
        <v>1.48</v>
      </c>
      <c r="DS49" s="298">
        <v>175.48</v>
      </c>
      <c r="DT49" s="298" t="s">
        <v>422</v>
      </c>
      <c r="DU49" s="302">
        <v>2E-16</v>
      </c>
      <c r="DV49" s="298" t="s">
        <v>389</v>
      </c>
      <c r="DW49" s="299" t="s">
        <v>467</v>
      </c>
      <c r="DX49" s="306" t="s">
        <v>494</v>
      </c>
      <c r="DY49" s="300" t="s">
        <v>323</v>
      </c>
      <c r="DZ49" s="301">
        <f t="shared" si="18"/>
        <v>1.33</v>
      </c>
      <c r="EA49" s="299" t="s">
        <v>322</v>
      </c>
    </row>
    <row r="50" spans="2:131" ht="15" customHeight="1" thickTop="1" thickBot="1" x14ac:dyDescent="0.3">
      <c r="L50"/>
      <c r="M50"/>
      <c r="N50"/>
      <c r="Q50"/>
      <c r="R50"/>
      <c r="X50" s="251"/>
      <c r="Y50" s="252" t="s">
        <v>16</v>
      </c>
      <c r="Z50" s="252">
        <v>4</v>
      </c>
      <c r="AA50" s="252" t="s">
        <v>5</v>
      </c>
      <c r="AB50" s="252"/>
      <c r="AC50" s="252" t="s">
        <v>313</v>
      </c>
      <c r="AD50" s="252">
        <f>0.11*(1/AA49-1/23-1/8)</f>
        <v>8.9673913043478264E-3</v>
      </c>
      <c r="AE50" s="253"/>
      <c r="AF50" s="14"/>
      <c r="AG50" s="14"/>
      <c r="AH50" s="14"/>
      <c r="AM50" s="159" t="s">
        <v>319</v>
      </c>
      <c r="AN50" s="81" t="s">
        <v>320</v>
      </c>
      <c r="AO50" s="81" t="s">
        <v>374</v>
      </c>
      <c r="AP50" s="81">
        <f>AP48</f>
        <v>532.62958579881661</v>
      </c>
      <c r="AQ50" s="81" t="s">
        <v>322</v>
      </c>
      <c r="AR50" s="81" t="s">
        <v>375</v>
      </c>
      <c r="AV50" s="168" t="s">
        <v>319</v>
      </c>
      <c r="AW50" s="168" t="s">
        <v>320</v>
      </c>
      <c r="AX50" s="168" t="s">
        <v>374</v>
      </c>
      <c r="AY50" s="169" t="s">
        <v>323</v>
      </c>
      <c r="AZ50" s="162">
        <f t="shared" si="16"/>
        <v>532.62958579881661</v>
      </c>
      <c r="BA50" s="168" t="s">
        <v>322</v>
      </c>
      <c r="BC50" s="81" t="s">
        <v>387</v>
      </c>
      <c r="BD50" s="167">
        <v>291</v>
      </c>
      <c r="BE50" s="167">
        <v>5.11E-2</v>
      </c>
      <c r="BF50" s="81">
        <v>5694.69</v>
      </c>
      <c r="BG50" s="81" t="s">
        <v>422</v>
      </c>
      <c r="BH50" s="167">
        <v>2E-16</v>
      </c>
      <c r="BI50" s="81" t="s">
        <v>389</v>
      </c>
      <c r="BJ50" s="175" t="s">
        <v>319</v>
      </c>
      <c r="BK50" s="175" t="s">
        <v>320</v>
      </c>
      <c r="BL50" s="175" t="s">
        <v>374</v>
      </c>
      <c r="BM50" s="175" t="s">
        <v>323</v>
      </c>
      <c r="BN50" s="174">
        <f>BD97</f>
        <v>506</v>
      </c>
      <c r="BO50" s="175" t="s">
        <v>322</v>
      </c>
      <c r="BQ50" s="81" t="s">
        <v>390</v>
      </c>
      <c r="BR50" s="167">
        <v>285</v>
      </c>
      <c r="BS50" s="167">
        <v>0.32700000000000001</v>
      </c>
      <c r="BT50" s="81">
        <v>872.45</v>
      </c>
      <c r="BU50" s="81" t="s">
        <v>422</v>
      </c>
      <c r="BV50" s="167">
        <v>2E-16</v>
      </c>
      <c r="BW50" s="81" t="s">
        <v>389</v>
      </c>
      <c r="BY50" s="178" t="s">
        <v>319</v>
      </c>
      <c r="BZ50" s="178" t="s">
        <v>320</v>
      </c>
      <c r="CA50" s="178" t="s">
        <v>370</v>
      </c>
      <c r="CB50" s="178" t="s">
        <v>323</v>
      </c>
      <c r="CC50" s="177">
        <f>BR94</f>
        <v>198</v>
      </c>
      <c r="CD50" s="178" t="s">
        <v>322</v>
      </c>
      <c r="CU50" s="258" t="s">
        <v>442</v>
      </c>
      <c r="CV50" s="258" t="s">
        <v>120</v>
      </c>
      <c r="CW50" s="259">
        <v>141</v>
      </c>
      <c r="CX50" s="259">
        <v>0.36499999999999999</v>
      </c>
      <c r="CY50" s="258">
        <v>387.72</v>
      </c>
      <c r="CZ50" s="258" t="s">
        <v>422</v>
      </c>
      <c r="DA50" s="167">
        <v>2E-16</v>
      </c>
      <c r="DB50" s="81" t="s">
        <v>389</v>
      </c>
      <c r="DC50" s="260" t="s">
        <v>467</v>
      </c>
      <c r="DD50" s="266" t="s">
        <v>495</v>
      </c>
      <c r="DE50" s="261" t="s">
        <v>323</v>
      </c>
      <c r="DF50" s="262">
        <f t="shared" si="17"/>
        <v>0.89200000000000002</v>
      </c>
      <c r="DG50" s="260" t="s">
        <v>322</v>
      </c>
      <c r="DI50" s="170" t="s">
        <v>467</v>
      </c>
      <c r="DJ50" s="297" t="s">
        <v>495</v>
      </c>
      <c r="DK50" s="291" t="s">
        <v>323</v>
      </c>
      <c r="DL50" s="170">
        <f>$O$12*$Z$37*$AP$27</f>
        <v>1.316361052331918</v>
      </c>
      <c r="DM50" s="170" t="s">
        <v>322</v>
      </c>
      <c r="DO50" s="298" t="s">
        <v>442</v>
      </c>
      <c r="DP50" s="298" t="s">
        <v>120</v>
      </c>
      <c r="DQ50" s="302">
        <v>121</v>
      </c>
      <c r="DR50" s="302">
        <v>1.57</v>
      </c>
      <c r="DS50" s="298">
        <v>76.930000000000007</v>
      </c>
      <c r="DT50" s="298" t="s">
        <v>422</v>
      </c>
      <c r="DU50" s="302">
        <v>2E-16</v>
      </c>
      <c r="DV50" s="298" t="s">
        <v>389</v>
      </c>
      <c r="DW50" s="299" t="s">
        <v>467</v>
      </c>
      <c r="DX50" s="306" t="s">
        <v>495</v>
      </c>
      <c r="DY50" s="300" t="s">
        <v>323</v>
      </c>
      <c r="DZ50" s="301">
        <f t="shared" si="18"/>
        <v>1.03</v>
      </c>
      <c r="EA50" s="299" t="s">
        <v>322</v>
      </c>
    </row>
    <row r="51" spans="2:131" ht="15" customHeight="1" thickTop="1" thickBot="1" x14ac:dyDescent="0.3">
      <c r="L51"/>
      <c r="M51"/>
      <c r="N51"/>
      <c r="Q51"/>
      <c r="R51"/>
      <c r="X51" s="226"/>
      <c r="Y51" s="226"/>
      <c r="Z51" s="227"/>
      <c r="AA51" s="227"/>
      <c r="AB51" s="227"/>
      <c r="AC51" s="226"/>
      <c r="AD51" s="226"/>
      <c r="AE51" s="226"/>
      <c r="AF51" s="14"/>
      <c r="AG51" s="14"/>
      <c r="AH51" s="14"/>
      <c r="BC51" s="81" t="s">
        <v>390</v>
      </c>
      <c r="BD51" s="167">
        <v>289</v>
      </c>
      <c r="BE51" s="167">
        <v>0.17199999999999999</v>
      </c>
      <c r="BF51" s="81">
        <v>1674.64</v>
      </c>
      <c r="BG51" s="81" t="s">
        <v>422</v>
      </c>
      <c r="BH51" s="167">
        <v>2E-16</v>
      </c>
      <c r="BI51" s="81" t="s">
        <v>389</v>
      </c>
      <c r="BQ51" s="81" t="s">
        <v>391</v>
      </c>
      <c r="BR51" s="167">
        <v>291</v>
      </c>
      <c r="BS51" s="167">
        <v>0.14000000000000001</v>
      </c>
      <c r="BT51" s="81">
        <v>2086.0700000000002</v>
      </c>
      <c r="BU51" s="81" t="s">
        <v>422</v>
      </c>
      <c r="BV51" s="167">
        <v>2E-16</v>
      </c>
      <c r="BW51" s="81" t="s">
        <v>389</v>
      </c>
      <c r="BY51" s="178" t="s">
        <v>319</v>
      </c>
      <c r="BZ51" s="178" t="s">
        <v>320</v>
      </c>
      <c r="CA51" s="178" t="s">
        <v>372</v>
      </c>
      <c r="CB51" s="178" t="s">
        <v>323</v>
      </c>
      <c r="CC51" s="177">
        <f>BR95</f>
        <v>3.48E-4</v>
      </c>
      <c r="CD51" s="178" t="s">
        <v>322</v>
      </c>
      <c r="CU51" s="258" t="s">
        <v>442</v>
      </c>
      <c r="CV51" s="258" t="s">
        <v>412</v>
      </c>
      <c r="CW51" s="259">
        <v>-6.07</v>
      </c>
      <c r="CX51" s="259">
        <v>1.78E-2</v>
      </c>
      <c r="CY51" s="258">
        <v>-342.03</v>
      </c>
      <c r="CZ51" s="258" t="s">
        <v>422</v>
      </c>
      <c r="DA51" s="167">
        <v>2E-16</v>
      </c>
      <c r="DB51" s="81" t="s">
        <v>389</v>
      </c>
      <c r="DC51" s="260" t="s">
        <v>467</v>
      </c>
      <c r="DD51" s="266" t="s">
        <v>496</v>
      </c>
      <c r="DE51" s="261" t="s">
        <v>323</v>
      </c>
      <c r="DF51" s="262">
        <f t="shared" si="17"/>
        <v>0.44</v>
      </c>
      <c r="DG51" s="260" t="s">
        <v>322</v>
      </c>
      <c r="DI51" s="170" t="s">
        <v>467</v>
      </c>
      <c r="DJ51" s="297" t="s">
        <v>496</v>
      </c>
      <c r="DK51" s="291" t="s">
        <v>323</v>
      </c>
      <c r="DL51" s="170">
        <f>$O$13*$Z$37*$AP$27</f>
        <v>1.0704474491490323</v>
      </c>
      <c r="DM51" s="170" t="s">
        <v>322</v>
      </c>
      <c r="DO51" s="298" t="s">
        <v>442</v>
      </c>
      <c r="DP51" s="298" t="s">
        <v>412</v>
      </c>
      <c r="DQ51" s="302">
        <v>-3.92</v>
      </c>
      <c r="DR51" s="302">
        <v>3.1800000000000002E-2</v>
      </c>
      <c r="DS51" s="298">
        <v>-123.23</v>
      </c>
      <c r="DT51" s="298" t="s">
        <v>422</v>
      </c>
      <c r="DU51" s="302">
        <v>2E-16</v>
      </c>
      <c r="DV51" s="298" t="s">
        <v>389</v>
      </c>
      <c r="DW51" s="299" t="s">
        <v>467</v>
      </c>
      <c r="DX51" s="306" t="s">
        <v>496</v>
      </c>
      <c r="DY51" s="300" t="s">
        <v>323</v>
      </c>
      <c r="DZ51" s="301">
        <f t="shared" si="18"/>
        <v>0.41499999999999998</v>
      </c>
      <c r="EA51" s="299" t="s">
        <v>322</v>
      </c>
    </row>
    <row r="52" spans="2:131" thickTop="1" thickBot="1" x14ac:dyDescent="0.3">
      <c r="BC52" s="81" t="s">
        <v>391</v>
      </c>
      <c r="BD52" s="167">
        <v>293</v>
      </c>
      <c r="BE52" s="167">
        <v>2.9399999999999999E-2</v>
      </c>
      <c r="BF52" s="81">
        <v>9948.2000000000007</v>
      </c>
      <c r="BG52" s="81" t="s">
        <v>422</v>
      </c>
      <c r="BH52" s="167">
        <v>2E-16</v>
      </c>
      <c r="BI52" s="81" t="s">
        <v>389</v>
      </c>
      <c r="BQ52" s="81" t="s">
        <v>392</v>
      </c>
      <c r="BR52" s="167">
        <v>293</v>
      </c>
      <c r="BS52" s="167">
        <v>0.214</v>
      </c>
      <c r="BT52" s="81">
        <v>1373.31</v>
      </c>
      <c r="BU52" s="81" t="s">
        <v>422</v>
      </c>
      <c r="BV52" s="167">
        <v>2E-16</v>
      </c>
      <c r="BW52" s="81" t="s">
        <v>389</v>
      </c>
      <c r="BY52" s="178" t="s">
        <v>319</v>
      </c>
      <c r="BZ52" s="178" t="s">
        <v>320</v>
      </c>
      <c r="CA52" s="178" t="s">
        <v>374</v>
      </c>
      <c r="CB52" s="178" t="s">
        <v>323</v>
      </c>
      <c r="CC52" s="177">
        <f>BR96</f>
        <v>221</v>
      </c>
      <c r="CD52" s="178" t="s">
        <v>322</v>
      </c>
      <c r="CU52" s="258" t="s">
        <v>442</v>
      </c>
      <c r="CV52" s="258" t="s">
        <v>413</v>
      </c>
      <c r="CW52" s="259">
        <v>-6.6</v>
      </c>
      <c r="CX52" s="259">
        <v>1.47E-2</v>
      </c>
      <c r="CY52" s="258">
        <v>-450.42</v>
      </c>
      <c r="CZ52" s="258" t="s">
        <v>422</v>
      </c>
      <c r="DA52" s="167">
        <v>2E-16</v>
      </c>
      <c r="DB52" s="81" t="s">
        <v>389</v>
      </c>
      <c r="DC52" s="260" t="s">
        <v>467</v>
      </c>
      <c r="DD52" s="266" t="s">
        <v>497</v>
      </c>
      <c r="DE52" s="261" t="s">
        <v>323</v>
      </c>
      <c r="DF52" s="262">
        <f t="shared" si="17"/>
        <v>0.14299999999999999</v>
      </c>
      <c r="DG52" s="260" t="s">
        <v>322</v>
      </c>
      <c r="DI52" s="170" t="s">
        <v>467</v>
      </c>
      <c r="DJ52" s="297" t="s">
        <v>497</v>
      </c>
      <c r="DK52" s="291" t="s">
        <v>323</v>
      </c>
      <c r="DL52" s="170">
        <f>$O$11*$Z$37*$AP$28</f>
        <v>0.10974146015374671</v>
      </c>
      <c r="DM52" s="170" t="s">
        <v>322</v>
      </c>
      <c r="DO52" s="298" t="s">
        <v>442</v>
      </c>
      <c r="DP52" s="298" t="s">
        <v>413</v>
      </c>
      <c r="DQ52" s="302">
        <v>-5.81</v>
      </c>
      <c r="DR52" s="302">
        <v>2.1399999999999999E-2</v>
      </c>
      <c r="DS52" s="298">
        <v>-271.2</v>
      </c>
      <c r="DT52" s="298" t="s">
        <v>422</v>
      </c>
      <c r="DU52" s="302">
        <v>2E-16</v>
      </c>
      <c r="DV52" s="298" t="s">
        <v>389</v>
      </c>
      <c r="DW52" s="299" t="s">
        <v>467</v>
      </c>
      <c r="DX52" s="306" t="s">
        <v>497</v>
      </c>
      <c r="DY52" s="300" t="s">
        <v>323</v>
      </c>
      <c r="DZ52" s="301">
        <f t="shared" si="18"/>
        <v>0.24399999999999999</v>
      </c>
      <c r="EA52" s="299" t="s">
        <v>322</v>
      </c>
    </row>
    <row r="53" spans="2:131" thickTop="1" thickBot="1" x14ac:dyDescent="0.3">
      <c r="X53" s="274" t="s">
        <v>517</v>
      </c>
      <c r="Y53" s="275"/>
      <c r="Z53" s="276" t="s">
        <v>21</v>
      </c>
      <c r="AA53" s="277">
        <f>(1/(1/8+SUM(AD55:AD57)+1/8))</f>
        <v>1.8430034129692836</v>
      </c>
      <c r="AB53" s="275" t="s">
        <v>5</v>
      </c>
      <c r="AC53" s="275"/>
      <c r="AD53" s="275" t="s">
        <v>22</v>
      </c>
      <c r="AE53" s="278">
        <f>SUM(AE55:AE59)</f>
        <v>181020.00000000003</v>
      </c>
      <c r="BC53" s="81" t="s">
        <v>392</v>
      </c>
      <c r="BD53" s="167">
        <v>294</v>
      </c>
      <c r="BE53" s="167">
        <v>4.8099999999999997E-2</v>
      </c>
      <c r="BF53" s="81">
        <v>6117.24</v>
      </c>
      <c r="BG53" s="81" t="s">
        <v>422</v>
      </c>
      <c r="BH53" s="167">
        <v>2E-16</v>
      </c>
      <c r="BI53" s="81" t="s">
        <v>389</v>
      </c>
      <c r="BQ53" s="81" t="s">
        <v>394</v>
      </c>
      <c r="BR53" s="167">
        <v>0.46800000000000003</v>
      </c>
      <c r="BS53" s="167">
        <v>1.24E-2</v>
      </c>
      <c r="BT53" s="81">
        <v>37.76</v>
      </c>
      <c r="BU53" s="81" t="s">
        <v>422</v>
      </c>
      <c r="BV53" s="167">
        <v>2E-16</v>
      </c>
      <c r="BW53" s="81" t="s">
        <v>389</v>
      </c>
      <c r="CU53" s="258" t="s">
        <v>442</v>
      </c>
      <c r="CV53" s="258" t="s">
        <v>414</v>
      </c>
      <c r="CW53" s="259">
        <v>-6.94</v>
      </c>
      <c r="CX53" s="259">
        <v>2.53E-2</v>
      </c>
      <c r="CY53" s="258">
        <v>-274.87</v>
      </c>
      <c r="CZ53" s="258" t="s">
        <v>422</v>
      </c>
      <c r="DA53" s="167">
        <v>2E-16</v>
      </c>
      <c r="DB53" s="81" t="s">
        <v>389</v>
      </c>
      <c r="DC53" s="260" t="s">
        <v>467</v>
      </c>
      <c r="DD53" s="266" t="s">
        <v>498</v>
      </c>
      <c r="DE53" s="261" t="s">
        <v>323</v>
      </c>
      <c r="DF53" s="262">
        <f t="shared" si="17"/>
        <v>2.81E-8</v>
      </c>
      <c r="DG53" s="260" t="s">
        <v>322</v>
      </c>
      <c r="DI53" s="170" t="s">
        <v>467</v>
      </c>
      <c r="DJ53" s="297" t="s">
        <v>498</v>
      </c>
      <c r="DK53" s="291" t="s">
        <v>323</v>
      </c>
      <c r="DL53" s="170">
        <f>$O$10*$Z$37*$AP$28</f>
        <v>0.10699792364990304</v>
      </c>
      <c r="DM53" s="170" t="s">
        <v>322</v>
      </c>
      <c r="DO53" s="298" t="s">
        <v>442</v>
      </c>
      <c r="DP53" s="298" t="s">
        <v>414</v>
      </c>
      <c r="DQ53" s="302">
        <v>-6.72</v>
      </c>
      <c r="DR53" s="302">
        <v>2.8899999999999999E-2</v>
      </c>
      <c r="DS53" s="298">
        <v>-232.17</v>
      </c>
      <c r="DT53" s="298" t="s">
        <v>422</v>
      </c>
      <c r="DU53" s="302">
        <v>2E-16</v>
      </c>
      <c r="DV53" s="298" t="s">
        <v>389</v>
      </c>
      <c r="DW53" s="299" t="s">
        <v>467</v>
      </c>
      <c r="DX53" s="306" t="s">
        <v>498</v>
      </c>
      <c r="DY53" s="300" t="s">
        <v>323</v>
      </c>
      <c r="DZ53" s="301">
        <f t="shared" si="18"/>
        <v>0.38</v>
      </c>
      <c r="EA53" s="299" t="s">
        <v>322</v>
      </c>
    </row>
    <row r="54" spans="2:131" thickTop="1" thickBot="1" x14ac:dyDescent="0.3">
      <c r="X54" s="279"/>
      <c r="Y54" s="234" t="s">
        <v>27</v>
      </c>
      <c r="Z54" s="234" t="s">
        <v>28</v>
      </c>
      <c r="AA54" s="234" t="s">
        <v>29</v>
      </c>
      <c r="AB54" s="234" t="s">
        <v>30</v>
      </c>
      <c r="AC54" s="234" t="s">
        <v>31</v>
      </c>
      <c r="AD54" s="234" t="s">
        <v>32</v>
      </c>
      <c r="AE54" s="280" t="s">
        <v>33</v>
      </c>
      <c r="AO54" s="170" t="s">
        <v>376</v>
      </c>
      <c r="AP54" s="170">
        <f>SUM(AP42,AP4:AP7)</f>
        <v>1</v>
      </c>
      <c r="AQ54" s="170"/>
      <c r="BC54" s="81" t="s">
        <v>394</v>
      </c>
      <c r="BD54" s="167">
        <v>0.44900000000000001</v>
      </c>
      <c r="BE54" s="167">
        <v>1.77E-2</v>
      </c>
      <c r="BF54" s="81">
        <v>25.4</v>
      </c>
      <c r="BG54" s="81" t="s">
        <v>422</v>
      </c>
      <c r="BH54" s="167">
        <v>2E-16</v>
      </c>
      <c r="BI54" s="81" t="s">
        <v>389</v>
      </c>
      <c r="BQ54" s="81" t="s">
        <v>395</v>
      </c>
      <c r="BR54" s="167">
        <v>0.14099999999999999</v>
      </c>
      <c r="BS54" s="167">
        <v>2.1800000000000001E-3</v>
      </c>
      <c r="BT54" s="81">
        <v>64.91</v>
      </c>
      <c r="BU54" s="81" t="s">
        <v>422</v>
      </c>
      <c r="BV54" s="167">
        <v>2E-16</v>
      </c>
      <c r="BW54" s="81" t="s">
        <v>389</v>
      </c>
      <c r="CU54" s="258" t="s">
        <v>442</v>
      </c>
      <c r="CV54" s="258" t="s">
        <v>415</v>
      </c>
      <c r="CW54" s="259">
        <v>-6.31</v>
      </c>
      <c r="CX54" s="259">
        <v>1.47E-2</v>
      </c>
      <c r="CY54" s="258">
        <v>-429.93</v>
      </c>
      <c r="CZ54" s="258" t="s">
        <v>422</v>
      </c>
      <c r="DA54" s="167">
        <v>2E-16</v>
      </c>
      <c r="DB54" s="81" t="s">
        <v>389</v>
      </c>
      <c r="DC54" s="260" t="s">
        <v>467</v>
      </c>
      <c r="DD54" s="266" t="s">
        <v>499</v>
      </c>
      <c r="DE54" s="261" t="s">
        <v>323</v>
      </c>
      <c r="DF54" s="262">
        <f t="shared" si="17"/>
        <v>9.9099999999999994E-2</v>
      </c>
      <c r="DG54" s="260" t="s">
        <v>322</v>
      </c>
      <c r="DI54" s="170" t="s">
        <v>467</v>
      </c>
      <c r="DJ54" s="297" t="s">
        <v>499</v>
      </c>
      <c r="DK54" s="291" t="s">
        <v>323</v>
      </c>
      <c r="DL54" s="170">
        <f>$O$12*$Z$37*$AP$28</f>
        <v>0.12483091092488686</v>
      </c>
      <c r="DM54" s="170" t="s">
        <v>322</v>
      </c>
      <c r="DO54" s="298" t="s">
        <v>442</v>
      </c>
      <c r="DP54" s="298" t="s">
        <v>415</v>
      </c>
      <c r="DQ54" s="302">
        <v>-5.67</v>
      </c>
      <c r="DR54" s="302">
        <v>2.5600000000000001E-2</v>
      </c>
      <c r="DS54" s="298">
        <v>-221.11</v>
      </c>
      <c r="DT54" s="298" t="s">
        <v>422</v>
      </c>
      <c r="DU54" s="302">
        <v>2E-16</v>
      </c>
      <c r="DV54" s="298" t="s">
        <v>389</v>
      </c>
      <c r="DW54" s="299" t="s">
        <v>467</v>
      </c>
      <c r="DX54" s="306" t="s">
        <v>499</v>
      </c>
      <c r="DY54" s="300" t="s">
        <v>323</v>
      </c>
      <c r="DZ54" s="301">
        <f t="shared" si="18"/>
        <v>0.15</v>
      </c>
      <c r="EA54" s="299" t="s">
        <v>322</v>
      </c>
    </row>
    <row r="55" spans="2:131" thickTop="1" thickBot="1" x14ac:dyDescent="0.3">
      <c r="X55" s="281"/>
      <c r="Y55" s="189" t="s">
        <v>90</v>
      </c>
      <c r="Z55" s="189">
        <v>0.02</v>
      </c>
      <c r="AA55" s="189">
        <v>0.6</v>
      </c>
      <c r="AB55" s="189">
        <v>975</v>
      </c>
      <c r="AC55" s="189">
        <v>840</v>
      </c>
      <c r="AD55" s="236">
        <f>Z55/AA55</f>
        <v>3.3333333333333333E-2</v>
      </c>
      <c r="AE55" s="282">
        <f>Z55*AB55*AC55</f>
        <v>16380</v>
      </c>
      <c r="AO55" s="170" t="s">
        <v>376</v>
      </c>
      <c r="AP55" s="170">
        <f>SUM(AP43,AP26:AP28)</f>
        <v>1</v>
      </c>
      <c r="AQ55" s="170"/>
      <c r="BC55" s="81" t="s">
        <v>395</v>
      </c>
      <c r="BD55" s="167">
        <v>0.111</v>
      </c>
      <c r="BE55" s="167">
        <v>1.1199999999999999E-3</v>
      </c>
      <c r="BF55" s="81">
        <v>99.15</v>
      </c>
      <c r="BG55" s="81" t="s">
        <v>422</v>
      </c>
      <c r="BH55" s="167">
        <v>2E-16</v>
      </c>
      <c r="BI55" s="81" t="s">
        <v>389</v>
      </c>
      <c r="BQ55" s="81" t="s">
        <v>396</v>
      </c>
      <c r="BR55" s="167">
        <v>0.108</v>
      </c>
      <c r="BS55" s="167">
        <v>2.07E-2</v>
      </c>
      <c r="BT55" s="81">
        <v>5.23</v>
      </c>
      <c r="BU55" s="167">
        <v>1.8E-7</v>
      </c>
      <c r="BV55" s="81" t="s">
        <v>389</v>
      </c>
      <c r="BW55" s="81"/>
      <c r="CU55" s="258" t="s">
        <v>442</v>
      </c>
      <c r="CV55" s="258" t="s">
        <v>416</v>
      </c>
      <c r="CW55" s="259">
        <v>-6.81</v>
      </c>
      <c r="CX55" s="259">
        <v>2.0400000000000001E-2</v>
      </c>
      <c r="CY55" s="258">
        <v>-333.36</v>
      </c>
      <c r="CZ55" s="258" t="s">
        <v>422</v>
      </c>
      <c r="DA55" s="167">
        <v>2E-16</v>
      </c>
      <c r="DB55" s="81" t="s">
        <v>389</v>
      </c>
      <c r="DC55" s="260" t="s">
        <v>467</v>
      </c>
      <c r="DD55" s="266" t="s">
        <v>500</v>
      </c>
      <c r="DE55" s="261" t="s">
        <v>323</v>
      </c>
      <c r="DF55" s="262">
        <f t="shared" si="17"/>
        <v>0.27300000000000002</v>
      </c>
      <c r="DG55" s="260" t="s">
        <v>322</v>
      </c>
      <c r="DI55" s="170" t="s">
        <v>467</v>
      </c>
      <c r="DJ55" s="297" t="s">
        <v>500</v>
      </c>
      <c r="DK55" s="291" t="s">
        <v>323</v>
      </c>
      <c r="DL55" s="170">
        <f>$O$13*$Z$37*$AP$28</f>
        <v>0.10151085064221571</v>
      </c>
      <c r="DM55" s="170" t="s">
        <v>322</v>
      </c>
      <c r="DO55" s="298" t="s">
        <v>442</v>
      </c>
      <c r="DP55" s="298" t="s">
        <v>416</v>
      </c>
      <c r="DQ55" s="302">
        <v>-6.65</v>
      </c>
      <c r="DR55" s="302">
        <v>2.6200000000000001E-2</v>
      </c>
      <c r="DS55" s="298">
        <v>-253.48</v>
      </c>
      <c r="DT55" s="298" t="s">
        <v>422</v>
      </c>
      <c r="DU55" s="302">
        <v>2E-16</v>
      </c>
      <c r="DV55" s="298" t="s">
        <v>389</v>
      </c>
      <c r="DW55" s="299" t="s">
        <v>467</v>
      </c>
      <c r="DX55" s="306" t="s">
        <v>500</v>
      </c>
      <c r="DY55" s="300" t="s">
        <v>323</v>
      </c>
      <c r="DZ55" s="301">
        <f t="shared" si="18"/>
        <v>0.33600000000000002</v>
      </c>
      <c r="EA55" s="299" t="s">
        <v>322</v>
      </c>
    </row>
    <row r="56" spans="2:131" thickTop="1" thickBot="1" x14ac:dyDescent="0.3">
      <c r="X56" s="281"/>
      <c r="Y56" s="199" t="s">
        <v>275</v>
      </c>
      <c r="Z56" s="189">
        <v>0.14000000000000001</v>
      </c>
      <c r="AA56" s="189">
        <v>0.54</v>
      </c>
      <c r="AB56" s="189">
        <v>1400</v>
      </c>
      <c r="AC56" s="199">
        <v>840</v>
      </c>
      <c r="AD56" s="236">
        <f>Z56/AA56</f>
        <v>0.25925925925925924</v>
      </c>
      <c r="AE56" s="190">
        <f>Z56*AB56*AC56</f>
        <v>164640.00000000003</v>
      </c>
      <c r="AO56" s="170" t="s">
        <v>377</v>
      </c>
      <c r="AP56" s="170">
        <f>SUM(AP46,AP14:AP17)</f>
        <v>1.0000000000000002</v>
      </c>
      <c r="AQ56" s="170"/>
      <c r="BC56" s="81" t="s">
        <v>396</v>
      </c>
      <c r="BD56" s="167">
        <v>0.255</v>
      </c>
      <c r="BE56" s="167">
        <v>1.8100000000000002E-2</v>
      </c>
      <c r="BF56" s="81">
        <v>14.05</v>
      </c>
      <c r="BG56" s="81" t="s">
        <v>422</v>
      </c>
      <c r="BH56" s="167">
        <v>2E-16</v>
      </c>
      <c r="BI56" s="81" t="s">
        <v>389</v>
      </c>
      <c r="BQ56" s="81" t="s">
        <v>397</v>
      </c>
      <c r="BR56" s="167">
        <v>0.28299999999999997</v>
      </c>
      <c r="BS56" s="167">
        <v>6.1999999999999998E-3</v>
      </c>
      <c r="BT56" s="81">
        <v>45.61</v>
      </c>
      <c r="BU56" s="81" t="s">
        <v>422</v>
      </c>
      <c r="BV56" s="167">
        <v>2E-16</v>
      </c>
      <c r="BW56" s="81" t="s">
        <v>389</v>
      </c>
      <c r="CU56" s="258" t="s">
        <v>442</v>
      </c>
      <c r="CV56" s="258" t="s">
        <v>417</v>
      </c>
      <c r="CW56" s="259">
        <v>8.5500000000000003E-3</v>
      </c>
      <c r="CX56" s="259">
        <v>7.7600000000000002E-5</v>
      </c>
      <c r="CY56" s="258">
        <v>110.13</v>
      </c>
      <c r="CZ56" s="258" t="s">
        <v>422</v>
      </c>
      <c r="DA56" s="167">
        <v>2E-16</v>
      </c>
      <c r="DB56" s="81" t="s">
        <v>389</v>
      </c>
      <c r="DC56" s="260" t="s">
        <v>467</v>
      </c>
      <c r="DD56" s="266" t="s">
        <v>501</v>
      </c>
      <c r="DE56" s="261" t="s">
        <v>323</v>
      </c>
      <c r="DF56" s="262">
        <f t="shared" si="17"/>
        <v>0.56999999999999995</v>
      </c>
      <c r="DG56" s="260" t="s">
        <v>322</v>
      </c>
      <c r="DI56" s="170" t="s">
        <v>467</v>
      </c>
      <c r="DJ56" s="297" t="s">
        <v>501</v>
      </c>
      <c r="DK56" s="291" t="s">
        <v>323</v>
      </c>
      <c r="DL56" s="170">
        <f>$O$11*$Z$37*$AP$43</f>
        <v>0.60680572085012896</v>
      </c>
      <c r="DM56" s="170" t="s">
        <v>322</v>
      </c>
      <c r="DO56" s="298" t="s">
        <v>442</v>
      </c>
      <c r="DP56" s="298" t="s">
        <v>417</v>
      </c>
      <c r="DQ56" s="302">
        <v>8.77E-3</v>
      </c>
      <c r="DR56" s="302">
        <v>1.3999999999999999E-4</v>
      </c>
      <c r="DS56" s="298">
        <v>62.52</v>
      </c>
      <c r="DT56" s="298" t="s">
        <v>422</v>
      </c>
      <c r="DU56" s="302">
        <v>2E-16</v>
      </c>
      <c r="DV56" s="298" t="s">
        <v>389</v>
      </c>
      <c r="DW56" s="299" t="s">
        <v>467</v>
      </c>
      <c r="DX56" s="306" t="s">
        <v>501</v>
      </c>
      <c r="DY56" s="300" t="s">
        <v>323</v>
      </c>
      <c r="DZ56" s="301">
        <f t="shared" si="18"/>
        <v>0.40400000000000003</v>
      </c>
      <c r="EA56" s="299" t="s">
        <v>322</v>
      </c>
    </row>
    <row r="57" spans="2:131" thickTop="1" thickBot="1" x14ac:dyDescent="0.3">
      <c r="X57" s="283"/>
      <c r="Y57" s="284" t="s">
        <v>273</v>
      </c>
      <c r="Z57" s="285">
        <v>0</v>
      </c>
      <c r="AA57" s="285">
        <v>3.5999999999999997E-2</v>
      </c>
      <c r="AB57" s="285">
        <v>26</v>
      </c>
      <c r="AC57" s="285">
        <v>1470</v>
      </c>
      <c r="AD57" s="286">
        <f>Z57/AA57</f>
        <v>0</v>
      </c>
      <c r="AE57" s="287">
        <f>Z57*AB57*AC57</f>
        <v>0</v>
      </c>
      <c r="AO57" s="170" t="s">
        <v>377</v>
      </c>
      <c r="AP57" s="170">
        <f>SUM(AP47,AP33:AP35)</f>
        <v>1</v>
      </c>
      <c r="AQ57" s="170"/>
      <c r="BC57" s="81" t="s">
        <v>397</v>
      </c>
      <c r="BD57" s="167">
        <v>0.19800000000000001</v>
      </c>
      <c r="BE57" s="167">
        <v>3.8500000000000001E-3</v>
      </c>
      <c r="BF57" s="81">
        <v>51.44</v>
      </c>
      <c r="BG57" s="81" t="s">
        <v>422</v>
      </c>
      <c r="BH57" s="167">
        <v>2E-16</v>
      </c>
      <c r="BI57" s="81" t="s">
        <v>389</v>
      </c>
      <c r="BQ57" s="81" t="s">
        <v>308</v>
      </c>
      <c r="BR57" s="167">
        <v>990000000</v>
      </c>
      <c r="BS57" s="167">
        <v>65000000</v>
      </c>
      <c r="BT57" s="81">
        <v>15.24</v>
      </c>
      <c r="BU57" s="81" t="s">
        <v>422</v>
      </c>
      <c r="BV57" s="167">
        <v>2E-16</v>
      </c>
      <c r="BW57" s="81" t="s">
        <v>389</v>
      </c>
      <c r="CU57" s="258" t="s">
        <v>442</v>
      </c>
      <c r="CV57" s="258" t="s">
        <v>418</v>
      </c>
      <c r="CW57" s="259">
        <v>82.1</v>
      </c>
      <c r="CX57" s="259">
        <v>0.35599999999999998</v>
      </c>
      <c r="CY57" s="258">
        <v>230.35</v>
      </c>
      <c r="CZ57" s="258" t="s">
        <v>422</v>
      </c>
      <c r="DA57" s="167">
        <v>2E-16</v>
      </c>
      <c r="DB57" s="81" t="s">
        <v>389</v>
      </c>
      <c r="DC57" s="260" t="s">
        <v>467</v>
      </c>
      <c r="DD57" s="266" t="s">
        <v>502</v>
      </c>
      <c r="DE57" s="261" t="s">
        <v>323</v>
      </c>
      <c r="DF57" s="262">
        <f t="shared" si="17"/>
        <v>0.70499999999999996</v>
      </c>
      <c r="DG57" s="260" t="s">
        <v>322</v>
      </c>
      <c r="DI57" s="170" t="s">
        <v>467</v>
      </c>
      <c r="DJ57" s="297" t="s">
        <v>502</v>
      </c>
      <c r="DK57" s="291" t="s">
        <v>323</v>
      </c>
      <c r="DL57" s="170">
        <f>$O$10*$Z$37*$AP$43</f>
        <v>0.59163557782887577</v>
      </c>
      <c r="DM57" s="170" t="s">
        <v>322</v>
      </c>
      <c r="DO57" s="298" t="s">
        <v>442</v>
      </c>
      <c r="DP57" s="298" t="s">
        <v>418</v>
      </c>
      <c r="DQ57" s="302">
        <v>163</v>
      </c>
      <c r="DR57" s="302">
        <v>1.06</v>
      </c>
      <c r="DS57" s="298">
        <v>153.28</v>
      </c>
      <c r="DT57" s="298" t="s">
        <v>422</v>
      </c>
      <c r="DU57" s="302">
        <v>2E-16</v>
      </c>
      <c r="DV57" s="298" t="s">
        <v>389</v>
      </c>
      <c r="DW57" s="299" t="s">
        <v>467</v>
      </c>
      <c r="DX57" s="306" t="s">
        <v>502</v>
      </c>
      <c r="DY57" s="300" t="s">
        <v>323</v>
      </c>
      <c r="DZ57" s="301">
        <f t="shared" si="18"/>
        <v>0.28399999999999997</v>
      </c>
      <c r="EA57" s="299" t="s">
        <v>322</v>
      </c>
    </row>
    <row r="58" spans="2:131" thickTop="1" thickBot="1" x14ac:dyDescent="0.3">
      <c r="X58" s="81"/>
      <c r="Y58" s="81"/>
      <c r="Z58" s="81"/>
      <c r="AA58" s="81"/>
      <c r="AB58" s="81"/>
      <c r="AC58" s="81"/>
      <c r="AD58" s="81"/>
      <c r="AE58" s="81"/>
      <c r="BC58" s="81" t="s">
        <v>308</v>
      </c>
      <c r="BD58" s="167">
        <v>29000000</v>
      </c>
      <c r="BE58" s="167">
        <v>522000</v>
      </c>
      <c r="BF58" s="81">
        <v>55.58</v>
      </c>
      <c r="BG58" s="81" t="s">
        <v>422</v>
      </c>
      <c r="BH58" s="167">
        <v>2E-16</v>
      </c>
      <c r="BI58" s="81" t="s">
        <v>389</v>
      </c>
      <c r="BQ58" s="81" t="s">
        <v>399</v>
      </c>
      <c r="BR58" s="167">
        <v>752000</v>
      </c>
      <c r="BS58" s="167">
        <v>20000</v>
      </c>
      <c r="BT58" s="81">
        <v>37.6</v>
      </c>
      <c r="BU58" s="81" t="s">
        <v>422</v>
      </c>
      <c r="BV58" s="167">
        <v>2E-16</v>
      </c>
      <c r="BW58" s="81" t="s">
        <v>389</v>
      </c>
      <c r="CU58" s="258" t="s">
        <v>442</v>
      </c>
      <c r="CV58" s="258" t="s">
        <v>419</v>
      </c>
      <c r="CW58" s="259">
        <v>9980</v>
      </c>
      <c r="CX58" s="259">
        <v>57.1</v>
      </c>
      <c r="CY58" s="258">
        <v>174.64</v>
      </c>
      <c r="CZ58" s="259" t="s">
        <v>422</v>
      </c>
      <c r="DA58" s="167">
        <v>2E-16</v>
      </c>
      <c r="DB58" s="81" t="s">
        <v>389</v>
      </c>
      <c r="DC58" s="260" t="s">
        <v>467</v>
      </c>
      <c r="DD58" s="266" t="s">
        <v>503</v>
      </c>
      <c r="DE58" s="261" t="s">
        <v>323</v>
      </c>
      <c r="DF58" s="262">
        <f t="shared" si="17"/>
        <v>0.623</v>
      </c>
      <c r="DG58" s="260" t="s">
        <v>322</v>
      </c>
      <c r="DI58" s="170" t="s">
        <v>467</v>
      </c>
      <c r="DJ58" s="297" t="s">
        <v>503</v>
      </c>
      <c r="DK58" s="291" t="s">
        <v>323</v>
      </c>
      <c r="DL58" s="170">
        <f>$O$12*$Z$37*$AP$43</f>
        <v>0.69024150746702162</v>
      </c>
      <c r="DM58" s="170" t="s">
        <v>322</v>
      </c>
      <c r="DO58" s="298" t="s">
        <v>442</v>
      </c>
      <c r="DP58" s="298" t="s">
        <v>419</v>
      </c>
      <c r="DQ58" s="302">
        <v>9910</v>
      </c>
      <c r="DR58" s="302">
        <v>606</v>
      </c>
      <c r="DS58" s="298">
        <v>16.34</v>
      </c>
      <c r="DT58" s="302" t="s">
        <v>422</v>
      </c>
      <c r="DU58" s="302">
        <v>2E-16</v>
      </c>
      <c r="DV58" s="298" t="s">
        <v>389</v>
      </c>
      <c r="DW58" s="299" t="s">
        <v>467</v>
      </c>
      <c r="DX58" s="306" t="s">
        <v>503</v>
      </c>
      <c r="DY58" s="300" t="s">
        <v>323</v>
      </c>
      <c r="DZ58" s="301">
        <f t="shared" si="18"/>
        <v>0.41</v>
      </c>
      <c r="EA58" s="299" t="s">
        <v>322</v>
      </c>
    </row>
    <row r="59" spans="2:131" thickTop="1" thickBot="1" x14ac:dyDescent="0.3">
      <c r="BC59" s="81" t="s">
        <v>399</v>
      </c>
      <c r="BD59" s="167">
        <v>858000</v>
      </c>
      <c r="BE59" s="167">
        <v>4620</v>
      </c>
      <c r="BF59" s="81">
        <v>185.74</v>
      </c>
      <c r="BG59" s="81" t="s">
        <v>422</v>
      </c>
      <c r="BH59" s="167">
        <v>2E-16</v>
      </c>
      <c r="BI59" s="81" t="s">
        <v>389</v>
      </c>
      <c r="BQ59" s="81" t="s">
        <v>301</v>
      </c>
      <c r="BR59" s="167">
        <v>8650000</v>
      </c>
      <c r="BS59" s="167">
        <v>780000</v>
      </c>
      <c r="BT59" s="81">
        <v>11.09</v>
      </c>
      <c r="BU59" s="81" t="s">
        <v>422</v>
      </c>
      <c r="BV59" s="167">
        <v>2E-16</v>
      </c>
      <c r="BW59" s="81" t="s">
        <v>389</v>
      </c>
      <c r="CU59" s="258" t="s">
        <v>442</v>
      </c>
      <c r="CV59" s="258" t="s">
        <v>420</v>
      </c>
      <c r="CW59" s="259">
        <v>67.400000000000006</v>
      </c>
      <c r="CX59" s="259">
        <v>0.76200000000000001</v>
      </c>
      <c r="CY59" s="258">
        <v>88.46</v>
      </c>
      <c r="CZ59" s="258" t="s">
        <v>422</v>
      </c>
      <c r="DA59" s="167">
        <v>2E-16</v>
      </c>
      <c r="DB59" s="81" t="s">
        <v>389</v>
      </c>
      <c r="DC59" s="260" t="s">
        <v>467</v>
      </c>
      <c r="DD59" s="266" t="s">
        <v>504</v>
      </c>
      <c r="DE59" s="261" t="s">
        <v>323</v>
      </c>
      <c r="DF59" s="262">
        <f t="shared" si="17"/>
        <v>0.27700000000000002</v>
      </c>
      <c r="DG59" s="260" t="s">
        <v>322</v>
      </c>
      <c r="DI59" s="170" t="s">
        <v>467</v>
      </c>
      <c r="DJ59" s="297" t="s">
        <v>504</v>
      </c>
      <c r="DK59" s="291" t="s">
        <v>323</v>
      </c>
      <c r="DL59" s="170">
        <f>$O$13*$Z$37*$AP$43</f>
        <v>0.56129529178636928</v>
      </c>
      <c r="DM59" s="170" t="s">
        <v>322</v>
      </c>
      <c r="DO59" s="298" t="s">
        <v>442</v>
      </c>
      <c r="DP59" s="298" t="s">
        <v>420</v>
      </c>
      <c r="DQ59" s="302">
        <v>98</v>
      </c>
      <c r="DR59" s="302">
        <v>1.26</v>
      </c>
      <c r="DS59" s="298">
        <v>77.89</v>
      </c>
      <c r="DT59" s="298" t="s">
        <v>422</v>
      </c>
      <c r="DU59" s="302">
        <v>2E-16</v>
      </c>
      <c r="DV59" s="298" t="s">
        <v>389</v>
      </c>
      <c r="DW59" s="299" t="s">
        <v>467</v>
      </c>
      <c r="DX59" s="306" t="s">
        <v>504</v>
      </c>
      <c r="DY59" s="300" t="s">
        <v>323</v>
      </c>
      <c r="DZ59" s="301">
        <f t="shared" si="18"/>
        <v>0.154</v>
      </c>
      <c r="EA59" s="299" t="s">
        <v>322</v>
      </c>
    </row>
    <row r="60" spans="2:131" thickTop="1" thickBot="1" x14ac:dyDescent="0.3">
      <c r="BC60" s="81" t="s">
        <v>301</v>
      </c>
      <c r="BD60" s="167">
        <v>2990000</v>
      </c>
      <c r="BE60" s="167">
        <v>49000</v>
      </c>
      <c r="BF60" s="81">
        <v>61.12</v>
      </c>
      <c r="BG60" s="81" t="s">
        <v>422</v>
      </c>
      <c r="BH60" s="167">
        <v>2E-16</v>
      </c>
      <c r="BI60" s="81" t="s">
        <v>389</v>
      </c>
      <c r="BQ60" s="81" t="s">
        <v>303</v>
      </c>
      <c r="BR60" s="167">
        <v>17100000</v>
      </c>
      <c r="BS60" s="167">
        <v>4790000</v>
      </c>
      <c r="BT60" s="81">
        <v>3.56</v>
      </c>
      <c r="BU60" s="81">
        <v>3.6999999999999999E-4</v>
      </c>
      <c r="BV60" s="81" t="s">
        <v>389</v>
      </c>
      <c r="BW60" s="81"/>
      <c r="DD60" s="266"/>
      <c r="DE60" s="261"/>
      <c r="DF60" s="262"/>
      <c r="DI60" s="170"/>
      <c r="DJ60" s="297"/>
      <c r="DK60" s="291"/>
      <c r="DL60" s="170"/>
      <c r="DM60" s="170"/>
      <c r="DX60" s="306"/>
      <c r="DY60" s="300"/>
      <c r="DZ60" s="301"/>
    </row>
    <row r="61" spans="2:131" thickTop="1" thickBot="1" x14ac:dyDescent="0.3">
      <c r="BC61" s="81" t="s">
        <v>303</v>
      </c>
      <c r="BD61" s="167">
        <v>5280000</v>
      </c>
      <c r="BE61" s="167">
        <v>21200</v>
      </c>
      <c r="BF61" s="81">
        <v>249</v>
      </c>
      <c r="BG61" s="81" t="s">
        <v>422</v>
      </c>
      <c r="BH61" s="167">
        <v>2E-16</v>
      </c>
      <c r="BI61" s="81" t="s">
        <v>389</v>
      </c>
      <c r="BQ61" s="81" t="s">
        <v>400</v>
      </c>
      <c r="BR61" s="167">
        <v>-20.100000000000001</v>
      </c>
      <c r="BS61" s="167">
        <v>467</v>
      </c>
      <c r="BT61" s="81">
        <v>-0.04</v>
      </c>
      <c r="BU61" s="81">
        <v>0.96562999999999999</v>
      </c>
      <c r="BV61" s="81"/>
      <c r="BW61" s="81"/>
      <c r="CU61" s="258" t="s">
        <v>442</v>
      </c>
      <c r="CV61" s="258" t="s">
        <v>433</v>
      </c>
      <c r="CW61" s="258" t="s">
        <v>460</v>
      </c>
      <c r="DA61" s="81"/>
      <c r="DB61" s="81"/>
      <c r="DC61" s="260" t="s">
        <v>467</v>
      </c>
      <c r="DD61" s="266" t="s">
        <v>344</v>
      </c>
      <c r="DE61" s="261" t="s">
        <v>323</v>
      </c>
      <c r="DF61" s="262">
        <f>CW85</f>
        <v>1550000</v>
      </c>
      <c r="DG61" s="260" t="s">
        <v>322</v>
      </c>
      <c r="DI61" s="170" t="s">
        <v>467</v>
      </c>
      <c r="DJ61" s="297" t="s">
        <v>344</v>
      </c>
      <c r="DK61" s="291" t="s">
        <v>323</v>
      </c>
      <c r="DL61" s="295">
        <f>$AP30</f>
        <v>913552.64000000025</v>
      </c>
      <c r="DM61" s="170" t="s">
        <v>322</v>
      </c>
      <c r="DO61" s="298" t="s">
        <v>442</v>
      </c>
      <c r="DP61" s="298" t="s">
        <v>433</v>
      </c>
      <c r="DQ61" s="298" t="s">
        <v>460</v>
      </c>
      <c r="DW61" s="299" t="s">
        <v>467</v>
      </c>
      <c r="DX61" s="306" t="s">
        <v>344</v>
      </c>
      <c r="DY61" s="300" t="s">
        <v>323</v>
      </c>
      <c r="DZ61" s="301">
        <f>DQ85</f>
        <v>843000</v>
      </c>
      <c r="EA61" s="299" t="s">
        <v>322</v>
      </c>
    </row>
    <row r="62" spans="2:131" thickTop="1" thickBot="1" x14ac:dyDescent="0.3">
      <c r="BC62" s="81" t="s">
        <v>400</v>
      </c>
      <c r="BD62" s="167">
        <v>-24.7</v>
      </c>
      <c r="BE62" s="167">
        <v>0.50900000000000001</v>
      </c>
      <c r="BF62" s="81">
        <v>-48.59</v>
      </c>
      <c r="BG62" s="81" t="s">
        <v>422</v>
      </c>
      <c r="BH62" s="167">
        <v>2E-16</v>
      </c>
      <c r="BI62" s="81" t="s">
        <v>389</v>
      </c>
      <c r="BQ62" s="81" t="s">
        <v>401</v>
      </c>
      <c r="BR62" s="167">
        <v>-13.2</v>
      </c>
      <c r="BS62" s="167">
        <v>543</v>
      </c>
      <c r="BT62" s="81">
        <v>-0.02</v>
      </c>
      <c r="BU62" s="81">
        <v>0.98057000000000005</v>
      </c>
      <c r="BV62" s="81"/>
      <c r="BW62" s="81"/>
      <c r="CU62" s="258" t="s">
        <v>442</v>
      </c>
      <c r="CV62" s="258" t="s">
        <v>380</v>
      </c>
      <c r="DA62" s="81"/>
      <c r="DB62" s="81"/>
      <c r="DC62" s="260" t="s">
        <v>467</v>
      </c>
      <c r="DD62" s="266" t="s">
        <v>345</v>
      </c>
      <c r="DE62" s="261" t="s">
        <v>323</v>
      </c>
      <c r="DF62" s="262">
        <f>CW86</f>
        <v>6440000</v>
      </c>
      <c r="DG62" s="260" t="s">
        <v>322</v>
      </c>
      <c r="DI62" s="170" t="s">
        <v>467</v>
      </c>
      <c r="DJ62" s="297" t="s">
        <v>345</v>
      </c>
      <c r="DK62" s="291" t="s">
        <v>323</v>
      </c>
      <c r="DL62" s="295">
        <f>$AP31</f>
        <v>14269622.41878036</v>
      </c>
      <c r="DM62" s="170" t="s">
        <v>322</v>
      </c>
      <c r="DO62" s="298" t="s">
        <v>442</v>
      </c>
      <c r="DP62" s="298" t="s">
        <v>380</v>
      </c>
      <c r="DW62" s="299" t="s">
        <v>467</v>
      </c>
      <c r="DX62" s="306" t="s">
        <v>345</v>
      </c>
      <c r="DY62" s="300" t="s">
        <v>323</v>
      </c>
      <c r="DZ62" s="301">
        <f>DQ86</f>
        <v>5290000</v>
      </c>
      <c r="EA62" s="299" t="s">
        <v>322</v>
      </c>
    </row>
    <row r="63" spans="2:131" thickTop="1" thickBot="1" x14ac:dyDescent="0.3">
      <c r="BC63" s="81" t="s">
        <v>401</v>
      </c>
      <c r="BD63" s="167">
        <v>-11.8</v>
      </c>
      <c r="BE63" s="167">
        <v>10.6</v>
      </c>
      <c r="BF63" s="81">
        <v>-1.1200000000000001</v>
      </c>
      <c r="BG63" s="81">
        <v>0.26</v>
      </c>
      <c r="BH63" s="81"/>
      <c r="BI63" s="81"/>
      <c r="BQ63" s="81" t="s">
        <v>402</v>
      </c>
      <c r="BR63" s="167">
        <v>-13.4</v>
      </c>
      <c r="BS63" s="167">
        <v>316</v>
      </c>
      <c r="BT63" s="81">
        <v>-0.04</v>
      </c>
      <c r="BU63" s="81">
        <v>0.96606999999999998</v>
      </c>
      <c r="BV63" s="81"/>
      <c r="BW63" s="81"/>
      <c r="CU63" s="258" t="s">
        <v>442</v>
      </c>
      <c r="CV63" s="258" t="s">
        <v>381</v>
      </c>
      <c r="CW63" s="258" t="s">
        <v>382</v>
      </c>
      <c r="CX63" s="258" t="s">
        <v>383</v>
      </c>
      <c r="CY63" s="258" t="s">
        <v>384</v>
      </c>
      <c r="CZ63" s="258" t="s">
        <v>385</v>
      </c>
      <c r="DA63" s="81" t="s">
        <v>386</v>
      </c>
      <c r="DB63" s="81"/>
      <c r="DC63" s="260" t="s">
        <v>467</v>
      </c>
      <c r="DD63" s="266" t="s">
        <v>346</v>
      </c>
      <c r="DE63" s="261" t="s">
        <v>323</v>
      </c>
      <c r="DF63" s="262">
        <f>CW87</f>
        <v>11300000</v>
      </c>
      <c r="DG63" s="260" t="s">
        <v>322</v>
      </c>
      <c r="DI63" s="170" t="s">
        <v>467</v>
      </c>
      <c r="DJ63" s="297" t="s">
        <v>346</v>
      </c>
      <c r="DK63" s="291" t="s">
        <v>323</v>
      </c>
      <c r="DL63" s="295">
        <f>$AP32</f>
        <v>13622794.516999464</v>
      </c>
      <c r="DM63" s="170" t="s">
        <v>322</v>
      </c>
      <c r="DO63" s="298" t="s">
        <v>442</v>
      </c>
      <c r="DP63" s="298" t="s">
        <v>381</v>
      </c>
      <c r="DQ63" s="298" t="s">
        <v>382</v>
      </c>
      <c r="DR63" s="298" t="s">
        <v>383</v>
      </c>
      <c r="DS63" s="298" t="s">
        <v>384</v>
      </c>
      <c r="DT63" s="298" t="s">
        <v>385</v>
      </c>
      <c r="DU63" s="298" t="s">
        <v>386</v>
      </c>
      <c r="DW63" s="299" t="s">
        <v>467</v>
      </c>
      <c r="DX63" s="306" t="s">
        <v>346</v>
      </c>
      <c r="DY63" s="300" t="s">
        <v>323</v>
      </c>
      <c r="DZ63" s="301">
        <f>DQ87</f>
        <v>17300000</v>
      </c>
      <c r="EA63" s="299" t="s">
        <v>322</v>
      </c>
    </row>
    <row r="64" spans="2:131" thickTop="1" thickBot="1" x14ac:dyDescent="0.3">
      <c r="BC64" s="81" t="s">
        <v>402</v>
      </c>
      <c r="BD64" s="167">
        <v>-18.3</v>
      </c>
      <c r="BE64" s="167">
        <v>2.2400000000000002</v>
      </c>
      <c r="BF64" s="81">
        <v>-8.19</v>
      </c>
      <c r="BG64" s="167">
        <v>4.4E-16</v>
      </c>
      <c r="BH64" s="81" t="s">
        <v>389</v>
      </c>
      <c r="BI64" s="81"/>
      <c r="BQ64" s="81" t="s">
        <v>403</v>
      </c>
      <c r="BR64" s="167">
        <v>-14.3</v>
      </c>
      <c r="BS64" s="167">
        <v>664</v>
      </c>
      <c r="BT64" s="81">
        <v>-0.02</v>
      </c>
      <c r="BU64" s="81">
        <v>0.98280999999999996</v>
      </c>
      <c r="BV64" s="81"/>
      <c r="BW64" s="81"/>
      <c r="CU64" s="258" t="s">
        <v>442</v>
      </c>
      <c r="CV64" s="258" t="s">
        <v>387</v>
      </c>
      <c r="CW64" s="259">
        <v>292</v>
      </c>
      <c r="CX64" s="259">
        <v>3.5400000000000001E-2</v>
      </c>
      <c r="CY64" s="258">
        <v>8256.7199999999993</v>
      </c>
      <c r="CZ64" s="258" t="s">
        <v>422</v>
      </c>
      <c r="DA64" s="167">
        <v>2E-16</v>
      </c>
      <c r="DB64" s="81" t="s">
        <v>389</v>
      </c>
      <c r="DE64" s="261"/>
      <c r="DI64" s="170"/>
      <c r="DJ64" s="170"/>
      <c r="DK64" s="291"/>
      <c r="DL64" s="170"/>
      <c r="DM64" s="170"/>
      <c r="DO64" s="298" t="s">
        <v>442</v>
      </c>
      <c r="DP64" s="298" t="s">
        <v>387</v>
      </c>
      <c r="DQ64" s="302">
        <v>288</v>
      </c>
      <c r="DR64" s="302">
        <v>0.157</v>
      </c>
      <c r="DS64" s="298">
        <v>1839.67</v>
      </c>
      <c r="DT64" s="298" t="s">
        <v>422</v>
      </c>
      <c r="DU64" s="302">
        <v>2E-16</v>
      </c>
      <c r="DV64" s="298" t="s">
        <v>389</v>
      </c>
      <c r="DY64" s="300"/>
    </row>
    <row r="65" spans="55:131" thickTop="1" thickBot="1" x14ac:dyDescent="0.3">
      <c r="BC65" s="81" t="s">
        <v>403</v>
      </c>
      <c r="BD65" s="167">
        <v>-16.100000000000001</v>
      </c>
      <c r="BE65" s="167">
        <v>1.95</v>
      </c>
      <c r="BF65" s="81">
        <v>-8.25</v>
      </c>
      <c r="BG65" s="167">
        <v>2.2E-16</v>
      </c>
      <c r="BH65" s="81" t="s">
        <v>389</v>
      </c>
      <c r="BI65" s="81"/>
      <c r="BQ65" s="81" t="s">
        <v>405</v>
      </c>
      <c r="BR65" s="167">
        <v>0.23</v>
      </c>
      <c r="BS65" s="167">
        <v>2.3800000000000002E-3</v>
      </c>
      <c r="BT65" s="81">
        <v>96.68</v>
      </c>
      <c r="BU65" s="81" t="s">
        <v>422</v>
      </c>
      <c r="BV65" s="167">
        <v>2E-16</v>
      </c>
      <c r="BW65" s="81" t="s">
        <v>389</v>
      </c>
      <c r="CU65" s="258" t="s">
        <v>442</v>
      </c>
      <c r="CV65" s="258" t="s">
        <v>390</v>
      </c>
      <c r="CW65" s="259">
        <v>288</v>
      </c>
      <c r="CX65" s="259">
        <v>7.6799999999999993E-2</v>
      </c>
      <c r="CY65" s="258">
        <v>3745.11</v>
      </c>
      <c r="CZ65" s="258" t="s">
        <v>422</v>
      </c>
      <c r="DA65" s="167">
        <v>2E-16</v>
      </c>
      <c r="DB65" s="81" t="s">
        <v>389</v>
      </c>
      <c r="DC65" s="260" t="s">
        <v>467</v>
      </c>
      <c r="DD65" s="266" t="s">
        <v>347</v>
      </c>
      <c r="DE65" s="261" t="s">
        <v>323</v>
      </c>
      <c r="DF65" s="262">
        <f>CW92</f>
        <v>0.128</v>
      </c>
      <c r="DG65" s="260" t="s">
        <v>322</v>
      </c>
      <c r="DI65" s="170" t="s">
        <v>467</v>
      </c>
      <c r="DJ65" s="297" t="s">
        <v>347</v>
      </c>
      <c r="DK65" s="291" t="s">
        <v>323</v>
      </c>
      <c r="DL65" s="170">
        <f>$AP33</f>
        <v>7.8325476196727445E-2</v>
      </c>
      <c r="DM65" s="170" t="s">
        <v>322</v>
      </c>
      <c r="DO65" s="298" t="s">
        <v>442</v>
      </c>
      <c r="DP65" s="298" t="s">
        <v>390</v>
      </c>
      <c r="DQ65" s="302">
        <v>285</v>
      </c>
      <c r="DR65" s="302">
        <v>0.20300000000000001</v>
      </c>
      <c r="DS65" s="298">
        <v>1401.43</v>
      </c>
      <c r="DT65" s="298" t="s">
        <v>422</v>
      </c>
      <c r="DU65" s="302">
        <v>2E-16</v>
      </c>
      <c r="DV65" s="298" t="s">
        <v>389</v>
      </c>
      <c r="DW65" s="299" t="s">
        <v>467</v>
      </c>
      <c r="DX65" s="306" t="s">
        <v>347</v>
      </c>
      <c r="DY65" s="300" t="s">
        <v>323</v>
      </c>
      <c r="DZ65" s="301">
        <f>DQ92</f>
        <v>0.158</v>
      </c>
      <c r="EA65" s="299" t="s">
        <v>322</v>
      </c>
    </row>
    <row r="66" spans="55:131" thickTop="1" thickBot="1" x14ac:dyDescent="0.3">
      <c r="BC66" s="81" t="s">
        <v>405</v>
      </c>
      <c r="BD66" s="167">
        <v>0.38</v>
      </c>
      <c r="BE66" s="167">
        <v>5.0499999999999998E-3</v>
      </c>
      <c r="BF66" s="81">
        <v>75.36</v>
      </c>
      <c r="BG66" s="81" t="s">
        <v>422</v>
      </c>
      <c r="BH66" s="167">
        <v>2E-16</v>
      </c>
      <c r="BI66" s="81" t="s">
        <v>389</v>
      </c>
      <c r="BQ66" s="81" t="s">
        <v>406</v>
      </c>
      <c r="BR66" s="167">
        <v>4.8599999999999997E-2</v>
      </c>
      <c r="BS66" s="167">
        <v>4.2499999999999998E-4</v>
      </c>
      <c r="BT66" s="81">
        <v>114.51</v>
      </c>
      <c r="BU66" s="81" t="s">
        <v>422</v>
      </c>
      <c r="BV66" s="167">
        <v>2E-16</v>
      </c>
      <c r="BW66" s="81" t="s">
        <v>389</v>
      </c>
      <c r="CU66" s="258" t="s">
        <v>442</v>
      </c>
      <c r="CV66" s="258" t="s">
        <v>391</v>
      </c>
      <c r="CW66" s="259">
        <v>292</v>
      </c>
      <c r="CX66" s="259">
        <v>4.6100000000000002E-2</v>
      </c>
      <c r="CY66" s="258">
        <v>6341.77</v>
      </c>
      <c r="CZ66" s="258" t="s">
        <v>422</v>
      </c>
      <c r="DA66" s="167">
        <v>2E-16</v>
      </c>
      <c r="DB66" s="81" t="s">
        <v>389</v>
      </c>
      <c r="DC66" s="260" t="s">
        <v>467</v>
      </c>
      <c r="DD66" s="266" t="s">
        <v>348</v>
      </c>
      <c r="DE66" s="261" t="s">
        <v>323</v>
      </c>
      <c r="DF66" s="262">
        <f>CW93</f>
        <v>0.104</v>
      </c>
      <c r="DG66" s="260" t="s">
        <v>322</v>
      </c>
      <c r="DI66" s="170" t="s">
        <v>467</v>
      </c>
      <c r="DJ66" s="297" t="s">
        <v>348</v>
      </c>
      <c r="DK66" s="291" t="s">
        <v>323</v>
      </c>
      <c r="DL66" s="170">
        <f>$AP34</f>
        <v>7.5145486075748155E-2</v>
      </c>
      <c r="DM66" s="170" t="s">
        <v>322</v>
      </c>
      <c r="DO66" s="298" t="s">
        <v>442</v>
      </c>
      <c r="DP66" s="298" t="s">
        <v>391</v>
      </c>
      <c r="DQ66" s="302">
        <v>291</v>
      </c>
      <c r="DR66" s="302">
        <v>0.09</v>
      </c>
      <c r="DS66" s="298">
        <v>3227.54</v>
      </c>
      <c r="DT66" s="298" t="s">
        <v>422</v>
      </c>
      <c r="DU66" s="302">
        <v>2E-16</v>
      </c>
      <c r="DV66" s="298" t="s">
        <v>389</v>
      </c>
      <c r="DW66" s="299" t="s">
        <v>467</v>
      </c>
      <c r="DX66" s="306" t="s">
        <v>348</v>
      </c>
      <c r="DY66" s="300" t="s">
        <v>323</v>
      </c>
      <c r="DZ66" s="301">
        <f>DQ93</f>
        <v>0.10299999999999999</v>
      </c>
      <c r="EA66" s="299" t="s">
        <v>322</v>
      </c>
    </row>
    <row r="67" spans="55:131" thickTop="1" thickBot="1" x14ac:dyDescent="0.3">
      <c r="BC67" s="81" t="s">
        <v>406</v>
      </c>
      <c r="BD67" s="167">
        <v>7.2800000000000004E-2</v>
      </c>
      <c r="BE67" s="167">
        <v>4.1599999999999997E-4</v>
      </c>
      <c r="BF67" s="81">
        <v>175.16</v>
      </c>
      <c r="BG67" s="81" t="s">
        <v>422</v>
      </c>
      <c r="BH67" s="167">
        <v>2E-16</v>
      </c>
      <c r="BI67" s="81" t="s">
        <v>389</v>
      </c>
      <c r="BQ67" s="81" t="s">
        <v>407</v>
      </c>
      <c r="BR67" s="167">
        <v>0.63200000000000001</v>
      </c>
      <c r="BS67" s="167">
        <v>1.03E-2</v>
      </c>
      <c r="BT67" s="81">
        <v>61.45</v>
      </c>
      <c r="BU67" s="81" t="s">
        <v>422</v>
      </c>
      <c r="BV67" s="167">
        <v>2E-16</v>
      </c>
      <c r="BW67" s="81" t="s">
        <v>389</v>
      </c>
      <c r="CU67" s="258" t="s">
        <v>442</v>
      </c>
      <c r="CV67" s="258" t="s">
        <v>392</v>
      </c>
      <c r="CW67" s="259">
        <v>295</v>
      </c>
      <c r="CX67" s="259">
        <v>6.4899999999999999E-2</v>
      </c>
      <c r="CY67" s="258">
        <v>4539.7</v>
      </c>
      <c r="CZ67" s="258" t="s">
        <v>422</v>
      </c>
      <c r="DA67" s="167">
        <v>2E-16</v>
      </c>
      <c r="DB67" s="81" t="s">
        <v>389</v>
      </c>
      <c r="DC67" s="260" t="s">
        <v>467</v>
      </c>
      <c r="DD67" s="266" t="s">
        <v>350</v>
      </c>
      <c r="DE67" s="261" t="s">
        <v>323</v>
      </c>
      <c r="DF67" s="262">
        <f>CW94</f>
        <v>0.70099999999999996</v>
      </c>
      <c r="DG67" s="260" t="s">
        <v>322</v>
      </c>
      <c r="DI67" s="170" t="s">
        <v>467</v>
      </c>
      <c r="DJ67" s="297" t="s">
        <v>350</v>
      </c>
      <c r="DK67" s="291" t="s">
        <v>323</v>
      </c>
      <c r="DL67" s="170">
        <f>$AP35</f>
        <v>0.80712606884115246</v>
      </c>
      <c r="DM67" s="170" t="s">
        <v>322</v>
      </c>
      <c r="DO67" s="298" t="s">
        <v>442</v>
      </c>
      <c r="DP67" s="298" t="s">
        <v>392</v>
      </c>
      <c r="DQ67" s="302">
        <v>295</v>
      </c>
      <c r="DR67" s="302">
        <v>0.14799999999999999</v>
      </c>
      <c r="DS67" s="298">
        <v>1988.72</v>
      </c>
      <c r="DT67" s="298" t="s">
        <v>422</v>
      </c>
      <c r="DU67" s="302">
        <v>2E-16</v>
      </c>
      <c r="DV67" s="298" t="s">
        <v>389</v>
      </c>
      <c r="DW67" s="299" t="s">
        <v>467</v>
      </c>
      <c r="DX67" s="306" t="s">
        <v>350</v>
      </c>
      <c r="DY67" s="300" t="s">
        <v>323</v>
      </c>
      <c r="DZ67" s="301">
        <f>DQ94</f>
        <v>0.64500000000000002</v>
      </c>
      <c r="EA67" s="299" t="s">
        <v>322</v>
      </c>
    </row>
    <row r="68" spans="55:131" thickTop="1" thickBot="1" x14ac:dyDescent="0.3">
      <c r="BC68" s="81" t="s">
        <v>407</v>
      </c>
      <c r="BD68" s="167">
        <v>0.41799999999999998</v>
      </c>
      <c r="BE68" s="167">
        <v>5.2300000000000003E-3</v>
      </c>
      <c r="BF68" s="81">
        <v>79.87</v>
      </c>
      <c r="BG68" s="81" t="s">
        <v>422</v>
      </c>
      <c r="BH68" s="167">
        <v>2E-16</v>
      </c>
      <c r="BI68" s="81" t="s">
        <v>389</v>
      </c>
      <c r="BQ68" s="81" t="s">
        <v>408</v>
      </c>
      <c r="BR68" s="167">
        <v>7.3200000000000001E-2</v>
      </c>
      <c r="BS68" s="167">
        <v>1.1100000000000001E-3</v>
      </c>
      <c r="BT68" s="81">
        <v>65.86</v>
      </c>
      <c r="BU68" s="81" t="s">
        <v>422</v>
      </c>
      <c r="BV68" s="167">
        <v>2E-16</v>
      </c>
      <c r="BW68" s="81" t="s">
        <v>389</v>
      </c>
      <c r="CU68" s="258" t="s">
        <v>442</v>
      </c>
      <c r="CV68" s="258" t="s">
        <v>444</v>
      </c>
      <c r="CW68" s="259">
        <v>0.16600000000000001</v>
      </c>
      <c r="CX68" s="259">
        <v>4.6399999999999997E-2</v>
      </c>
      <c r="CY68" s="258">
        <v>3.58</v>
      </c>
      <c r="CZ68" s="258">
        <v>3.4000000000000002E-4</v>
      </c>
      <c r="DA68" s="81" t="s">
        <v>389</v>
      </c>
      <c r="DB68" s="81"/>
      <c r="DC68" s="260" t="s">
        <v>467</v>
      </c>
      <c r="DD68" s="266" t="s">
        <v>429</v>
      </c>
      <c r="DE68" s="261" t="s">
        <v>323</v>
      </c>
      <c r="DF68" s="262">
        <f>CW95</f>
        <v>6.0299999999999999E-2</v>
      </c>
      <c r="DG68" s="260" t="s">
        <v>322</v>
      </c>
      <c r="DI68" s="170" t="s">
        <v>467</v>
      </c>
      <c r="DJ68" s="297" t="s">
        <v>429</v>
      </c>
      <c r="DK68" s="291" t="s">
        <v>323</v>
      </c>
      <c r="DL68" s="170">
        <f>$AP47</f>
        <v>3.9402968886372014E-2</v>
      </c>
      <c r="DM68" s="170" t="s">
        <v>322</v>
      </c>
      <c r="DO68" s="298" t="s">
        <v>442</v>
      </c>
      <c r="DP68" s="298" t="s">
        <v>444</v>
      </c>
      <c r="DQ68" s="302">
        <v>0.17100000000000001</v>
      </c>
      <c r="DR68" s="302">
        <v>7.6999999999999999E-2</v>
      </c>
      <c r="DS68" s="298">
        <v>2.21</v>
      </c>
      <c r="DT68" s="298">
        <v>2.7E-2</v>
      </c>
      <c r="DU68" s="298" t="s">
        <v>434</v>
      </c>
      <c r="DW68" s="299" t="s">
        <v>467</v>
      </c>
      <c r="DX68" s="306" t="s">
        <v>429</v>
      </c>
      <c r="DY68" s="300" t="s">
        <v>323</v>
      </c>
      <c r="DZ68" s="301">
        <f>DQ95</f>
        <v>5.7099999999999998E-2</v>
      </c>
      <c r="EA68" s="299" t="s">
        <v>322</v>
      </c>
    </row>
    <row r="69" spans="55:131" thickTop="1" thickBot="1" x14ac:dyDescent="0.3">
      <c r="BC69" s="81" t="s">
        <v>408</v>
      </c>
      <c r="BD69" s="167">
        <v>0.126</v>
      </c>
      <c r="BE69" s="167">
        <v>1.1999999999999999E-3</v>
      </c>
      <c r="BF69" s="81">
        <v>104.99</v>
      </c>
      <c r="BG69" s="81" t="s">
        <v>422</v>
      </c>
      <c r="BH69" s="167">
        <v>2E-16</v>
      </c>
      <c r="BI69" s="81" t="s">
        <v>389</v>
      </c>
      <c r="BQ69" s="81" t="s">
        <v>410</v>
      </c>
      <c r="BR69" s="167">
        <v>219</v>
      </c>
      <c r="BS69" s="167">
        <v>4.1900000000000004</v>
      </c>
      <c r="BT69" s="81">
        <v>52.26</v>
      </c>
      <c r="BU69" s="81" t="s">
        <v>422</v>
      </c>
      <c r="BV69" s="167">
        <v>2E-16</v>
      </c>
      <c r="BW69" s="81" t="s">
        <v>389</v>
      </c>
      <c r="CU69" s="258" t="s">
        <v>442</v>
      </c>
      <c r="CV69" s="258" t="s">
        <v>341</v>
      </c>
      <c r="CW69" s="259">
        <v>0.44600000000000001</v>
      </c>
      <c r="CX69" s="259">
        <v>7.9299999999999995E-2</v>
      </c>
      <c r="CY69" s="258">
        <v>5.62</v>
      </c>
      <c r="CZ69" s="259">
        <v>2E-8</v>
      </c>
      <c r="DA69" s="81" t="s">
        <v>389</v>
      </c>
      <c r="DB69" s="81"/>
      <c r="DE69" s="261"/>
      <c r="DI69" s="170"/>
      <c r="DJ69" s="170"/>
      <c r="DK69" s="291"/>
      <c r="DL69" s="170"/>
      <c r="DM69" s="170"/>
      <c r="DO69" s="298" t="s">
        <v>442</v>
      </c>
      <c r="DP69" s="298" t="s">
        <v>341</v>
      </c>
      <c r="DQ69" s="302">
        <v>3.0899999999999999E-8</v>
      </c>
      <c r="DR69" s="302">
        <v>5.0899999999999997E-5</v>
      </c>
      <c r="DS69" s="298">
        <v>0</v>
      </c>
      <c r="DT69" s="302">
        <v>1</v>
      </c>
      <c r="DY69" s="300"/>
    </row>
    <row r="70" spans="55:131" thickTop="1" thickBot="1" x14ac:dyDescent="0.3">
      <c r="BC70" s="81" t="s">
        <v>410</v>
      </c>
      <c r="BD70" s="167">
        <v>568</v>
      </c>
      <c r="BE70" s="167">
        <v>16.100000000000001</v>
      </c>
      <c r="BF70" s="81">
        <v>35.270000000000003</v>
      </c>
      <c r="BG70" s="81" t="s">
        <v>422</v>
      </c>
      <c r="BH70" s="167">
        <v>2E-16</v>
      </c>
      <c r="BI70" s="81" t="s">
        <v>389</v>
      </c>
      <c r="BQ70" s="81" t="s">
        <v>295</v>
      </c>
      <c r="BR70" s="167">
        <v>85.9</v>
      </c>
      <c r="BS70" s="167">
        <v>0.65300000000000002</v>
      </c>
      <c r="BT70" s="81">
        <v>131.52000000000001</v>
      </c>
      <c r="BU70" s="81" t="s">
        <v>422</v>
      </c>
      <c r="BV70" s="167">
        <v>2E-16</v>
      </c>
      <c r="BW70" s="81" t="s">
        <v>389</v>
      </c>
      <c r="CU70" s="258" t="s">
        <v>442</v>
      </c>
      <c r="CV70" s="258" t="s">
        <v>445</v>
      </c>
      <c r="CW70" s="259">
        <v>0.67</v>
      </c>
      <c r="CX70" s="259">
        <v>2.63E-2</v>
      </c>
      <c r="CY70" s="258">
        <v>25.46</v>
      </c>
      <c r="CZ70" s="258" t="s">
        <v>422</v>
      </c>
      <c r="DA70" s="167">
        <v>2E-16</v>
      </c>
      <c r="DB70" s="81" t="s">
        <v>389</v>
      </c>
      <c r="DC70" s="260" t="s">
        <v>467</v>
      </c>
      <c r="DD70" s="266" t="s">
        <v>352</v>
      </c>
      <c r="DE70" s="261" t="s">
        <v>323</v>
      </c>
      <c r="DF70" s="262">
        <f>CW96</f>
        <v>257</v>
      </c>
      <c r="DG70" s="260" t="s">
        <v>322</v>
      </c>
      <c r="DI70" s="170" t="s">
        <v>467</v>
      </c>
      <c r="DJ70" s="297" t="s">
        <v>352</v>
      </c>
      <c r="DK70" s="291" t="s">
        <v>323</v>
      </c>
      <c r="DL70" s="170">
        <f>$AP37</f>
        <v>258.92850261069572</v>
      </c>
      <c r="DM70" s="170" t="s">
        <v>322</v>
      </c>
      <c r="DO70" s="298" t="s">
        <v>442</v>
      </c>
      <c r="DP70" s="298" t="s">
        <v>445</v>
      </c>
      <c r="DQ70" s="302">
        <v>0.65</v>
      </c>
      <c r="DR70" s="302">
        <v>4.4200000000000003E-2</v>
      </c>
      <c r="DS70" s="298">
        <v>14.7</v>
      </c>
      <c r="DT70" s="298" t="s">
        <v>422</v>
      </c>
      <c r="DU70" s="302">
        <v>2E-16</v>
      </c>
      <c r="DV70" s="298" t="s">
        <v>389</v>
      </c>
      <c r="DW70" s="299" t="s">
        <v>467</v>
      </c>
      <c r="DX70" s="306" t="s">
        <v>352</v>
      </c>
      <c r="DY70" s="300" t="s">
        <v>323</v>
      </c>
      <c r="DZ70" s="301">
        <f>DQ96</f>
        <v>206</v>
      </c>
      <c r="EA70" s="299" t="s">
        <v>322</v>
      </c>
    </row>
    <row r="71" spans="55:131" thickTop="1" thickBot="1" x14ac:dyDescent="0.3">
      <c r="BC71" s="81" t="s">
        <v>295</v>
      </c>
      <c r="BD71" s="167">
        <v>238</v>
      </c>
      <c r="BE71" s="167">
        <v>1.01</v>
      </c>
      <c r="BF71" s="81">
        <v>236.64</v>
      </c>
      <c r="BG71" s="81" t="s">
        <v>422</v>
      </c>
      <c r="BH71" s="167">
        <v>2E-16</v>
      </c>
      <c r="BI71" s="81" t="s">
        <v>389</v>
      </c>
      <c r="BQ71" s="81" t="s">
        <v>120</v>
      </c>
      <c r="BR71" s="167">
        <v>49.4</v>
      </c>
      <c r="BS71" s="167">
        <v>1.8</v>
      </c>
      <c r="BT71" s="81">
        <v>27.51</v>
      </c>
      <c r="BU71" s="81" t="s">
        <v>422</v>
      </c>
      <c r="BV71" s="167">
        <v>2E-16</v>
      </c>
      <c r="BW71" s="81" t="s">
        <v>389</v>
      </c>
      <c r="CU71" s="258" t="s">
        <v>442</v>
      </c>
      <c r="CV71" s="258" t="s">
        <v>446</v>
      </c>
      <c r="CW71" s="259">
        <v>0.745</v>
      </c>
      <c r="CX71" s="259">
        <v>1.84E-2</v>
      </c>
      <c r="CY71" s="258">
        <v>40.46</v>
      </c>
      <c r="CZ71" s="258" t="s">
        <v>422</v>
      </c>
      <c r="DA71" s="167">
        <v>2E-16</v>
      </c>
      <c r="DB71" s="81" t="s">
        <v>389</v>
      </c>
      <c r="DC71" s="260" t="s">
        <v>467</v>
      </c>
      <c r="DD71" s="266" t="s">
        <v>354</v>
      </c>
      <c r="DE71" s="261" t="s">
        <v>323</v>
      </c>
      <c r="DF71" s="262">
        <f>CW97</f>
        <v>250</v>
      </c>
      <c r="DG71" s="260" t="s">
        <v>322</v>
      </c>
      <c r="DI71" s="170" t="s">
        <v>467</v>
      </c>
      <c r="DJ71" s="297" t="s">
        <v>354</v>
      </c>
      <c r="DK71" s="291" t="s">
        <v>323</v>
      </c>
      <c r="DL71" s="170">
        <f>$AP38</f>
        <v>299.14856507631225</v>
      </c>
      <c r="DM71" s="170" t="s">
        <v>322</v>
      </c>
      <c r="DO71" s="298" t="s">
        <v>442</v>
      </c>
      <c r="DP71" s="298" t="s">
        <v>446</v>
      </c>
      <c r="DQ71" s="302">
        <v>0.879</v>
      </c>
      <c r="DR71" s="302">
        <v>3.7499999999999999E-2</v>
      </c>
      <c r="DS71" s="298">
        <v>23.45</v>
      </c>
      <c r="DT71" s="298" t="s">
        <v>422</v>
      </c>
      <c r="DU71" s="302">
        <v>2E-16</v>
      </c>
      <c r="DV71" s="298" t="s">
        <v>389</v>
      </c>
      <c r="DW71" s="299" t="s">
        <v>467</v>
      </c>
      <c r="DX71" s="306" t="s">
        <v>354</v>
      </c>
      <c r="DY71" s="300" t="s">
        <v>323</v>
      </c>
      <c r="DZ71" s="301">
        <f>DQ97</f>
        <v>318</v>
      </c>
      <c r="EA71" s="299" t="s">
        <v>322</v>
      </c>
    </row>
    <row r="72" spans="55:131" thickTop="1" thickBot="1" x14ac:dyDescent="0.3">
      <c r="BC72" s="81" t="s">
        <v>120</v>
      </c>
      <c r="BD72" s="167">
        <v>58</v>
      </c>
      <c r="BE72" s="167">
        <v>0.107</v>
      </c>
      <c r="BF72" s="81">
        <v>543.78</v>
      </c>
      <c r="BG72" s="81" t="s">
        <v>422</v>
      </c>
      <c r="BH72" s="167">
        <v>2E-16</v>
      </c>
      <c r="BI72" s="81" t="s">
        <v>389</v>
      </c>
      <c r="BQ72" s="81" t="s">
        <v>412</v>
      </c>
      <c r="BR72" s="167">
        <v>-4.6100000000000003</v>
      </c>
      <c r="BS72" s="167">
        <v>2.1399999999999999E-2</v>
      </c>
      <c r="BT72" s="81">
        <v>-215.25</v>
      </c>
      <c r="BU72" s="81" t="s">
        <v>422</v>
      </c>
      <c r="BV72" s="167">
        <v>2E-16</v>
      </c>
      <c r="BW72" s="81" t="s">
        <v>389</v>
      </c>
      <c r="CU72" s="258" t="s">
        <v>442</v>
      </c>
      <c r="CV72" s="258" t="s">
        <v>447</v>
      </c>
      <c r="CW72" s="259">
        <v>0.83299999999999996</v>
      </c>
      <c r="CX72" s="259">
        <v>2.8899999999999999E-2</v>
      </c>
      <c r="CY72" s="258">
        <v>28.81</v>
      </c>
      <c r="CZ72" s="258" t="s">
        <v>422</v>
      </c>
      <c r="DA72" s="167">
        <v>2E-16</v>
      </c>
      <c r="DB72" s="81" t="s">
        <v>389</v>
      </c>
      <c r="DC72" s="260" t="s">
        <v>467</v>
      </c>
      <c r="DD72" s="266" t="s">
        <v>355</v>
      </c>
      <c r="DE72" s="261" t="s">
        <v>323</v>
      </c>
      <c r="DF72" s="262">
        <f>CW98</f>
        <v>94.8</v>
      </c>
      <c r="DG72" s="260" t="s">
        <v>322</v>
      </c>
      <c r="DI72" s="170" t="s">
        <v>467</v>
      </c>
      <c r="DJ72" s="297" t="s">
        <v>355</v>
      </c>
      <c r="DK72" s="291" t="s">
        <v>323</v>
      </c>
      <c r="DL72" s="296">
        <f>$AP39</f>
        <v>100.65734672527473</v>
      </c>
      <c r="DM72" s="170" t="s">
        <v>322</v>
      </c>
      <c r="DO72" s="298" t="s">
        <v>442</v>
      </c>
      <c r="DP72" s="298" t="s">
        <v>447</v>
      </c>
      <c r="DQ72" s="302">
        <v>0.92600000000000005</v>
      </c>
      <c r="DR72" s="302">
        <v>6.2199999999999998E-2</v>
      </c>
      <c r="DS72" s="298">
        <v>14.89</v>
      </c>
      <c r="DT72" s="298" t="s">
        <v>422</v>
      </c>
      <c r="DU72" s="302">
        <v>2E-16</v>
      </c>
      <c r="DV72" s="298" t="s">
        <v>389</v>
      </c>
      <c r="DW72" s="299" t="s">
        <v>467</v>
      </c>
      <c r="DX72" s="306" t="s">
        <v>355</v>
      </c>
      <c r="DY72" s="300" t="s">
        <v>323</v>
      </c>
      <c r="DZ72" s="301">
        <f>DQ98</f>
        <v>89.2</v>
      </c>
      <c r="EA72" s="299" t="s">
        <v>322</v>
      </c>
    </row>
    <row r="73" spans="55:131" thickTop="1" thickBot="1" x14ac:dyDescent="0.3">
      <c r="BC73" s="81" t="s">
        <v>412</v>
      </c>
      <c r="BD73" s="167">
        <v>-15.3</v>
      </c>
      <c r="BE73" s="167">
        <v>0.30099999999999999</v>
      </c>
      <c r="BF73" s="81">
        <v>-50.74</v>
      </c>
      <c r="BG73" s="81" t="s">
        <v>422</v>
      </c>
      <c r="BH73" s="167">
        <v>2E-16</v>
      </c>
      <c r="BI73" s="81" t="s">
        <v>389</v>
      </c>
      <c r="BQ73" s="81" t="s">
        <v>413</v>
      </c>
      <c r="BR73" s="167">
        <v>-4.8499999999999996</v>
      </c>
      <c r="BS73" s="167">
        <v>2.2599999999999999E-2</v>
      </c>
      <c r="BT73" s="81">
        <v>-214.32</v>
      </c>
      <c r="BU73" s="81" t="s">
        <v>422</v>
      </c>
      <c r="BV73" s="167">
        <v>2E-16</v>
      </c>
      <c r="BW73" s="81" t="s">
        <v>389</v>
      </c>
      <c r="CU73" s="258" t="s">
        <v>442</v>
      </c>
      <c r="CV73" s="258" t="s">
        <v>342</v>
      </c>
      <c r="CW73" s="259">
        <v>0.57799999999999996</v>
      </c>
      <c r="CX73" s="259">
        <v>6.3600000000000004E-2</v>
      </c>
      <c r="CY73" s="258">
        <v>9.09</v>
      </c>
      <c r="CZ73" s="259" t="s">
        <v>422</v>
      </c>
      <c r="DA73" s="167">
        <v>2E-16</v>
      </c>
      <c r="DB73" s="81" t="s">
        <v>389</v>
      </c>
      <c r="DC73" s="260" t="s">
        <v>467</v>
      </c>
      <c r="DD73" s="266" t="s">
        <v>357</v>
      </c>
      <c r="DE73" s="261" t="s">
        <v>323</v>
      </c>
      <c r="DF73" s="262">
        <f>1/CW103</f>
        <v>255.7544757033248</v>
      </c>
      <c r="DG73" s="260" t="s">
        <v>322</v>
      </c>
      <c r="DI73" s="170" t="s">
        <v>467</v>
      </c>
      <c r="DJ73" s="297" t="s">
        <v>357</v>
      </c>
      <c r="DK73" s="291" t="s">
        <v>323</v>
      </c>
      <c r="DL73" s="170">
        <f>$AP40</f>
        <v>563.57766902352603</v>
      </c>
      <c r="DM73" s="170" t="s">
        <v>322</v>
      </c>
      <c r="DO73" s="298" t="s">
        <v>442</v>
      </c>
      <c r="DP73" s="298" t="s">
        <v>342</v>
      </c>
      <c r="DQ73" s="302">
        <v>1.33</v>
      </c>
      <c r="DR73" s="302">
        <v>0.13800000000000001</v>
      </c>
      <c r="DS73" s="298">
        <v>9.68</v>
      </c>
      <c r="DT73" s="302" t="s">
        <v>422</v>
      </c>
      <c r="DU73" s="302">
        <v>2E-16</v>
      </c>
      <c r="DV73" s="298" t="s">
        <v>389</v>
      </c>
      <c r="DW73" s="299" t="s">
        <v>467</v>
      </c>
      <c r="DX73" s="306" t="s">
        <v>357</v>
      </c>
      <c r="DY73" s="300" t="s">
        <v>323</v>
      </c>
      <c r="DZ73" s="301">
        <f>1/DQ103</f>
        <v>304.8780487804878</v>
      </c>
      <c r="EA73" s="299" t="s">
        <v>322</v>
      </c>
    </row>
    <row r="74" spans="55:131" thickTop="1" thickBot="1" x14ac:dyDescent="0.3">
      <c r="BC74" s="81" t="s">
        <v>413</v>
      </c>
      <c r="BD74" s="167">
        <v>-5.4</v>
      </c>
      <c r="BE74" s="167">
        <v>2.6700000000000002E-2</v>
      </c>
      <c r="BF74" s="81">
        <v>-202.07</v>
      </c>
      <c r="BG74" s="81" t="s">
        <v>422</v>
      </c>
      <c r="BH74" s="167">
        <v>2E-16</v>
      </c>
      <c r="BI74" s="81" t="s">
        <v>389</v>
      </c>
      <c r="BQ74" s="81" t="s">
        <v>414</v>
      </c>
      <c r="BR74" s="167">
        <v>-5.68</v>
      </c>
      <c r="BS74" s="167">
        <v>2.2200000000000001E-2</v>
      </c>
      <c r="BT74" s="81">
        <v>-255.8</v>
      </c>
      <c r="BU74" s="81" t="s">
        <v>422</v>
      </c>
      <c r="BV74" s="167">
        <v>2E-16</v>
      </c>
      <c r="BW74" s="81" t="s">
        <v>389</v>
      </c>
      <c r="CU74" s="258" t="s">
        <v>442</v>
      </c>
      <c r="CV74" s="258" t="s">
        <v>448</v>
      </c>
      <c r="CW74" s="259">
        <v>0.89200000000000002</v>
      </c>
      <c r="CX74" s="259">
        <v>1.7100000000000001E-2</v>
      </c>
      <c r="CY74" s="258">
        <v>52.08</v>
      </c>
      <c r="CZ74" s="258" t="s">
        <v>422</v>
      </c>
      <c r="DA74" s="167">
        <v>2E-16</v>
      </c>
      <c r="DB74" s="81" t="s">
        <v>389</v>
      </c>
      <c r="DE74" s="261"/>
      <c r="DI74" s="170"/>
      <c r="DJ74" s="170"/>
      <c r="DK74" s="291"/>
      <c r="DL74" s="170"/>
      <c r="DM74" s="170"/>
      <c r="DO74" s="298" t="s">
        <v>442</v>
      </c>
      <c r="DP74" s="298" t="s">
        <v>448</v>
      </c>
      <c r="DQ74" s="302">
        <v>1.03</v>
      </c>
      <c r="DR74" s="302">
        <v>3.2500000000000001E-2</v>
      </c>
      <c r="DS74" s="298">
        <v>31.6</v>
      </c>
      <c r="DT74" s="298" t="s">
        <v>422</v>
      </c>
      <c r="DU74" s="302">
        <v>2E-16</v>
      </c>
      <c r="DV74" s="298" t="s">
        <v>389</v>
      </c>
      <c r="DY74" s="300"/>
    </row>
    <row r="75" spans="55:131" thickTop="1" thickBot="1" x14ac:dyDescent="0.3">
      <c r="BC75" s="81" t="s">
        <v>414</v>
      </c>
      <c r="BD75" s="167">
        <v>-7.38</v>
      </c>
      <c r="BE75" s="167">
        <v>2.1499999999999998E-2</v>
      </c>
      <c r="BF75" s="81">
        <v>-343.38</v>
      </c>
      <c r="BG75" s="81" t="s">
        <v>422</v>
      </c>
      <c r="BH75" s="167">
        <v>2E-16</v>
      </c>
      <c r="BI75" s="81" t="s">
        <v>389</v>
      </c>
      <c r="BQ75" s="81" t="s">
        <v>415</v>
      </c>
      <c r="BR75" s="167">
        <v>-5.31</v>
      </c>
      <c r="BS75" s="167">
        <v>2.2599999999999999E-2</v>
      </c>
      <c r="BT75" s="81">
        <v>-234.52</v>
      </c>
      <c r="BU75" s="81" t="s">
        <v>422</v>
      </c>
      <c r="BV75" s="167">
        <v>2E-16</v>
      </c>
      <c r="BW75" s="81" t="s">
        <v>389</v>
      </c>
      <c r="CU75" s="258" t="s">
        <v>442</v>
      </c>
      <c r="CV75" s="258" t="s">
        <v>449</v>
      </c>
      <c r="CW75" s="259">
        <v>0.44</v>
      </c>
      <c r="CX75" s="259">
        <v>1.2200000000000001E-2</v>
      </c>
      <c r="CY75" s="258">
        <v>36.08</v>
      </c>
      <c r="CZ75" s="258" t="s">
        <v>422</v>
      </c>
      <c r="DA75" s="167">
        <v>2E-16</v>
      </c>
      <c r="DB75" s="81" t="s">
        <v>389</v>
      </c>
      <c r="DC75" s="260" t="s">
        <v>467</v>
      </c>
      <c r="DD75" s="266" t="s">
        <v>424</v>
      </c>
      <c r="DE75" s="261" t="s">
        <v>323</v>
      </c>
      <c r="DF75" s="262">
        <f>CW116</f>
        <v>995000000</v>
      </c>
      <c r="DG75" s="260" t="s">
        <v>322</v>
      </c>
      <c r="DI75" s="170" t="s">
        <v>467</v>
      </c>
      <c r="DJ75" s="297" t="s">
        <v>424</v>
      </c>
      <c r="DK75" s="291" t="s">
        <v>323</v>
      </c>
      <c r="DL75" s="170">
        <f>$AP44</f>
        <v>20420677.500000004</v>
      </c>
      <c r="DM75" s="170" t="s">
        <v>322</v>
      </c>
      <c r="DO75" s="298" t="s">
        <v>442</v>
      </c>
      <c r="DP75" s="298" t="s">
        <v>449</v>
      </c>
      <c r="DQ75" s="302">
        <v>0.41499999999999998</v>
      </c>
      <c r="DR75" s="302">
        <v>2.6100000000000002E-2</v>
      </c>
      <c r="DS75" s="298">
        <v>15.93</v>
      </c>
      <c r="DT75" s="298" t="s">
        <v>422</v>
      </c>
      <c r="DU75" s="302">
        <v>2E-16</v>
      </c>
      <c r="DV75" s="298" t="s">
        <v>389</v>
      </c>
      <c r="DW75" s="299" t="s">
        <v>467</v>
      </c>
      <c r="DX75" s="306" t="s">
        <v>424</v>
      </c>
      <c r="DY75" s="300" t="s">
        <v>323</v>
      </c>
      <c r="DZ75" s="301">
        <f>DQ116</f>
        <v>993000000</v>
      </c>
      <c r="EA75" s="299" t="s">
        <v>322</v>
      </c>
    </row>
    <row r="76" spans="55:131" thickTop="1" thickBot="1" x14ac:dyDescent="0.3">
      <c r="BC76" s="81" t="s">
        <v>415</v>
      </c>
      <c r="BD76" s="167">
        <v>-6.87</v>
      </c>
      <c r="BE76" s="167">
        <v>1.9699999999999999E-2</v>
      </c>
      <c r="BF76" s="81">
        <v>-347.91</v>
      </c>
      <c r="BG76" s="81" t="s">
        <v>422</v>
      </c>
      <c r="BH76" s="167">
        <v>2E-16</v>
      </c>
      <c r="BI76" s="81" t="s">
        <v>389</v>
      </c>
      <c r="BQ76" s="81" t="s">
        <v>417</v>
      </c>
      <c r="BR76" s="167">
        <v>2.8500000000000001E-3</v>
      </c>
      <c r="BS76" s="167">
        <v>7.6799999999999997E-5</v>
      </c>
      <c r="BT76" s="81">
        <v>37.07</v>
      </c>
      <c r="BU76" s="81" t="s">
        <v>422</v>
      </c>
      <c r="BV76" s="167">
        <v>2E-16</v>
      </c>
      <c r="BW76" s="81" t="s">
        <v>389</v>
      </c>
      <c r="CU76" s="258" t="s">
        <v>442</v>
      </c>
      <c r="CV76" s="258" t="s">
        <v>450</v>
      </c>
      <c r="CW76" s="259">
        <v>0.14299999999999999</v>
      </c>
      <c r="CX76" s="259">
        <v>7.2499999999999995E-2</v>
      </c>
      <c r="CY76" s="258">
        <v>1.97</v>
      </c>
      <c r="CZ76" s="258">
        <v>4.8649999999999999E-2</v>
      </c>
      <c r="DA76" s="81" t="s">
        <v>434</v>
      </c>
      <c r="DB76" s="81"/>
      <c r="DC76" s="260" t="s">
        <v>467</v>
      </c>
      <c r="DD76" s="266" t="s">
        <v>364</v>
      </c>
      <c r="DE76" s="261" t="s">
        <v>323</v>
      </c>
      <c r="DF76" s="262">
        <f>CW117</f>
        <v>995000000</v>
      </c>
      <c r="DG76" s="260" t="s">
        <v>322</v>
      </c>
      <c r="DI76" s="170" t="s">
        <v>467</v>
      </c>
      <c r="DJ76" s="297" t="s">
        <v>364</v>
      </c>
      <c r="DK76" s="291" t="s">
        <v>323</v>
      </c>
      <c r="DL76" s="170">
        <f>$AP45</f>
        <v>20420677.500000004</v>
      </c>
      <c r="DM76" s="170" t="s">
        <v>322</v>
      </c>
      <c r="DO76" s="298" t="s">
        <v>442</v>
      </c>
      <c r="DP76" s="298" t="s">
        <v>450</v>
      </c>
      <c r="DQ76" s="302">
        <v>0.24399999999999999</v>
      </c>
      <c r="DR76" s="302">
        <v>0.191</v>
      </c>
      <c r="DS76" s="298">
        <v>1.28</v>
      </c>
      <c r="DT76" s="298">
        <v>0.20200000000000001</v>
      </c>
      <c r="DW76" s="299" t="s">
        <v>467</v>
      </c>
      <c r="DX76" s="306" t="s">
        <v>364</v>
      </c>
      <c r="DY76" s="300" t="s">
        <v>323</v>
      </c>
      <c r="DZ76" s="301">
        <f>DQ117</f>
        <v>991000000</v>
      </c>
      <c r="EA76" s="299" t="s">
        <v>322</v>
      </c>
    </row>
    <row r="77" spans="55:131" thickTop="1" thickBot="1" x14ac:dyDescent="0.3">
      <c r="BC77" s="81" t="s">
        <v>417</v>
      </c>
      <c r="BD77" s="167">
        <v>4.64E-3</v>
      </c>
      <c r="BE77" s="167">
        <v>2.4600000000000002E-5</v>
      </c>
      <c r="BF77" s="81">
        <v>188.79</v>
      </c>
      <c r="BG77" s="81" t="s">
        <v>422</v>
      </c>
      <c r="BH77" s="167">
        <v>2E-16</v>
      </c>
      <c r="BI77" s="81" t="s">
        <v>389</v>
      </c>
      <c r="BQ77" s="81" t="s">
        <v>418</v>
      </c>
      <c r="BR77" s="167">
        <v>170</v>
      </c>
      <c r="BS77" s="167">
        <v>1.77</v>
      </c>
      <c r="BT77" s="81">
        <v>96.07</v>
      </c>
      <c r="BU77" s="81" t="s">
        <v>422</v>
      </c>
      <c r="BV77" s="167">
        <v>2E-16</v>
      </c>
      <c r="BW77" s="81" t="s">
        <v>389</v>
      </c>
      <c r="CU77" s="258" t="s">
        <v>442</v>
      </c>
      <c r="CV77" s="258" t="s">
        <v>343</v>
      </c>
      <c r="CW77" s="259">
        <v>2.81E-8</v>
      </c>
      <c r="CX77" s="259">
        <v>1.63E-5</v>
      </c>
      <c r="CY77" s="258">
        <v>0</v>
      </c>
      <c r="CZ77" s="258">
        <v>0.99861999999999995</v>
      </c>
      <c r="DA77" s="81"/>
      <c r="DB77" s="81"/>
      <c r="DC77" s="260" t="s">
        <v>467</v>
      </c>
      <c r="DD77" s="266" t="s">
        <v>370</v>
      </c>
      <c r="DE77" s="261" t="s">
        <v>323</v>
      </c>
      <c r="DF77" s="262">
        <f>CW124</f>
        <v>80.2</v>
      </c>
      <c r="DG77" s="260" t="s">
        <v>322</v>
      </c>
      <c r="DI77" s="170" t="s">
        <v>467</v>
      </c>
      <c r="DJ77" s="297" t="s">
        <v>370</v>
      </c>
      <c r="DK77" s="291" t="s">
        <v>323</v>
      </c>
      <c r="DL77" s="170">
        <f>$AP48</f>
        <v>532.62958579881661</v>
      </c>
      <c r="DM77" s="170" t="s">
        <v>322</v>
      </c>
      <c r="DO77" s="298" t="s">
        <v>442</v>
      </c>
      <c r="DP77" s="298" t="s">
        <v>343</v>
      </c>
      <c r="DQ77" s="302">
        <v>0.38</v>
      </c>
      <c r="DR77" s="302">
        <v>0.25700000000000001</v>
      </c>
      <c r="DS77" s="298">
        <v>1.48</v>
      </c>
      <c r="DT77" s="298">
        <v>0.13900000000000001</v>
      </c>
      <c r="DW77" s="299" t="s">
        <v>467</v>
      </c>
      <c r="DX77" s="306" t="s">
        <v>370</v>
      </c>
      <c r="DY77" s="300" t="s">
        <v>323</v>
      </c>
      <c r="DZ77" s="301">
        <f>DQ124</f>
        <v>166</v>
      </c>
      <c r="EA77" s="299" t="s">
        <v>322</v>
      </c>
    </row>
    <row r="78" spans="55:131" thickTop="1" thickBot="1" x14ac:dyDescent="0.3">
      <c r="BC78" s="81" t="s">
        <v>418</v>
      </c>
      <c r="BD78" s="167">
        <v>492</v>
      </c>
      <c r="BE78" s="167">
        <v>2.67</v>
      </c>
      <c r="BF78" s="81">
        <v>184.53</v>
      </c>
      <c r="BG78" s="81" t="s">
        <v>422</v>
      </c>
      <c r="BH78" s="167">
        <v>2E-16</v>
      </c>
      <c r="BI78" s="81" t="s">
        <v>389</v>
      </c>
      <c r="BQ78" s="81" t="s">
        <v>419</v>
      </c>
      <c r="BR78" s="167">
        <v>1380</v>
      </c>
      <c r="BS78" s="167">
        <v>946</v>
      </c>
      <c r="BT78" s="81">
        <v>1.46</v>
      </c>
      <c r="BU78" s="81">
        <v>0.14507999999999999</v>
      </c>
      <c r="BV78" s="81"/>
      <c r="BW78" s="81"/>
      <c r="CU78" s="258" t="s">
        <v>442</v>
      </c>
      <c r="CV78" s="258" t="s">
        <v>451</v>
      </c>
      <c r="CW78" s="259">
        <v>9.9099999999999994E-2</v>
      </c>
      <c r="CX78" s="259">
        <v>3.8199999999999998E-2</v>
      </c>
      <c r="CY78" s="258">
        <v>2.59</v>
      </c>
      <c r="CZ78" s="258">
        <v>9.5499999999999995E-3</v>
      </c>
      <c r="DA78" s="81" t="s">
        <v>425</v>
      </c>
      <c r="DB78" s="81"/>
      <c r="DC78" s="260" t="s">
        <v>467</v>
      </c>
      <c r="DD78" s="266" t="s">
        <v>372</v>
      </c>
      <c r="DE78" s="261" t="s">
        <v>323</v>
      </c>
      <c r="DF78" s="262">
        <f>CW125</f>
        <v>1.32E-3</v>
      </c>
      <c r="DG78" s="260" t="s">
        <v>322</v>
      </c>
      <c r="DI78" s="170" t="s">
        <v>467</v>
      </c>
      <c r="DJ78" s="297" t="s">
        <v>372</v>
      </c>
      <c r="DK78" s="291" t="s">
        <v>323</v>
      </c>
      <c r="DL78" s="170">
        <f>$AP49</f>
        <v>266.3147928994083</v>
      </c>
      <c r="DM78" s="170" t="s">
        <v>322</v>
      </c>
      <c r="DO78" s="298" t="s">
        <v>442</v>
      </c>
      <c r="DP78" s="298" t="s">
        <v>451</v>
      </c>
      <c r="DQ78" s="302">
        <v>0.15</v>
      </c>
      <c r="DR78" s="302">
        <v>7.3700000000000002E-2</v>
      </c>
      <c r="DS78" s="298">
        <v>2.04</v>
      </c>
      <c r="DT78" s="298">
        <v>4.1000000000000002E-2</v>
      </c>
      <c r="DU78" s="298" t="s">
        <v>434</v>
      </c>
      <c r="DW78" s="299" t="s">
        <v>467</v>
      </c>
      <c r="DX78" s="306" t="s">
        <v>372</v>
      </c>
      <c r="DY78" s="300" t="s">
        <v>323</v>
      </c>
      <c r="DZ78" s="301">
        <f>DQ125</f>
        <v>393</v>
      </c>
      <c r="EA78" s="299" t="s">
        <v>322</v>
      </c>
    </row>
    <row r="79" spans="55:131" thickTop="1" thickBot="1" x14ac:dyDescent="0.3">
      <c r="BC79" s="81" t="s">
        <v>419</v>
      </c>
      <c r="BD79" s="167">
        <v>210</v>
      </c>
      <c r="BE79" s="167">
        <v>7.91</v>
      </c>
      <c r="BF79" s="81">
        <v>26.58</v>
      </c>
      <c r="BG79" s="81" t="s">
        <v>422</v>
      </c>
      <c r="BH79" s="167">
        <v>2E-16</v>
      </c>
      <c r="BI79" s="81" t="s">
        <v>389</v>
      </c>
      <c r="CU79" s="258" t="s">
        <v>442</v>
      </c>
      <c r="CV79" s="258" t="s">
        <v>452</v>
      </c>
      <c r="CW79" s="259">
        <v>0.27300000000000002</v>
      </c>
      <c r="CX79" s="259">
        <v>3.1199999999999999E-2</v>
      </c>
      <c r="CY79" s="258">
        <v>8.74</v>
      </c>
      <c r="CZ79" s="258" t="s">
        <v>422</v>
      </c>
      <c r="DA79" s="167">
        <v>2E-16</v>
      </c>
      <c r="DB79" s="81" t="s">
        <v>389</v>
      </c>
      <c r="DC79" s="260" t="s">
        <v>467</v>
      </c>
      <c r="DD79" s="266" t="s">
        <v>374</v>
      </c>
      <c r="DE79" s="261" t="s">
        <v>323</v>
      </c>
      <c r="DF79" s="262">
        <f>CW126</f>
        <v>136</v>
      </c>
      <c r="DG79" s="260" t="s">
        <v>322</v>
      </c>
      <c r="DI79" s="170" t="s">
        <v>467</v>
      </c>
      <c r="DJ79" s="297" t="s">
        <v>374</v>
      </c>
      <c r="DK79" s="291" t="s">
        <v>323</v>
      </c>
      <c r="DL79" s="170">
        <f>$AP50</f>
        <v>532.62958579881661</v>
      </c>
      <c r="DM79" s="170" t="s">
        <v>322</v>
      </c>
      <c r="DO79" s="298" t="s">
        <v>442</v>
      </c>
      <c r="DP79" s="298" t="s">
        <v>452</v>
      </c>
      <c r="DQ79" s="302">
        <v>0.33600000000000002</v>
      </c>
      <c r="DR79" s="302">
        <v>7.3999999999999996E-2</v>
      </c>
      <c r="DS79" s="298">
        <v>4.54</v>
      </c>
      <c r="DT79" s="302">
        <v>5.6999999999999996E-6</v>
      </c>
      <c r="DU79" s="302" t="s">
        <v>389</v>
      </c>
      <c r="DW79" s="299" t="s">
        <v>467</v>
      </c>
      <c r="DX79" s="306" t="s">
        <v>374</v>
      </c>
      <c r="DY79" s="300" t="s">
        <v>323</v>
      </c>
      <c r="DZ79" s="301">
        <f>DQ126</f>
        <v>92.4</v>
      </c>
      <c r="EA79" s="299" t="s">
        <v>322</v>
      </c>
    </row>
    <row r="80" spans="55:131" thickTop="1" thickBot="1" x14ac:dyDescent="0.3">
      <c r="BQ80" s="81" t="s">
        <v>433</v>
      </c>
      <c r="BR80" s="81" t="s">
        <v>435</v>
      </c>
      <c r="BS80" s="81"/>
      <c r="BT80" s="81"/>
      <c r="BU80" s="81"/>
      <c r="BV80" s="81"/>
      <c r="BW80" s="81"/>
      <c r="CU80" s="258" t="s">
        <v>442</v>
      </c>
      <c r="CV80" s="258" t="s">
        <v>453</v>
      </c>
      <c r="CW80" s="259">
        <v>0.56999999999999995</v>
      </c>
      <c r="CX80" s="259">
        <v>2.6700000000000002E-2</v>
      </c>
      <c r="CY80" s="258">
        <v>21.35</v>
      </c>
      <c r="CZ80" s="258" t="s">
        <v>422</v>
      </c>
      <c r="DA80" s="167">
        <v>2E-16</v>
      </c>
      <c r="DB80" s="81" t="s">
        <v>389</v>
      </c>
      <c r="DO80" s="298" t="s">
        <v>442</v>
      </c>
      <c r="DP80" s="298" t="s">
        <v>453</v>
      </c>
      <c r="DQ80" s="302">
        <v>0.40400000000000003</v>
      </c>
      <c r="DR80" s="302">
        <v>2.63E-2</v>
      </c>
      <c r="DS80" s="298">
        <v>15.38</v>
      </c>
      <c r="DT80" s="298" t="s">
        <v>422</v>
      </c>
      <c r="DU80" s="302">
        <v>2E-16</v>
      </c>
      <c r="DV80" s="298" t="s">
        <v>389</v>
      </c>
    </row>
    <row r="81" spans="55:126" thickTop="1" thickBot="1" x14ac:dyDescent="0.3">
      <c r="BQ81" s="81" t="s">
        <v>380</v>
      </c>
      <c r="BR81" s="81"/>
      <c r="BS81" s="81"/>
      <c r="BT81" s="81"/>
      <c r="BU81" s="81"/>
      <c r="BV81" s="81"/>
      <c r="BW81" s="81"/>
      <c r="CU81" s="258" t="s">
        <v>442</v>
      </c>
      <c r="CV81" s="258" t="s">
        <v>454</v>
      </c>
      <c r="CW81" s="259">
        <v>0.70499999999999996</v>
      </c>
      <c r="CX81" s="259">
        <v>5.0700000000000002E-2</v>
      </c>
      <c r="CY81" s="258">
        <v>13.91</v>
      </c>
      <c r="CZ81" s="258" t="s">
        <v>422</v>
      </c>
      <c r="DA81" s="167">
        <v>2E-16</v>
      </c>
      <c r="DB81" s="81" t="s">
        <v>389</v>
      </c>
      <c r="DO81" s="298" t="s">
        <v>442</v>
      </c>
      <c r="DP81" s="298" t="s">
        <v>454</v>
      </c>
      <c r="DQ81" s="302">
        <v>0.28399999999999997</v>
      </c>
      <c r="DR81" s="302">
        <v>6.0400000000000002E-2</v>
      </c>
      <c r="DS81" s="298">
        <v>4.71</v>
      </c>
      <c r="DT81" s="302">
        <v>2.6000000000000001E-6</v>
      </c>
      <c r="DU81" s="302" t="s">
        <v>389</v>
      </c>
    </row>
    <row r="82" spans="55:126" thickTop="1" thickBot="1" x14ac:dyDescent="0.3">
      <c r="BD82" t="s">
        <v>431</v>
      </c>
      <c r="BQ82" s="81" t="s">
        <v>381</v>
      </c>
      <c r="BR82" s="81" t="s">
        <v>382</v>
      </c>
      <c r="BS82" s="81" t="s">
        <v>383</v>
      </c>
      <c r="BT82" s="81" t="s">
        <v>384</v>
      </c>
      <c r="BU82" s="81" t="s">
        <v>385</v>
      </c>
      <c r="BV82" s="81" t="s">
        <v>386</v>
      </c>
      <c r="BW82" s="81"/>
      <c r="CU82" s="258" t="s">
        <v>442</v>
      </c>
      <c r="CV82" s="258" t="s">
        <v>455</v>
      </c>
      <c r="CW82" s="259">
        <v>0.623</v>
      </c>
      <c r="CX82" s="259">
        <v>1.29E-2</v>
      </c>
      <c r="CY82" s="258">
        <v>48.34</v>
      </c>
      <c r="CZ82" s="258" t="s">
        <v>422</v>
      </c>
      <c r="DA82" s="167">
        <v>2E-16</v>
      </c>
      <c r="DB82" s="81" t="s">
        <v>389</v>
      </c>
      <c r="DO82" s="298" t="s">
        <v>442</v>
      </c>
      <c r="DP82" s="298" t="s">
        <v>455</v>
      </c>
      <c r="DQ82" s="302">
        <v>0.41</v>
      </c>
      <c r="DR82" s="302">
        <v>1.35E-2</v>
      </c>
      <c r="DS82" s="298">
        <v>30.5</v>
      </c>
      <c r="DT82" s="298" t="s">
        <v>422</v>
      </c>
      <c r="DU82" s="302">
        <v>2E-16</v>
      </c>
      <c r="DV82" s="298" t="s">
        <v>389</v>
      </c>
    </row>
    <row r="83" spans="55:126" thickTop="1" thickBot="1" x14ac:dyDescent="0.3">
      <c r="BD83" s="167">
        <v>297</v>
      </c>
      <c r="BE83" s="167">
        <v>8.0100000000000005E-2</v>
      </c>
      <c r="BF83" s="81">
        <v>3708.09</v>
      </c>
      <c r="BG83" s="81" t="s">
        <v>388</v>
      </c>
      <c r="BH83" s="81" t="s">
        <v>389</v>
      </c>
      <c r="BQ83" s="81" t="s">
        <v>436</v>
      </c>
      <c r="BR83" s="167">
        <v>290</v>
      </c>
      <c r="BS83" s="167">
        <v>0.36799999999999999</v>
      </c>
      <c r="BT83" s="81">
        <v>790.07</v>
      </c>
      <c r="BU83" s="81" t="s">
        <v>422</v>
      </c>
      <c r="BV83" s="167">
        <v>2E-16</v>
      </c>
      <c r="BW83" s="81" t="s">
        <v>389</v>
      </c>
      <c r="CU83" s="258" t="s">
        <v>442</v>
      </c>
      <c r="CV83" s="258" t="s">
        <v>456</v>
      </c>
      <c r="CW83" s="259">
        <v>0.27700000000000002</v>
      </c>
      <c r="CX83" s="259">
        <v>9.3100000000000006E-3</v>
      </c>
      <c r="CY83" s="258">
        <v>29.76</v>
      </c>
      <c r="CZ83" s="259" t="s">
        <v>422</v>
      </c>
      <c r="DA83" s="167">
        <v>2E-16</v>
      </c>
      <c r="DB83" s="81" t="s">
        <v>389</v>
      </c>
      <c r="DO83" s="298" t="s">
        <v>442</v>
      </c>
      <c r="DP83" s="298" t="s">
        <v>456</v>
      </c>
      <c r="DQ83" s="302">
        <v>0.154</v>
      </c>
      <c r="DR83" s="302">
        <v>1.12E-2</v>
      </c>
      <c r="DS83" s="298">
        <v>13.71</v>
      </c>
      <c r="DT83" s="302" t="s">
        <v>422</v>
      </c>
      <c r="DU83" s="302">
        <v>2E-16</v>
      </c>
      <c r="DV83" s="298" t="s">
        <v>389</v>
      </c>
    </row>
    <row r="84" spans="55:126" thickTop="1" thickBot="1" x14ac:dyDescent="0.3">
      <c r="BC84" s="81" t="s">
        <v>423</v>
      </c>
      <c r="BD84" s="167">
        <v>294</v>
      </c>
      <c r="BE84" s="167">
        <v>4.2999999999999997E-2</v>
      </c>
      <c r="BF84" s="81">
        <v>6835.63</v>
      </c>
      <c r="BG84" s="81" t="s">
        <v>388</v>
      </c>
      <c r="BH84" s="81" t="s">
        <v>389</v>
      </c>
      <c r="BQ84" s="81" t="s">
        <v>423</v>
      </c>
      <c r="BR84" s="167">
        <v>292</v>
      </c>
      <c r="BS84" s="167">
        <v>0.36699999999999999</v>
      </c>
      <c r="BT84" s="81">
        <v>796.23</v>
      </c>
      <c r="BU84" s="81" t="s">
        <v>422</v>
      </c>
      <c r="BV84" s="167">
        <v>2E-16</v>
      </c>
      <c r="BW84" s="81" t="s">
        <v>389</v>
      </c>
      <c r="CU84" s="258" t="s">
        <v>442</v>
      </c>
      <c r="CV84" s="258" t="s">
        <v>308</v>
      </c>
      <c r="CW84" s="259">
        <v>995000000</v>
      </c>
      <c r="CX84" s="259">
        <v>17100000</v>
      </c>
      <c r="CY84" s="258">
        <v>58.11</v>
      </c>
      <c r="CZ84" s="259" t="s">
        <v>422</v>
      </c>
      <c r="DA84" s="167">
        <v>2E-16</v>
      </c>
      <c r="DB84" s="81" t="s">
        <v>389</v>
      </c>
      <c r="DO84" s="298" t="s">
        <v>442</v>
      </c>
      <c r="DP84" s="298" t="s">
        <v>308</v>
      </c>
      <c r="DQ84" s="302">
        <v>992000000</v>
      </c>
      <c r="DR84" s="302">
        <v>45700000</v>
      </c>
      <c r="DS84" s="298">
        <v>21.73</v>
      </c>
      <c r="DT84" s="302" t="s">
        <v>422</v>
      </c>
      <c r="DU84" s="302">
        <v>2E-16</v>
      </c>
      <c r="DV84" s="298" t="s">
        <v>389</v>
      </c>
    </row>
    <row r="85" spans="55:126" thickTop="1" thickBot="1" x14ac:dyDescent="0.3">
      <c r="BC85" s="81" t="s">
        <v>358</v>
      </c>
      <c r="BD85" s="167">
        <v>0.09</v>
      </c>
      <c r="BE85" s="167">
        <v>1.75E-3</v>
      </c>
      <c r="BF85" s="81">
        <v>51.34</v>
      </c>
      <c r="BG85" s="81" t="s">
        <v>388</v>
      </c>
      <c r="BH85" s="81" t="s">
        <v>389</v>
      </c>
      <c r="BQ85" s="81" t="s">
        <v>358</v>
      </c>
      <c r="BR85" s="167">
        <v>1.24E-7</v>
      </c>
      <c r="BS85" s="167">
        <v>2.21E-6</v>
      </c>
      <c r="BT85" s="81">
        <v>0.06</v>
      </c>
      <c r="BU85" s="81">
        <v>0.96</v>
      </c>
      <c r="BV85" s="81"/>
      <c r="BW85" s="81"/>
      <c r="CU85" s="258" t="s">
        <v>442</v>
      </c>
      <c r="CV85" s="258" t="s">
        <v>399</v>
      </c>
      <c r="CW85" s="259">
        <v>1550000</v>
      </c>
      <c r="CX85" s="259">
        <v>9320</v>
      </c>
      <c r="CY85" s="258">
        <v>166.31</v>
      </c>
      <c r="CZ85" s="258" t="s">
        <v>422</v>
      </c>
      <c r="DA85" s="167">
        <v>2E-16</v>
      </c>
      <c r="DB85" s="81" t="s">
        <v>389</v>
      </c>
      <c r="DO85" s="298" t="s">
        <v>442</v>
      </c>
      <c r="DP85" s="298" t="s">
        <v>399</v>
      </c>
      <c r="DQ85" s="302">
        <v>843000</v>
      </c>
      <c r="DR85" s="302">
        <v>19500</v>
      </c>
      <c r="DS85" s="298">
        <v>43.19</v>
      </c>
      <c r="DT85" s="298" t="s">
        <v>422</v>
      </c>
      <c r="DU85" s="302">
        <v>2E-16</v>
      </c>
      <c r="DV85" s="298" t="s">
        <v>389</v>
      </c>
    </row>
    <row r="86" spans="55:126" thickTop="1" thickBot="1" x14ac:dyDescent="0.3">
      <c r="BC86" s="81" t="s">
        <v>360</v>
      </c>
      <c r="BD86" s="167">
        <v>0.192</v>
      </c>
      <c r="BE86" s="167">
        <v>3.5400000000000002E-3</v>
      </c>
      <c r="BF86" s="81">
        <v>54.37</v>
      </c>
      <c r="BG86" s="81" t="s">
        <v>388</v>
      </c>
      <c r="BH86" s="81" t="s">
        <v>389</v>
      </c>
      <c r="BQ86" s="81" t="s">
        <v>360</v>
      </c>
      <c r="BR86" s="167">
        <v>4.1799999999999997E-8</v>
      </c>
      <c r="BS86" s="167">
        <v>8.2999999999999999E-7</v>
      </c>
      <c r="BT86" s="81">
        <v>0.05</v>
      </c>
      <c r="BU86" s="81">
        <v>0.96</v>
      </c>
      <c r="BV86" s="81"/>
      <c r="BW86" s="81"/>
      <c r="CU86" s="258" t="s">
        <v>442</v>
      </c>
      <c r="CV86" s="258" t="s">
        <v>301</v>
      </c>
      <c r="CW86" s="259">
        <v>6440000</v>
      </c>
      <c r="CX86" s="259">
        <v>165000</v>
      </c>
      <c r="CY86" s="258">
        <v>38.92</v>
      </c>
      <c r="CZ86" s="258" t="s">
        <v>422</v>
      </c>
      <c r="DA86" s="167">
        <v>2E-16</v>
      </c>
      <c r="DB86" s="81" t="s">
        <v>389</v>
      </c>
      <c r="DO86" s="298" t="s">
        <v>442</v>
      </c>
      <c r="DP86" s="298" t="s">
        <v>301</v>
      </c>
      <c r="DQ86" s="302">
        <v>5290000</v>
      </c>
      <c r="DR86" s="302">
        <v>152000</v>
      </c>
      <c r="DS86" s="298">
        <v>34.82</v>
      </c>
      <c r="DT86" s="298" t="s">
        <v>422</v>
      </c>
      <c r="DU86" s="302">
        <v>2E-16</v>
      </c>
      <c r="DV86" s="298" t="s">
        <v>389</v>
      </c>
    </row>
    <row r="87" spans="55:126" thickTop="1" thickBot="1" x14ac:dyDescent="0.3">
      <c r="BC87" s="81" t="s">
        <v>424</v>
      </c>
      <c r="BD87" s="167">
        <v>8270000</v>
      </c>
      <c r="BE87" s="167">
        <v>124000</v>
      </c>
      <c r="BF87" s="81">
        <v>66.77</v>
      </c>
      <c r="BG87" s="81" t="s">
        <v>388</v>
      </c>
      <c r="BH87" s="81" t="s">
        <v>389</v>
      </c>
      <c r="BQ87" s="81" t="s">
        <v>424</v>
      </c>
      <c r="BR87" s="167">
        <v>19200000</v>
      </c>
      <c r="BS87" s="167">
        <v>2600000</v>
      </c>
      <c r="BT87" s="81">
        <v>7.38</v>
      </c>
      <c r="BU87" s="167">
        <v>2.0999999999999999E-13</v>
      </c>
      <c r="BV87" s="81" t="s">
        <v>389</v>
      </c>
      <c r="BW87" s="81"/>
      <c r="CU87" s="258" t="s">
        <v>442</v>
      </c>
      <c r="CV87" s="258" t="s">
        <v>303</v>
      </c>
      <c r="CW87" s="259">
        <v>11300000</v>
      </c>
      <c r="CX87" s="259">
        <v>316000</v>
      </c>
      <c r="CY87" s="258">
        <v>35.9</v>
      </c>
      <c r="CZ87" s="258" t="s">
        <v>422</v>
      </c>
      <c r="DA87" s="167">
        <v>2E-16</v>
      </c>
      <c r="DB87" s="81" t="s">
        <v>389</v>
      </c>
      <c r="DO87" s="298" t="s">
        <v>442</v>
      </c>
      <c r="DP87" s="298" t="s">
        <v>303</v>
      </c>
      <c r="DQ87" s="302">
        <v>17300000</v>
      </c>
      <c r="DR87" s="302">
        <v>450000</v>
      </c>
      <c r="DS87" s="298">
        <v>38.35</v>
      </c>
      <c r="DT87" s="298" t="s">
        <v>422</v>
      </c>
      <c r="DU87" s="302">
        <v>2E-16</v>
      </c>
      <c r="DV87" s="298" t="s">
        <v>389</v>
      </c>
    </row>
    <row r="88" spans="55:126" thickTop="1" thickBot="1" x14ac:dyDescent="0.3">
      <c r="BC88" s="81" t="s">
        <v>364</v>
      </c>
      <c r="BD88" s="167">
        <v>25000000</v>
      </c>
      <c r="BE88" s="167">
        <v>376000</v>
      </c>
      <c r="BF88" s="81">
        <v>66.52</v>
      </c>
      <c r="BG88" s="81" t="s">
        <v>388</v>
      </c>
      <c r="BH88" s="81" t="s">
        <v>389</v>
      </c>
      <c r="BQ88" s="81"/>
      <c r="BR88" s="81"/>
      <c r="BS88" s="81"/>
      <c r="BT88" s="81"/>
      <c r="BU88" s="81"/>
      <c r="BV88" s="81"/>
      <c r="BW88" s="81"/>
      <c r="CU88" s="258" t="s">
        <v>442</v>
      </c>
      <c r="CV88" s="258" t="s">
        <v>400</v>
      </c>
      <c r="CW88" s="259">
        <v>-37.4</v>
      </c>
      <c r="CX88" s="259">
        <v>77.2</v>
      </c>
      <c r="CY88" s="258">
        <v>-0.48</v>
      </c>
      <c r="CZ88" s="258">
        <v>0.62844</v>
      </c>
      <c r="DA88" s="81"/>
      <c r="DB88" s="81"/>
      <c r="DO88" s="298" t="s">
        <v>442</v>
      </c>
      <c r="DP88" s="298" t="s">
        <v>400</v>
      </c>
      <c r="DQ88" s="302">
        <v>-6.37</v>
      </c>
      <c r="DR88" s="302">
        <v>0.16200000000000001</v>
      </c>
      <c r="DS88" s="298">
        <v>-39.24</v>
      </c>
      <c r="DT88" s="298" t="s">
        <v>422</v>
      </c>
      <c r="DU88" s="302">
        <v>2E-16</v>
      </c>
      <c r="DV88" s="298" t="s">
        <v>389</v>
      </c>
    </row>
    <row r="89" spans="55:126" thickTop="1" thickBot="1" x14ac:dyDescent="0.3">
      <c r="BC89" s="81" t="s">
        <v>404</v>
      </c>
      <c r="BD89" s="167">
        <v>3.73</v>
      </c>
      <c r="BE89" s="167">
        <v>1.42</v>
      </c>
      <c r="BF89" s="81">
        <v>2.62</v>
      </c>
      <c r="BG89" s="81">
        <v>8.6999999999999994E-3</v>
      </c>
      <c r="BH89" s="81" t="s">
        <v>425</v>
      </c>
      <c r="BQ89" s="81" t="s">
        <v>364</v>
      </c>
      <c r="BR89" s="167">
        <v>65100000</v>
      </c>
      <c r="BS89" s="167">
        <v>33200000</v>
      </c>
      <c r="BT89" s="81">
        <v>1.96</v>
      </c>
      <c r="BU89" s="81">
        <v>0.05</v>
      </c>
      <c r="BV89" s="81" t="s">
        <v>434</v>
      </c>
      <c r="BW89" s="81"/>
      <c r="CU89" s="258" t="s">
        <v>442</v>
      </c>
      <c r="CV89" s="258" t="s">
        <v>401</v>
      </c>
      <c r="CW89" s="259">
        <v>-15.8</v>
      </c>
      <c r="CX89" s="259">
        <v>111</v>
      </c>
      <c r="CY89" s="258">
        <v>-0.14000000000000001</v>
      </c>
      <c r="CZ89" s="258">
        <v>0.88743000000000005</v>
      </c>
      <c r="DA89" s="81"/>
      <c r="DB89" s="81"/>
      <c r="DO89" s="298" t="s">
        <v>442</v>
      </c>
      <c r="DP89" s="298" t="s">
        <v>401</v>
      </c>
      <c r="DQ89" s="302">
        <v>-12.8</v>
      </c>
      <c r="DR89" s="302">
        <v>453</v>
      </c>
      <c r="DS89" s="298">
        <v>-0.03</v>
      </c>
      <c r="DT89" s="298">
        <v>0.97699999999999998</v>
      </c>
    </row>
    <row r="90" spans="55:126" thickTop="1" thickBot="1" x14ac:dyDescent="0.3">
      <c r="BC90" s="81" t="s">
        <v>426</v>
      </c>
      <c r="BD90" s="167">
        <v>-13.1</v>
      </c>
      <c r="BE90" s="167">
        <v>7.16</v>
      </c>
      <c r="BF90" s="81">
        <v>-1.83</v>
      </c>
      <c r="BG90" s="81">
        <v>6.7599999999999993E-2</v>
      </c>
      <c r="BH90" s="81" t="s">
        <v>427</v>
      </c>
      <c r="BQ90" s="81" t="s">
        <v>404</v>
      </c>
      <c r="BR90" s="167">
        <v>8.17</v>
      </c>
      <c r="BS90" s="167">
        <v>7.2700000000000001E-2</v>
      </c>
      <c r="BT90" s="81">
        <v>112.45</v>
      </c>
      <c r="BU90" s="81" t="s">
        <v>422</v>
      </c>
      <c r="BV90" s="167">
        <v>2E-16</v>
      </c>
      <c r="BW90" s="81" t="s">
        <v>389</v>
      </c>
      <c r="CU90" s="258" t="s">
        <v>442</v>
      </c>
      <c r="CV90" s="258" t="s">
        <v>402</v>
      </c>
      <c r="CW90" s="259">
        <v>-14.5</v>
      </c>
      <c r="CX90" s="259">
        <v>133</v>
      </c>
      <c r="CY90" s="258">
        <v>-0.11</v>
      </c>
      <c r="CZ90" s="258">
        <v>0.91303000000000001</v>
      </c>
      <c r="DA90" s="81"/>
      <c r="DB90" s="81"/>
      <c r="DO90" s="298" t="s">
        <v>442</v>
      </c>
      <c r="DP90" s="298" t="s">
        <v>402</v>
      </c>
      <c r="DQ90" s="302">
        <v>-13.4</v>
      </c>
      <c r="DR90" s="302">
        <v>320</v>
      </c>
      <c r="DS90" s="298">
        <v>-0.04</v>
      </c>
      <c r="DT90" s="298">
        <v>0.96599999999999997</v>
      </c>
    </row>
    <row r="91" spans="55:126" thickTop="1" thickBot="1" x14ac:dyDescent="0.3">
      <c r="BC91" s="81" t="s">
        <v>428</v>
      </c>
      <c r="BD91" s="167">
        <v>6.5799999999999997E-2</v>
      </c>
      <c r="BE91" s="167">
        <v>7.0699999999999995E-4</v>
      </c>
      <c r="BF91" s="81">
        <v>93.12</v>
      </c>
      <c r="BG91" s="81" t="s">
        <v>388</v>
      </c>
      <c r="BH91" s="81" t="s">
        <v>389</v>
      </c>
      <c r="BQ91" s="81" t="s">
        <v>426</v>
      </c>
      <c r="BR91" s="167">
        <v>7.12</v>
      </c>
      <c r="BS91" s="167">
        <v>0.13500000000000001</v>
      </c>
      <c r="BT91" s="81">
        <v>52.65</v>
      </c>
      <c r="BU91" s="81" t="s">
        <v>422</v>
      </c>
      <c r="BV91" s="167">
        <v>2E-16</v>
      </c>
      <c r="BW91" s="81" t="s">
        <v>389</v>
      </c>
      <c r="CU91" s="258" t="s">
        <v>442</v>
      </c>
      <c r="CV91" s="258" t="s">
        <v>403</v>
      </c>
      <c r="CW91" s="259">
        <v>-15.8</v>
      </c>
      <c r="CX91" s="259">
        <v>60.6</v>
      </c>
      <c r="CY91" s="258">
        <v>-0.26</v>
      </c>
      <c r="CZ91" s="258">
        <v>0.79454000000000002</v>
      </c>
      <c r="DA91" s="81"/>
      <c r="DB91" s="81"/>
      <c r="DO91" s="298" t="s">
        <v>442</v>
      </c>
      <c r="DP91" s="298" t="s">
        <v>403</v>
      </c>
      <c r="DQ91" s="302">
        <v>-14.1</v>
      </c>
      <c r="DR91" s="302">
        <v>233</v>
      </c>
      <c r="DS91" s="298">
        <v>-0.06</v>
      </c>
      <c r="DT91" s="298">
        <v>0.95199999999999996</v>
      </c>
    </row>
    <row r="92" spans="55:126" thickTop="1" thickBot="1" x14ac:dyDescent="0.3">
      <c r="BC92" s="81" t="s">
        <v>429</v>
      </c>
      <c r="BD92" s="167">
        <v>0.11799999999999999</v>
      </c>
      <c r="BE92" s="167">
        <v>1.1299999999999999E-3</v>
      </c>
      <c r="BF92" s="81">
        <v>104.59</v>
      </c>
      <c r="BG92" s="81" t="s">
        <v>388</v>
      </c>
      <c r="BH92" s="81" t="s">
        <v>389</v>
      </c>
      <c r="BQ92" s="81" t="s">
        <v>416</v>
      </c>
      <c r="BR92" s="167">
        <v>-5.0599999999999996</v>
      </c>
      <c r="BS92" s="167">
        <v>5.1200000000000002E-2</v>
      </c>
      <c r="BT92" s="81">
        <v>-98.95</v>
      </c>
      <c r="BU92" s="81" t="s">
        <v>422</v>
      </c>
      <c r="BV92" s="167">
        <v>2E-16</v>
      </c>
      <c r="BW92" s="81" t="s">
        <v>389</v>
      </c>
      <c r="CU92" s="258" t="s">
        <v>442</v>
      </c>
      <c r="CV92" s="258" t="s">
        <v>405</v>
      </c>
      <c r="CW92" s="259">
        <v>0.128</v>
      </c>
      <c r="CX92" s="259">
        <v>9.1E-4</v>
      </c>
      <c r="CY92" s="258">
        <v>140.9</v>
      </c>
      <c r="CZ92" s="258" t="s">
        <v>422</v>
      </c>
      <c r="DA92" s="167">
        <v>2E-16</v>
      </c>
      <c r="DB92" s="81" t="s">
        <v>389</v>
      </c>
      <c r="DO92" s="298" t="s">
        <v>442</v>
      </c>
      <c r="DP92" s="298" t="s">
        <v>405</v>
      </c>
      <c r="DQ92" s="302">
        <v>0.158</v>
      </c>
      <c r="DR92" s="302">
        <v>3.0300000000000001E-3</v>
      </c>
      <c r="DS92" s="298">
        <v>52.06</v>
      </c>
      <c r="DT92" s="298" t="s">
        <v>422</v>
      </c>
      <c r="DU92" s="302">
        <v>2E-16</v>
      </c>
      <c r="DV92" s="298" t="s">
        <v>389</v>
      </c>
    </row>
    <row r="93" spans="55:126" thickTop="1" thickBot="1" x14ac:dyDescent="0.3">
      <c r="BC93" s="81" t="s">
        <v>416</v>
      </c>
      <c r="BD93" s="167">
        <v>-6.92</v>
      </c>
      <c r="BE93" s="167">
        <v>2.1600000000000001E-2</v>
      </c>
      <c r="BF93" s="81">
        <v>-319.69</v>
      </c>
      <c r="BG93" s="81" t="s">
        <v>388</v>
      </c>
      <c r="BH93" s="81" t="s">
        <v>389</v>
      </c>
      <c r="BQ93" s="81" t="s">
        <v>430</v>
      </c>
      <c r="BR93" s="167">
        <v>-4.8899999999999997</v>
      </c>
      <c r="BS93" s="167">
        <v>3.73E-2</v>
      </c>
      <c r="BT93" s="81">
        <v>-131.12</v>
      </c>
      <c r="BU93" s="81" t="s">
        <v>422</v>
      </c>
      <c r="BV93" s="167">
        <v>2E-16</v>
      </c>
      <c r="BW93" s="81" t="s">
        <v>389</v>
      </c>
      <c r="CU93" s="258" t="s">
        <v>442</v>
      </c>
      <c r="CV93" s="258" t="s">
        <v>406</v>
      </c>
      <c r="CW93" s="259">
        <v>0.104</v>
      </c>
      <c r="CX93" s="259">
        <v>5.9599999999999996E-4</v>
      </c>
      <c r="CY93" s="258">
        <v>174.73</v>
      </c>
      <c r="CZ93" s="258" t="s">
        <v>422</v>
      </c>
      <c r="DA93" s="167">
        <v>2E-16</v>
      </c>
      <c r="DB93" s="81" t="s">
        <v>389</v>
      </c>
      <c r="DO93" s="298" t="s">
        <v>442</v>
      </c>
      <c r="DP93" s="298" t="s">
        <v>406</v>
      </c>
      <c r="DQ93" s="302">
        <v>0.10299999999999999</v>
      </c>
      <c r="DR93" s="302">
        <v>2.3999999999999998E-3</v>
      </c>
      <c r="DS93" s="298">
        <v>42.78</v>
      </c>
      <c r="DT93" s="298" t="s">
        <v>422</v>
      </c>
      <c r="DU93" s="302">
        <v>2E-16</v>
      </c>
      <c r="DV93" s="298" t="s">
        <v>389</v>
      </c>
    </row>
    <row r="94" spans="55:126" thickTop="1" thickBot="1" x14ac:dyDescent="0.3">
      <c r="BC94" s="81" t="s">
        <v>430</v>
      </c>
      <c r="BD94" s="167">
        <v>-6.23</v>
      </c>
      <c r="BE94" s="167">
        <v>3.3000000000000002E-2</v>
      </c>
      <c r="BF94" s="81">
        <v>-188.82</v>
      </c>
      <c r="BG94" s="81" t="s">
        <v>388</v>
      </c>
      <c r="BH94" s="81" t="s">
        <v>389</v>
      </c>
      <c r="BQ94" s="81" t="s">
        <v>370</v>
      </c>
      <c r="BR94" s="167">
        <v>198</v>
      </c>
      <c r="BS94" s="167">
        <v>4.01</v>
      </c>
      <c r="BT94" s="81">
        <v>49.45</v>
      </c>
      <c r="BU94" s="81" t="s">
        <v>422</v>
      </c>
      <c r="BV94" s="167">
        <v>2E-16</v>
      </c>
      <c r="BW94" s="81" t="s">
        <v>389</v>
      </c>
      <c r="CU94" s="258" t="s">
        <v>442</v>
      </c>
      <c r="CV94" s="258" t="s">
        <v>407</v>
      </c>
      <c r="CW94" s="259">
        <v>0.70099999999999996</v>
      </c>
      <c r="CX94" s="259">
        <v>2.0300000000000001E-3</v>
      </c>
      <c r="CY94" s="258">
        <v>344.63</v>
      </c>
      <c r="CZ94" s="258" t="s">
        <v>422</v>
      </c>
      <c r="DA94" s="167">
        <v>2E-16</v>
      </c>
      <c r="DB94" s="81" t="s">
        <v>389</v>
      </c>
      <c r="DO94" s="298" t="s">
        <v>442</v>
      </c>
      <c r="DP94" s="298" t="s">
        <v>407</v>
      </c>
      <c r="DQ94" s="302">
        <v>0.64500000000000002</v>
      </c>
      <c r="DR94" s="302">
        <v>4.7999999999999996E-3</v>
      </c>
      <c r="DS94" s="298">
        <v>134.32</v>
      </c>
      <c r="DT94" s="298" t="s">
        <v>422</v>
      </c>
      <c r="DU94" s="302">
        <v>2E-16</v>
      </c>
      <c r="DV94" s="298" t="s">
        <v>389</v>
      </c>
    </row>
    <row r="95" spans="55:126" thickTop="1" thickBot="1" x14ac:dyDescent="0.3">
      <c r="BC95" s="81" t="s">
        <v>370</v>
      </c>
      <c r="BD95" s="167">
        <v>502</v>
      </c>
      <c r="BE95" s="167">
        <v>7.41</v>
      </c>
      <c r="BF95" s="81">
        <v>67.760000000000005</v>
      </c>
      <c r="BG95" s="81" t="s">
        <v>388</v>
      </c>
      <c r="BH95" s="81" t="s">
        <v>389</v>
      </c>
      <c r="BQ95" s="81" t="s">
        <v>372</v>
      </c>
      <c r="BR95" s="167">
        <v>3.48E-4</v>
      </c>
      <c r="BS95" s="167">
        <v>3.0400000000000002E-3</v>
      </c>
      <c r="BT95" s="81">
        <v>0.11</v>
      </c>
      <c r="BU95" s="81">
        <v>0.91</v>
      </c>
      <c r="BV95" s="81"/>
      <c r="BW95" s="81"/>
      <c r="CU95" s="258" t="s">
        <v>442</v>
      </c>
      <c r="CV95" s="258" t="s">
        <v>408</v>
      </c>
      <c r="CW95" s="259">
        <v>6.0299999999999999E-2</v>
      </c>
      <c r="CX95" s="259">
        <v>4.06E-4</v>
      </c>
      <c r="CY95" s="258">
        <v>148.69</v>
      </c>
      <c r="CZ95" s="258" t="s">
        <v>422</v>
      </c>
      <c r="DA95" s="167">
        <v>2E-16</v>
      </c>
      <c r="DB95" s="81" t="s">
        <v>389</v>
      </c>
      <c r="DO95" s="298" t="s">
        <v>442</v>
      </c>
      <c r="DP95" s="298" t="s">
        <v>408</v>
      </c>
      <c r="DQ95" s="302">
        <v>5.7099999999999998E-2</v>
      </c>
      <c r="DR95" s="302">
        <v>8.1499999999999997E-4</v>
      </c>
      <c r="DS95" s="298">
        <v>70.069999999999993</v>
      </c>
      <c r="DT95" s="298" t="s">
        <v>422</v>
      </c>
      <c r="DU95" s="302">
        <v>2E-16</v>
      </c>
      <c r="DV95" s="298" t="s">
        <v>389</v>
      </c>
    </row>
    <row r="96" spans="55:126" thickTop="1" thickBot="1" x14ac:dyDescent="0.3">
      <c r="BC96" s="81" t="s">
        <v>372</v>
      </c>
      <c r="BD96" s="167">
        <v>393</v>
      </c>
      <c r="BE96" s="167">
        <v>5.6</v>
      </c>
      <c r="BF96" s="81">
        <v>70.16</v>
      </c>
      <c r="BG96" s="81" t="s">
        <v>388</v>
      </c>
      <c r="BH96" s="81" t="s">
        <v>389</v>
      </c>
      <c r="BQ96" s="81" t="s">
        <v>374</v>
      </c>
      <c r="BR96" s="167">
        <v>221</v>
      </c>
      <c r="BS96" s="167">
        <v>3.53</v>
      </c>
      <c r="BT96" s="81">
        <v>62.76</v>
      </c>
      <c r="BU96" s="81" t="s">
        <v>422</v>
      </c>
      <c r="BV96" s="167">
        <v>2E-16</v>
      </c>
      <c r="BW96" s="81" t="s">
        <v>389</v>
      </c>
      <c r="CU96" s="258" t="s">
        <v>442</v>
      </c>
      <c r="CV96" s="258" t="s">
        <v>410</v>
      </c>
      <c r="CW96" s="259">
        <v>257</v>
      </c>
      <c r="CX96" s="259">
        <v>2.1800000000000002</v>
      </c>
      <c r="CY96" s="258">
        <v>118.34</v>
      </c>
      <c r="CZ96" s="258" t="s">
        <v>422</v>
      </c>
      <c r="DA96" s="167">
        <v>2E-16</v>
      </c>
      <c r="DB96" s="81" t="s">
        <v>389</v>
      </c>
      <c r="DO96" s="298" t="s">
        <v>442</v>
      </c>
      <c r="DP96" s="298" t="s">
        <v>410</v>
      </c>
      <c r="DQ96" s="302">
        <v>206</v>
      </c>
      <c r="DR96" s="302">
        <v>4.16</v>
      </c>
      <c r="DS96" s="298">
        <v>49.59</v>
      </c>
      <c r="DT96" s="298" t="s">
        <v>422</v>
      </c>
      <c r="DU96" s="302">
        <v>2E-16</v>
      </c>
      <c r="DV96" s="298" t="s">
        <v>389</v>
      </c>
    </row>
    <row r="97" spans="55:126" thickTop="1" thickBot="1" x14ac:dyDescent="0.3">
      <c r="BC97" s="81" t="s">
        <v>374</v>
      </c>
      <c r="BD97" s="167">
        <v>506</v>
      </c>
      <c r="BE97" s="167">
        <v>2.4900000000000002</v>
      </c>
      <c r="BF97" s="81">
        <v>203.18</v>
      </c>
      <c r="BG97" s="81" t="s">
        <v>388</v>
      </c>
      <c r="BH97" s="81" t="s">
        <v>389</v>
      </c>
      <c r="CU97" s="258" t="s">
        <v>442</v>
      </c>
      <c r="CV97" s="258" t="s">
        <v>295</v>
      </c>
      <c r="CW97" s="259">
        <v>250</v>
      </c>
      <c r="CX97" s="259">
        <v>1.6</v>
      </c>
      <c r="CY97" s="258">
        <v>155.91</v>
      </c>
      <c r="CZ97" s="258" t="s">
        <v>422</v>
      </c>
      <c r="DA97" s="167">
        <v>2E-16</v>
      </c>
      <c r="DB97" s="81" t="s">
        <v>389</v>
      </c>
      <c r="DO97" s="298" t="s">
        <v>442</v>
      </c>
      <c r="DP97" s="298" t="s">
        <v>295</v>
      </c>
      <c r="DQ97" s="302">
        <v>318</v>
      </c>
      <c r="DR97" s="302">
        <v>2.69</v>
      </c>
      <c r="DS97" s="298">
        <v>118.43</v>
      </c>
      <c r="DT97" s="298" t="s">
        <v>422</v>
      </c>
      <c r="DU97" s="302">
        <v>2E-16</v>
      </c>
      <c r="DV97" s="298" t="s">
        <v>389</v>
      </c>
    </row>
    <row r="98" spans="55:126" thickTop="1" thickBot="1" x14ac:dyDescent="0.3">
      <c r="CU98" s="258" t="s">
        <v>442</v>
      </c>
      <c r="CV98" s="258" t="s">
        <v>120</v>
      </c>
      <c r="CW98" s="259">
        <v>94.8</v>
      </c>
      <c r="CX98" s="259">
        <v>0.40799999999999997</v>
      </c>
      <c r="CY98" s="258">
        <v>232.24</v>
      </c>
      <c r="CZ98" s="258" t="s">
        <v>422</v>
      </c>
      <c r="DA98" s="167">
        <v>2E-16</v>
      </c>
      <c r="DB98" s="81" t="s">
        <v>389</v>
      </c>
      <c r="DO98" s="298" t="s">
        <v>442</v>
      </c>
      <c r="DP98" s="298" t="s">
        <v>120</v>
      </c>
      <c r="DQ98" s="302">
        <v>89.2</v>
      </c>
      <c r="DR98" s="302">
        <v>0.628</v>
      </c>
      <c r="DS98" s="298">
        <v>142.06</v>
      </c>
      <c r="DT98" s="298" t="s">
        <v>422</v>
      </c>
      <c r="DU98" s="302">
        <v>2E-16</v>
      </c>
      <c r="DV98" s="298" t="s">
        <v>389</v>
      </c>
    </row>
    <row r="99" spans="55:126" thickTop="1" thickBot="1" x14ac:dyDescent="0.3">
      <c r="CU99" s="258" t="s">
        <v>442</v>
      </c>
      <c r="CV99" s="258" t="s">
        <v>412</v>
      </c>
      <c r="CW99" s="259">
        <v>-6.58</v>
      </c>
      <c r="CX99" s="259">
        <v>1.7299999999999999E-2</v>
      </c>
      <c r="CY99" s="258">
        <v>-379.44</v>
      </c>
      <c r="CZ99" s="258" t="s">
        <v>422</v>
      </c>
      <c r="DA99" s="167">
        <v>2E-16</v>
      </c>
      <c r="DB99" s="81" t="s">
        <v>389</v>
      </c>
      <c r="DO99" s="298" t="s">
        <v>442</v>
      </c>
      <c r="DP99" s="298" t="s">
        <v>412</v>
      </c>
      <c r="DQ99" s="302">
        <v>-5.08</v>
      </c>
      <c r="DR99" s="302">
        <v>2.9100000000000001E-2</v>
      </c>
      <c r="DS99" s="298">
        <v>-174.91</v>
      </c>
      <c r="DT99" s="298" t="s">
        <v>422</v>
      </c>
      <c r="DU99" s="302">
        <v>2E-16</v>
      </c>
      <c r="DV99" s="298" t="s">
        <v>389</v>
      </c>
    </row>
    <row r="100" spans="55:126" thickTop="1" thickBot="1" x14ac:dyDescent="0.3">
      <c r="CU100" s="258" t="s">
        <v>442</v>
      </c>
      <c r="CV100" s="258" t="s">
        <v>413</v>
      </c>
      <c r="CW100" s="259">
        <v>-6.09</v>
      </c>
      <c r="CX100" s="259">
        <v>1.6799999999999999E-2</v>
      </c>
      <c r="CY100" s="258">
        <v>-362.97</v>
      </c>
      <c r="CZ100" s="258" t="s">
        <v>422</v>
      </c>
      <c r="DA100" s="167">
        <v>2E-16</v>
      </c>
      <c r="DB100" s="81" t="s">
        <v>389</v>
      </c>
      <c r="DO100" s="298" t="s">
        <v>442</v>
      </c>
      <c r="DP100" s="298" t="s">
        <v>413</v>
      </c>
      <c r="DQ100" s="302">
        <v>-5.33</v>
      </c>
      <c r="DR100" s="302">
        <v>3.0200000000000001E-2</v>
      </c>
      <c r="DS100" s="298">
        <v>-176.59</v>
      </c>
      <c r="DT100" s="298" t="s">
        <v>422</v>
      </c>
      <c r="DU100" s="302">
        <v>2E-16</v>
      </c>
      <c r="DV100" s="298" t="s">
        <v>389</v>
      </c>
    </row>
    <row r="101" spans="55:126" thickTop="1" thickBot="1" x14ac:dyDescent="0.3">
      <c r="CU101" s="258" t="s">
        <v>442</v>
      </c>
      <c r="CV101" s="258" t="s">
        <v>414</v>
      </c>
      <c r="CW101" s="259">
        <v>-6.52</v>
      </c>
      <c r="CX101" s="259">
        <v>1.6400000000000001E-2</v>
      </c>
      <c r="CY101" s="258">
        <v>-397.55</v>
      </c>
      <c r="CZ101" s="258" t="s">
        <v>422</v>
      </c>
      <c r="DA101" s="167">
        <v>2E-16</v>
      </c>
      <c r="DB101" s="81" t="s">
        <v>389</v>
      </c>
      <c r="DO101" s="298" t="s">
        <v>442</v>
      </c>
      <c r="DP101" s="298" t="s">
        <v>414</v>
      </c>
      <c r="DQ101" s="302">
        <v>-6.21</v>
      </c>
      <c r="DR101" s="302">
        <v>2.8500000000000001E-2</v>
      </c>
      <c r="DS101" s="298">
        <v>-217.83</v>
      </c>
      <c r="DT101" s="298" t="s">
        <v>422</v>
      </c>
      <c r="DU101" s="302">
        <v>2E-16</v>
      </c>
      <c r="DV101" s="298" t="s">
        <v>389</v>
      </c>
    </row>
    <row r="102" spans="55:126" thickTop="1" thickBot="1" x14ac:dyDescent="0.3">
      <c r="CU102" s="258" t="s">
        <v>442</v>
      </c>
      <c r="CV102" s="258" t="s">
        <v>415</v>
      </c>
      <c r="CW102" s="259">
        <v>-6.22</v>
      </c>
      <c r="CX102" s="259">
        <v>1.7000000000000001E-2</v>
      </c>
      <c r="CY102" s="258">
        <v>-366.59</v>
      </c>
      <c r="CZ102" s="258" t="s">
        <v>422</v>
      </c>
      <c r="DA102" s="167">
        <v>2E-16</v>
      </c>
      <c r="DB102" s="81" t="s">
        <v>389</v>
      </c>
      <c r="DO102" s="298" t="s">
        <v>442</v>
      </c>
      <c r="DP102" s="298" t="s">
        <v>415</v>
      </c>
      <c r="DQ102" s="302">
        <v>-5.82</v>
      </c>
      <c r="DR102" s="302">
        <v>2.6599999999999999E-2</v>
      </c>
      <c r="DS102" s="298">
        <v>-218.77</v>
      </c>
      <c r="DT102" s="298" t="s">
        <v>422</v>
      </c>
      <c r="DU102" s="302">
        <v>2E-16</v>
      </c>
      <c r="DV102" s="298" t="s">
        <v>389</v>
      </c>
    </row>
    <row r="103" spans="55:126" thickTop="1" thickBot="1" x14ac:dyDescent="0.3">
      <c r="CU103" s="258" t="s">
        <v>442</v>
      </c>
      <c r="CV103" s="258" t="s">
        <v>417</v>
      </c>
      <c r="CW103" s="259">
        <v>3.9100000000000003E-3</v>
      </c>
      <c r="CX103" s="259">
        <v>3.3099999999999998E-5</v>
      </c>
      <c r="CY103" s="258">
        <v>118.17</v>
      </c>
      <c r="CZ103" s="258" t="s">
        <v>422</v>
      </c>
      <c r="DA103" s="167">
        <v>2E-16</v>
      </c>
      <c r="DB103" s="81" t="s">
        <v>389</v>
      </c>
      <c r="DO103" s="298" t="s">
        <v>442</v>
      </c>
      <c r="DP103" s="298" t="s">
        <v>417</v>
      </c>
      <c r="DQ103" s="302">
        <v>3.2799999999999999E-3</v>
      </c>
      <c r="DR103" s="302">
        <v>6.7600000000000003E-5</v>
      </c>
      <c r="DS103" s="298">
        <v>48.52</v>
      </c>
      <c r="DT103" s="298" t="s">
        <v>422</v>
      </c>
      <c r="DU103" s="302">
        <v>2E-16</v>
      </c>
      <c r="DV103" s="298" t="s">
        <v>389</v>
      </c>
    </row>
    <row r="104" spans="55:126" thickTop="1" thickBot="1" x14ac:dyDescent="0.3">
      <c r="CU104" s="258" t="s">
        <v>442</v>
      </c>
      <c r="CV104" s="258" t="s">
        <v>418</v>
      </c>
      <c r="CW104" s="259">
        <v>139</v>
      </c>
      <c r="CX104" s="259">
        <v>1.1499999999999999</v>
      </c>
      <c r="CY104" s="258">
        <v>120.54</v>
      </c>
      <c r="CZ104" s="258" t="s">
        <v>422</v>
      </c>
      <c r="DA104" s="167">
        <v>2E-16</v>
      </c>
      <c r="DB104" s="81" t="s">
        <v>389</v>
      </c>
      <c r="DO104" s="298" t="s">
        <v>442</v>
      </c>
      <c r="DP104" s="298" t="s">
        <v>418</v>
      </c>
      <c r="DQ104" s="302">
        <v>91.1</v>
      </c>
      <c r="DR104" s="302">
        <v>0.877</v>
      </c>
      <c r="DS104" s="298">
        <v>103.93</v>
      </c>
      <c r="DT104" s="298" t="s">
        <v>422</v>
      </c>
      <c r="DU104" s="302">
        <v>2E-16</v>
      </c>
      <c r="DV104" s="298" t="s">
        <v>389</v>
      </c>
    </row>
    <row r="105" spans="55:126" thickTop="1" thickBot="1" x14ac:dyDescent="0.3">
      <c r="CU105" s="258" t="s">
        <v>442</v>
      </c>
      <c r="CV105" s="258" t="s">
        <v>419</v>
      </c>
      <c r="CW105" s="259">
        <v>4.6100000000000004E-3</v>
      </c>
      <c r="CX105" s="259">
        <v>0.30099999999999999</v>
      </c>
      <c r="CY105" s="258">
        <v>0.02</v>
      </c>
      <c r="CZ105" s="258">
        <v>0.98778999999999995</v>
      </c>
      <c r="DA105" s="81"/>
      <c r="DB105" s="81"/>
      <c r="DO105" s="298" t="s">
        <v>442</v>
      </c>
      <c r="DP105" s="298" t="s">
        <v>419</v>
      </c>
      <c r="DQ105" s="302">
        <v>2070</v>
      </c>
      <c r="DR105" s="302">
        <v>456</v>
      </c>
      <c r="DS105" s="298">
        <v>4.55</v>
      </c>
      <c r="DT105" s="302">
        <v>5.5999999999999997E-6</v>
      </c>
      <c r="DU105" s="298" t="s">
        <v>389</v>
      </c>
    </row>
    <row r="106" spans="55:126" thickTop="1" thickBot="1" x14ac:dyDescent="0.3">
      <c r="CU106" s="258" t="s">
        <v>442</v>
      </c>
      <c r="CV106" s="258" t="s">
        <v>461</v>
      </c>
      <c r="DA106" s="81"/>
      <c r="DB106" s="81"/>
      <c r="DO106" s="298" t="s">
        <v>442</v>
      </c>
      <c r="DP106" s="298" t="s">
        <v>461</v>
      </c>
    </row>
    <row r="107" spans="55:126" thickTop="1" thickBot="1" x14ac:dyDescent="0.3">
      <c r="CU107" s="258" t="s">
        <v>442</v>
      </c>
      <c r="CV107" s="258" t="s">
        <v>462</v>
      </c>
      <c r="CW107" s="258" t="s">
        <v>463</v>
      </c>
      <c r="CX107" s="258">
        <v>0</v>
      </c>
      <c r="CY107" s="258" t="s">
        <v>464</v>
      </c>
      <c r="CZ107" s="258">
        <v>1E-3</v>
      </c>
      <c r="DA107" s="81" t="s">
        <v>465</v>
      </c>
      <c r="DB107" s="81">
        <v>0.01</v>
      </c>
      <c r="DO107" s="298" t="s">
        <v>442</v>
      </c>
      <c r="DP107" s="298" t="s">
        <v>462</v>
      </c>
      <c r="DQ107" s="298" t="s">
        <v>463</v>
      </c>
      <c r="DR107" s="298">
        <v>0</v>
      </c>
      <c r="DS107" s="298" t="s">
        <v>464</v>
      </c>
      <c r="DT107" s="298">
        <v>1E-3</v>
      </c>
      <c r="DU107" s="298" t="s">
        <v>465</v>
      </c>
      <c r="DV107" s="298">
        <v>0.01</v>
      </c>
    </row>
    <row r="109" spans="55:126" thickTop="1" thickBot="1" x14ac:dyDescent="0.3">
      <c r="CU109" s="258" t="s">
        <v>442</v>
      </c>
      <c r="CV109" s="258" t="s">
        <v>433</v>
      </c>
      <c r="CW109" s="258" t="s">
        <v>435</v>
      </c>
      <c r="DA109" s="81"/>
      <c r="DB109" s="81"/>
      <c r="DO109" s="298" t="s">
        <v>442</v>
      </c>
      <c r="DP109" s="298" t="s">
        <v>433</v>
      </c>
      <c r="DQ109" s="298" t="s">
        <v>435</v>
      </c>
    </row>
    <row r="110" spans="55:126" thickTop="1" thickBot="1" x14ac:dyDescent="0.3">
      <c r="CU110" s="258" t="s">
        <v>442</v>
      </c>
      <c r="CV110" s="258" t="s">
        <v>380</v>
      </c>
      <c r="DA110" s="81"/>
      <c r="DB110" s="81"/>
      <c r="DO110" s="298" t="s">
        <v>520</v>
      </c>
      <c r="DP110" s="298" t="s">
        <v>380</v>
      </c>
    </row>
    <row r="111" spans="55:126" thickTop="1" thickBot="1" x14ac:dyDescent="0.3">
      <c r="CU111" s="258" t="s">
        <v>442</v>
      </c>
      <c r="CV111" s="258" t="s">
        <v>381</v>
      </c>
      <c r="CW111" s="258" t="s">
        <v>382</v>
      </c>
      <c r="CX111" s="258" t="s">
        <v>383</v>
      </c>
      <c r="CY111" s="258" t="s">
        <v>384</v>
      </c>
      <c r="CZ111" s="258" t="s">
        <v>385</v>
      </c>
      <c r="DA111" s="81" t="s">
        <v>386</v>
      </c>
      <c r="DB111" s="81"/>
      <c r="DO111" s="298" t="s">
        <v>442</v>
      </c>
      <c r="DP111" s="298" t="s">
        <v>381</v>
      </c>
      <c r="DQ111" s="298" t="s">
        <v>382</v>
      </c>
      <c r="DR111" s="298" t="s">
        <v>383</v>
      </c>
      <c r="DS111" s="298" t="s">
        <v>384</v>
      </c>
      <c r="DT111" s="298" t="s">
        <v>385</v>
      </c>
      <c r="DU111" s="298" t="s">
        <v>386</v>
      </c>
    </row>
    <row r="112" spans="55:126" thickTop="1" thickBot="1" x14ac:dyDescent="0.3">
      <c r="CU112" s="258" t="s">
        <v>442</v>
      </c>
      <c r="CV112" s="258" t="s">
        <v>436</v>
      </c>
      <c r="CW112" s="259">
        <v>290</v>
      </c>
      <c r="CX112" s="259">
        <v>0.1</v>
      </c>
      <c r="CY112" s="258">
        <v>2884.04</v>
      </c>
      <c r="CZ112" s="258" t="s">
        <v>388</v>
      </c>
      <c r="DA112" s="167" t="s">
        <v>389</v>
      </c>
      <c r="DB112" s="81" t="s">
        <v>389</v>
      </c>
      <c r="DO112" s="298" t="s">
        <v>442</v>
      </c>
      <c r="DP112" s="298" t="s">
        <v>436</v>
      </c>
      <c r="DQ112" s="302">
        <v>290</v>
      </c>
      <c r="DR112" s="302">
        <v>0.183</v>
      </c>
      <c r="DS112" s="298">
        <v>1588.69</v>
      </c>
      <c r="DT112" s="298" t="s">
        <v>388</v>
      </c>
      <c r="DU112" s="302" t="s">
        <v>389</v>
      </c>
      <c r="DV112" s="298" t="s">
        <v>389</v>
      </c>
    </row>
    <row r="113" spans="99:126" thickTop="1" thickBot="1" x14ac:dyDescent="0.3">
      <c r="CU113" s="258" t="s">
        <v>442</v>
      </c>
      <c r="CV113" s="258" t="s">
        <v>423</v>
      </c>
      <c r="CW113" s="259">
        <v>295</v>
      </c>
      <c r="CX113" s="259">
        <v>8.4000000000000005E-2</v>
      </c>
      <c r="CY113" s="258">
        <v>3507.65</v>
      </c>
      <c r="CZ113" s="258" t="s">
        <v>388</v>
      </c>
      <c r="DA113" s="167" t="s">
        <v>389</v>
      </c>
      <c r="DB113" s="81" t="s">
        <v>389</v>
      </c>
      <c r="DO113" s="298" t="s">
        <v>442</v>
      </c>
      <c r="DP113" s="298" t="s">
        <v>423</v>
      </c>
      <c r="DQ113" s="302">
        <v>294</v>
      </c>
      <c r="DR113" s="302">
        <v>0.17</v>
      </c>
      <c r="DS113" s="298">
        <v>1733.12</v>
      </c>
      <c r="DT113" s="298" t="s">
        <v>388</v>
      </c>
      <c r="DU113" s="302" t="s">
        <v>389</v>
      </c>
      <c r="DV113" s="298" t="s">
        <v>389</v>
      </c>
    </row>
    <row r="114" spans="99:126" thickTop="1" thickBot="1" x14ac:dyDescent="0.3">
      <c r="CU114" s="258" t="s">
        <v>442</v>
      </c>
      <c r="CV114" s="258" t="s">
        <v>358</v>
      </c>
      <c r="CW114" s="259">
        <v>6.59E-2</v>
      </c>
      <c r="CX114" s="259">
        <v>2.2000000000000001E-3</v>
      </c>
      <c r="CY114" s="258">
        <v>30.02</v>
      </c>
      <c r="CZ114" s="258" t="s">
        <v>388</v>
      </c>
      <c r="DA114" s="81" t="s">
        <v>389</v>
      </c>
      <c r="DB114" s="81"/>
      <c r="DO114" s="298" t="s">
        <v>442</v>
      </c>
      <c r="DP114" s="298" t="s">
        <v>358</v>
      </c>
      <c r="DQ114" s="302">
        <v>0.114</v>
      </c>
      <c r="DR114" s="302">
        <v>5.4999999999999997E-3</v>
      </c>
      <c r="DS114" s="298">
        <v>20.74</v>
      </c>
      <c r="DT114" s="298" t="s">
        <v>388</v>
      </c>
      <c r="DU114" s="298" t="s">
        <v>389</v>
      </c>
    </row>
    <row r="115" spans="99:126" thickTop="1" thickBot="1" x14ac:dyDescent="0.3">
      <c r="CU115" s="258" t="s">
        <v>442</v>
      </c>
      <c r="CV115" s="258" t="s">
        <v>360</v>
      </c>
      <c r="CW115" s="259">
        <v>0.24199999999999999</v>
      </c>
      <c r="CX115" s="259">
        <v>2.5899999999999999E-3</v>
      </c>
      <c r="CY115" s="258">
        <v>93.64</v>
      </c>
      <c r="CZ115" s="258" t="s">
        <v>388</v>
      </c>
      <c r="DA115" s="81" t="s">
        <v>389</v>
      </c>
      <c r="DB115" s="81"/>
      <c r="DO115" s="298" t="s">
        <v>442</v>
      </c>
      <c r="DP115" s="298" t="s">
        <v>360</v>
      </c>
      <c r="DQ115" s="302">
        <v>0.155</v>
      </c>
      <c r="DR115" s="302">
        <v>2.64E-3</v>
      </c>
      <c r="DS115" s="298">
        <v>58.74</v>
      </c>
      <c r="DT115" s="298" t="s">
        <v>388</v>
      </c>
      <c r="DU115" s="298" t="s">
        <v>389</v>
      </c>
    </row>
    <row r="116" spans="99:126" thickTop="1" thickBot="1" x14ac:dyDescent="0.3">
      <c r="CU116" s="258" t="s">
        <v>442</v>
      </c>
      <c r="CV116" s="258" t="s">
        <v>424</v>
      </c>
      <c r="CW116" s="259">
        <v>995000000</v>
      </c>
      <c r="CX116" s="259">
        <v>19700000</v>
      </c>
      <c r="CY116" s="258">
        <v>50.66</v>
      </c>
      <c r="CZ116" s="259" t="s">
        <v>388</v>
      </c>
      <c r="DA116" s="81" t="s">
        <v>389</v>
      </c>
      <c r="DB116" s="81"/>
      <c r="DO116" s="298" t="s">
        <v>442</v>
      </c>
      <c r="DP116" s="298" t="s">
        <v>424</v>
      </c>
      <c r="DQ116" s="302">
        <v>993000000</v>
      </c>
      <c r="DR116" s="302">
        <v>41900000</v>
      </c>
      <c r="DS116" s="298">
        <v>23.71</v>
      </c>
      <c r="DT116" s="302" t="s">
        <v>388</v>
      </c>
      <c r="DU116" s="298" t="s">
        <v>389</v>
      </c>
    </row>
    <row r="117" spans="99:126" thickTop="1" thickBot="1" x14ac:dyDescent="0.3">
      <c r="CU117" s="258" t="s">
        <v>442</v>
      </c>
      <c r="CV117" s="258" t="s">
        <v>364</v>
      </c>
      <c r="CW117" s="259">
        <v>995000000</v>
      </c>
      <c r="CX117" s="259">
        <v>26900000</v>
      </c>
      <c r="CY117" s="258">
        <v>37.04</v>
      </c>
      <c r="CZ117" s="258" t="s">
        <v>388</v>
      </c>
      <c r="DA117" s="81" t="s">
        <v>389</v>
      </c>
      <c r="DB117" s="81"/>
      <c r="DO117" s="298" t="s">
        <v>442</v>
      </c>
      <c r="DP117" s="298" t="s">
        <v>364</v>
      </c>
      <c r="DQ117" s="302">
        <v>991000000</v>
      </c>
      <c r="DR117" s="302">
        <v>56500000</v>
      </c>
      <c r="DS117" s="298">
        <v>17.53</v>
      </c>
      <c r="DT117" s="298" t="s">
        <v>388</v>
      </c>
      <c r="DU117" s="298" t="s">
        <v>389</v>
      </c>
    </row>
    <row r="118" spans="99:126" thickTop="1" thickBot="1" x14ac:dyDescent="0.3">
      <c r="CU118" s="258" t="s">
        <v>442</v>
      </c>
      <c r="CV118" s="258" t="s">
        <v>404</v>
      </c>
      <c r="CW118" s="259">
        <v>-15.9</v>
      </c>
      <c r="CX118" s="259">
        <v>156</v>
      </c>
      <c r="CY118" s="258">
        <v>-0.1</v>
      </c>
      <c r="CZ118" s="258">
        <v>0.92</v>
      </c>
      <c r="DA118" s="167"/>
      <c r="DB118" s="81" t="s">
        <v>389</v>
      </c>
      <c r="DO118" s="298" t="s">
        <v>442</v>
      </c>
      <c r="DP118" s="298" t="s">
        <v>404</v>
      </c>
      <c r="DQ118" s="302">
        <v>-13</v>
      </c>
      <c r="DR118" s="302">
        <v>504</v>
      </c>
      <c r="DS118" s="298">
        <v>-0.03</v>
      </c>
      <c r="DT118" s="298">
        <v>0.98</v>
      </c>
      <c r="DU118" s="302"/>
      <c r="DV118" s="298" t="s">
        <v>389</v>
      </c>
    </row>
    <row r="119" spans="99:126" thickTop="1" thickBot="1" x14ac:dyDescent="0.3">
      <c r="CU119" s="258" t="s">
        <v>442</v>
      </c>
      <c r="CV119" s="258" t="s">
        <v>426</v>
      </c>
      <c r="CW119" s="259">
        <v>-15.5</v>
      </c>
      <c r="CX119" s="259">
        <v>435</v>
      </c>
      <c r="CY119" s="258">
        <v>-0.04</v>
      </c>
      <c r="CZ119" s="258">
        <v>0.97</v>
      </c>
      <c r="DA119" s="167"/>
      <c r="DB119" s="81" t="s">
        <v>389</v>
      </c>
      <c r="DO119" s="298" t="s">
        <v>442</v>
      </c>
      <c r="DP119" s="298" t="s">
        <v>426</v>
      </c>
      <c r="DQ119" s="302">
        <v>-13.6</v>
      </c>
      <c r="DR119" s="302">
        <v>348</v>
      </c>
      <c r="DS119" s="298">
        <v>-0.04</v>
      </c>
      <c r="DT119" s="298">
        <v>0.97</v>
      </c>
      <c r="DU119" s="302"/>
      <c r="DV119" s="298" t="s">
        <v>389</v>
      </c>
    </row>
    <row r="120" spans="99:126" thickTop="1" thickBot="1" x14ac:dyDescent="0.3">
      <c r="CU120" s="258" t="s">
        <v>442</v>
      </c>
      <c r="CV120" s="258" t="s">
        <v>428</v>
      </c>
      <c r="CW120" s="259">
        <v>2.3300000000000001E-2</v>
      </c>
      <c r="CX120" s="259">
        <v>1.3899999999999999E-4</v>
      </c>
      <c r="CY120" s="258">
        <v>167.97</v>
      </c>
      <c r="CZ120" s="258" t="s">
        <v>388</v>
      </c>
      <c r="DA120" s="167" t="s">
        <v>389</v>
      </c>
      <c r="DB120" s="81" t="s">
        <v>389</v>
      </c>
      <c r="DO120" s="298" t="s">
        <v>442</v>
      </c>
      <c r="DP120" s="298" t="s">
        <v>428</v>
      </c>
      <c r="DQ120" s="302">
        <v>2.87E-2</v>
      </c>
      <c r="DR120" s="302">
        <v>5.3399999999999997E-4</v>
      </c>
      <c r="DS120" s="298">
        <v>53.78</v>
      </c>
      <c r="DT120" s="298" t="s">
        <v>388</v>
      </c>
      <c r="DU120" s="302" t="s">
        <v>389</v>
      </c>
      <c r="DV120" s="298" t="s">
        <v>389</v>
      </c>
    </row>
    <row r="121" spans="99:126" thickTop="1" thickBot="1" x14ac:dyDescent="0.3">
      <c r="CU121" s="258" t="s">
        <v>442</v>
      </c>
      <c r="CV121" s="258" t="s">
        <v>429</v>
      </c>
      <c r="CW121" s="259">
        <v>0.06</v>
      </c>
      <c r="CX121" s="259">
        <v>3.0899999999999998E-4</v>
      </c>
      <c r="CY121" s="258">
        <v>194.07</v>
      </c>
      <c r="CZ121" s="258" t="s">
        <v>388</v>
      </c>
      <c r="DA121" s="167" t="s">
        <v>389</v>
      </c>
      <c r="DB121" s="81" t="s">
        <v>389</v>
      </c>
      <c r="DO121" s="298" t="s">
        <v>442</v>
      </c>
      <c r="DP121" s="298" t="s">
        <v>429</v>
      </c>
      <c r="DQ121" s="302">
        <v>5.4100000000000002E-2</v>
      </c>
      <c r="DR121" s="302">
        <v>8.0999999999999996E-4</v>
      </c>
      <c r="DS121" s="298">
        <v>66.760000000000005</v>
      </c>
      <c r="DT121" s="298" t="s">
        <v>388</v>
      </c>
      <c r="DU121" s="302" t="s">
        <v>389</v>
      </c>
      <c r="DV121" s="298" t="s">
        <v>389</v>
      </c>
    </row>
    <row r="122" spans="99:126" thickTop="1" thickBot="1" x14ac:dyDescent="0.3">
      <c r="CU122" s="258" t="s">
        <v>442</v>
      </c>
      <c r="CV122" s="258" t="s">
        <v>416</v>
      </c>
      <c r="CW122" s="259">
        <v>-5.98</v>
      </c>
      <c r="CX122" s="259">
        <v>1.77E-2</v>
      </c>
      <c r="CY122" s="258">
        <v>-337.6</v>
      </c>
      <c r="CZ122" s="258" t="s">
        <v>388</v>
      </c>
      <c r="DA122" s="167" t="s">
        <v>389</v>
      </c>
      <c r="DB122" s="81" t="s">
        <v>389</v>
      </c>
      <c r="DO122" s="298" t="s">
        <v>442</v>
      </c>
      <c r="DP122" s="298" t="s">
        <v>416</v>
      </c>
      <c r="DQ122" s="302">
        <v>-5.6</v>
      </c>
      <c r="DR122" s="302">
        <v>2.2800000000000001E-2</v>
      </c>
      <c r="DS122" s="298">
        <v>-245.4</v>
      </c>
      <c r="DT122" s="298" t="s">
        <v>388</v>
      </c>
      <c r="DU122" s="302" t="s">
        <v>389</v>
      </c>
      <c r="DV122" s="298" t="s">
        <v>389</v>
      </c>
    </row>
    <row r="123" spans="99:126" thickTop="1" thickBot="1" x14ac:dyDescent="0.3">
      <c r="CU123" s="258" t="s">
        <v>442</v>
      </c>
      <c r="CV123" s="258" t="s">
        <v>430</v>
      </c>
      <c r="CW123" s="259">
        <v>-5.74</v>
      </c>
      <c r="CX123" s="259">
        <v>1.52E-2</v>
      </c>
      <c r="CY123" s="258">
        <v>-377.45</v>
      </c>
      <c r="CZ123" s="258" t="s">
        <v>388</v>
      </c>
      <c r="DA123" s="81" t="s">
        <v>389</v>
      </c>
      <c r="DB123" s="81"/>
      <c r="DO123" s="298" t="s">
        <v>442</v>
      </c>
      <c r="DP123" s="298" t="s">
        <v>430</v>
      </c>
      <c r="DQ123" s="302">
        <v>-5.44</v>
      </c>
      <c r="DR123" s="302">
        <v>1.9699999999999999E-2</v>
      </c>
      <c r="DS123" s="298">
        <v>-275.7</v>
      </c>
      <c r="DT123" s="298" t="s">
        <v>388</v>
      </c>
      <c r="DU123" s="298" t="s">
        <v>389</v>
      </c>
    </row>
    <row r="124" spans="99:126" thickTop="1" thickBot="1" x14ac:dyDescent="0.3">
      <c r="CU124" s="258" t="s">
        <v>442</v>
      </c>
      <c r="CV124" s="258" t="s">
        <v>370</v>
      </c>
      <c r="CW124" s="259">
        <v>80.2</v>
      </c>
      <c r="CX124" s="259">
        <v>0.41899999999999998</v>
      </c>
      <c r="CY124" s="258">
        <v>191.11</v>
      </c>
      <c r="CZ124" s="258" t="s">
        <v>388</v>
      </c>
      <c r="DA124" s="167" t="s">
        <v>389</v>
      </c>
      <c r="DB124" s="81" t="s">
        <v>389</v>
      </c>
      <c r="DO124" s="298" t="s">
        <v>442</v>
      </c>
      <c r="DP124" s="298" t="s">
        <v>370</v>
      </c>
      <c r="DQ124" s="302">
        <v>166</v>
      </c>
      <c r="DR124" s="302">
        <v>0.93899999999999995</v>
      </c>
      <c r="DS124" s="298">
        <v>177.11</v>
      </c>
      <c r="DT124" s="298" t="s">
        <v>388</v>
      </c>
      <c r="DU124" s="302" t="s">
        <v>389</v>
      </c>
      <c r="DV124" s="298" t="s">
        <v>389</v>
      </c>
    </row>
    <row r="125" spans="99:126" thickTop="1" thickBot="1" x14ac:dyDescent="0.3">
      <c r="CU125" s="258" t="s">
        <v>442</v>
      </c>
      <c r="CV125" s="258" t="s">
        <v>372</v>
      </c>
      <c r="CW125" s="259">
        <v>1.32E-3</v>
      </c>
      <c r="CX125" s="259">
        <v>0.27600000000000002</v>
      </c>
      <c r="CY125" s="258">
        <v>0</v>
      </c>
      <c r="CZ125" s="258">
        <v>1</v>
      </c>
      <c r="DA125" s="81"/>
      <c r="DO125" s="298" t="s">
        <v>442</v>
      </c>
      <c r="DP125" s="298" t="s">
        <v>372</v>
      </c>
      <c r="DQ125" s="302">
        <v>393</v>
      </c>
      <c r="DR125" s="302">
        <v>457</v>
      </c>
      <c r="DS125" s="298">
        <v>0.86</v>
      </c>
      <c r="DT125" s="298">
        <v>0.39</v>
      </c>
    </row>
    <row r="126" spans="99:126" thickTop="1" thickBot="1" x14ac:dyDescent="0.3">
      <c r="CU126" s="258" t="s">
        <v>442</v>
      </c>
      <c r="CV126" s="258" t="s">
        <v>374</v>
      </c>
      <c r="CW126" s="259">
        <v>136</v>
      </c>
      <c r="CX126" s="259">
        <v>1.1100000000000001</v>
      </c>
      <c r="CY126" s="258">
        <v>122.1</v>
      </c>
      <c r="CZ126" s="258" t="s">
        <v>388</v>
      </c>
      <c r="DA126" s="81" t="s">
        <v>389</v>
      </c>
      <c r="DO126" s="298" t="s">
        <v>442</v>
      </c>
      <c r="DP126" s="298" t="s">
        <v>374</v>
      </c>
      <c r="DQ126" s="302">
        <v>92.4</v>
      </c>
      <c r="DR126" s="302">
        <v>0.98499999999999999</v>
      </c>
      <c r="DS126" s="298">
        <v>93.73</v>
      </c>
      <c r="DT126" s="298" t="s">
        <v>388</v>
      </c>
      <c r="DU126" s="298" t="s">
        <v>389</v>
      </c>
    </row>
  </sheetData>
  <mergeCells count="8">
    <mergeCell ref="W3:AH3"/>
    <mergeCell ref="E33:F33"/>
    <mergeCell ref="E34:F34"/>
    <mergeCell ref="E36:F36"/>
    <mergeCell ref="A1:G1"/>
    <mergeCell ref="A3:H3"/>
    <mergeCell ref="K3:U3"/>
    <mergeCell ref="L4:P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124"/>
  <sheetViews>
    <sheetView zoomScale="55" zoomScaleNormal="55" workbookViewId="0">
      <selection sqref="A1:G1"/>
    </sheetView>
  </sheetViews>
  <sheetFormatPr defaultRowHeight="16.5" thickTop="1" thickBottom="1" x14ac:dyDescent="0.3"/>
  <cols>
    <col min="1" max="8" width="9.140625" style="81"/>
    <col min="9" max="9" width="9.140625" style="1"/>
    <col min="10" max="10" width="9.140625" style="81"/>
    <col min="11" max="13" width="9.140625" style="2"/>
    <col min="14" max="15" width="9.140625" style="81"/>
    <col min="16" max="17" width="9.140625" style="153"/>
    <col min="18" max="20" width="9.140625" style="81"/>
    <col min="21" max="21" width="9.140625" style="1"/>
    <col min="22" max="34" width="9.140625" style="81"/>
    <col min="35" max="36" width="9.140625" style="158"/>
    <col min="37" max="37" width="9.140625" style="159"/>
    <col min="38" max="38" width="10.28515625" style="159" bestFit="1" customWidth="1"/>
    <col min="39" max="40" width="9.140625" style="81"/>
    <col min="41" max="41" width="12.7109375" style="81" bestFit="1" customWidth="1"/>
    <col min="42" max="42" width="12.7109375" style="81" customWidth="1"/>
    <col min="43" max="46" width="9.140625" style="81"/>
    <col min="47" max="50" width="9.140625" style="161"/>
    <col min="51" max="51" width="14.7109375" style="162" bestFit="1" customWidth="1"/>
    <col min="52" max="52" width="9.140625" style="161"/>
    <col min="53" max="53" width="9.140625" style="171"/>
    <col min="54" max="54" width="9.140625" style="81"/>
    <col min="55" max="55" width="16.42578125" style="81" customWidth="1"/>
    <col min="56" max="64" width="9.140625" style="81"/>
    <col min="65" max="65" width="15.7109375" style="81" bestFit="1" customWidth="1"/>
    <col min="66" max="66" width="9.140625" style="81"/>
    <col min="67" max="67" width="9.140625" style="171"/>
    <col min="68" max="79" width="9.140625" style="81"/>
    <col min="80" max="80" width="15.7109375" style="81" bestFit="1" customWidth="1"/>
    <col min="81" max="97" width="9.140625" style="81"/>
    <col min="98" max="103" width="9.140625" style="258"/>
    <col min="104" max="105" width="9.140625" style="81"/>
    <col min="106" max="106" width="15.5703125" style="260" bestFit="1" customWidth="1"/>
    <col min="107" max="110" width="9.140625" style="260"/>
    <col min="111" max="16384" width="9.140625" style="81"/>
  </cols>
  <sheetData>
    <row r="1" spans="1:110" ht="20.25" customHeight="1" thickTop="1" thickBot="1" x14ac:dyDescent="0.35">
      <c r="A1" s="310" t="s">
        <v>312</v>
      </c>
      <c r="B1" s="310"/>
      <c r="C1" s="310"/>
      <c r="D1" s="310"/>
      <c r="E1" s="310"/>
      <c r="F1" s="310"/>
      <c r="G1" s="310"/>
      <c r="AN1" s="160" t="s">
        <v>314</v>
      </c>
      <c r="BB1" s="81" t="s">
        <v>378</v>
      </c>
      <c r="BP1" s="81" t="s">
        <v>432</v>
      </c>
    </row>
    <row r="2" spans="1:110" thickTop="1" thickBot="1" x14ac:dyDescent="0.3">
      <c r="AN2" s="81" t="s">
        <v>315</v>
      </c>
      <c r="CN2" s="81" t="s">
        <v>316</v>
      </c>
      <c r="CO2" s="79" t="s">
        <v>438</v>
      </c>
      <c r="CP2" s="79" t="s">
        <v>439</v>
      </c>
      <c r="CQ2" s="79" t="s">
        <v>440</v>
      </c>
      <c r="CT2" s="258" t="s">
        <v>441</v>
      </c>
    </row>
    <row r="3" spans="1:110" thickTop="1" thickBot="1" x14ac:dyDescent="0.3">
      <c r="A3" s="313" t="s">
        <v>1</v>
      </c>
      <c r="B3" s="314"/>
      <c r="C3" s="314"/>
      <c r="D3" s="314"/>
      <c r="E3" s="314"/>
      <c r="F3" s="314"/>
      <c r="G3" s="314"/>
      <c r="H3" s="315"/>
      <c r="J3" s="307" t="s">
        <v>2</v>
      </c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4"/>
      <c r="V3" s="307" t="s">
        <v>3</v>
      </c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N3" s="163" t="s">
        <v>316</v>
      </c>
      <c r="AO3" s="164" t="s">
        <v>317</v>
      </c>
      <c r="AP3" s="164"/>
      <c r="AQ3" s="165"/>
      <c r="AR3" s="165"/>
      <c r="AS3" s="165"/>
      <c r="AU3" s="166" t="s">
        <v>318</v>
      </c>
      <c r="BB3" s="172"/>
      <c r="BC3" s="172" t="s">
        <v>379</v>
      </c>
      <c r="BD3" s="172"/>
      <c r="BE3" s="172"/>
      <c r="BI3" s="173" t="s">
        <v>318</v>
      </c>
      <c r="BJ3" s="173"/>
      <c r="BK3" s="173"/>
      <c r="BL3" s="173"/>
      <c r="BM3" s="174"/>
      <c r="BN3" s="173"/>
      <c r="BP3" s="81" t="s">
        <v>433</v>
      </c>
      <c r="BQ3" s="81" t="s">
        <v>379</v>
      </c>
      <c r="CN3" s="81" t="s">
        <v>321</v>
      </c>
      <c r="CO3" s="254">
        <f>AY4</f>
        <v>0.21207259728536523</v>
      </c>
      <c r="CP3" s="254">
        <f>BM4</f>
        <v>0.16</v>
      </c>
      <c r="CQ3" s="254">
        <f>CB6</f>
        <v>0.19</v>
      </c>
      <c r="DB3" s="260" t="s">
        <v>466</v>
      </c>
    </row>
    <row r="4" spans="1:110" ht="15.75" customHeight="1" thickTop="1" thickBot="1" x14ac:dyDescent="0.3">
      <c r="A4" s="182" t="s">
        <v>6</v>
      </c>
      <c r="B4" s="183">
        <f>'Tabula data'!B5</f>
        <v>509.6</v>
      </c>
      <c r="C4" s="183" t="s">
        <v>7</v>
      </c>
      <c r="D4" s="182" t="s">
        <v>8</v>
      </c>
      <c r="E4" s="183"/>
      <c r="F4" s="183"/>
      <c r="G4" s="184">
        <f>SUM(H6:H13)</f>
        <v>32.299999999999997</v>
      </c>
      <c r="H4" s="185" t="s">
        <v>9</v>
      </c>
      <c r="K4" s="316" t="s">
        <v>2</v>
      </c>
      <c r="L4" s="317"/>
      <c r="M4" s="317"/>
      <c r="N4" s="317"/>
      <c r="O4" s="318"/>
      <c r="W4" s="226"/>
      <c r="X4" s="226"/>
      <c r="Y4" s="227" t="s">
        <v>4</v>
      </c>
      <c r="Z4" s="227">
        <v>0.85</v>
      </c>
      <c r="AA4" s="227" t="s">
        <v>5</v>
      </c>
      <c r="AB4" s="226"/>
      <c r="AC4" s="226"/>
      <c r="AD4" s="226"/>
      <c r="AL4" s="159" t="s">
        <v>319</v>
      </c>
      <c r="AM4" s="81" t="s">
        <v>320</v>
      </c>
      <c r="AN4" s="81" t="s">
        <v>321</v>
      </c>
      <c r="AO4" s="81">
        <f>SUM(N6:N9)/SUM($N$6:$N$14,$N$26:$N$27)</f>
        <v>0.21207259728536523</v>
      </c>
      <c r="AP4" s="81" t="s">
        <v>322</v>
      </c>
      <c r="AQ4" s="167">
        <v>0.1641929</v>
      </c>
      <c r="AU4" s="168" t="s">
        <v>319</v>
      </c>
      <c r="AV4" s="168" t="s">
        <v>320</v>
      </c>
      <c r="AW4" s="168" t="s">
        <v>321</v>
      </c>
      <c r="AX4" s="169" t="s">
        <v>323</v>
      </c>
      <c r="AY4" s="162">
        <f>AO4</f>
        <v>0.21207259728536523</v>
      </c>
      <c r="AZ4" s="168" t="s">
        <v>322</v>
      </c>
      <c r="BB4" s="81" t="s">
        <v>380</v>
      </c>
      <c r="BI4" s="175" t="s">
        <v>319</v>
      </c>
      <c r="BJ4" s="175" t="s">
        <v>320</v>
      </c>
      <c r="BK4" s="175" t="s">
        <v>321</v>
      </c>
      <c r="BL4" s="175" t="s">
        <v>323</v>
      </c>
      <c r="BM4" s="174">
        <f>BC11</f>
        <v>0.16</v>
      </c>
      <c r="BN4" s="175" t="s">
        <v>322</v>
      </c>
      <c r="BP4" s="81" t="s">
        <v>380</v>
      </c>
      <c r="CN4" s="81" t="s">
        <v>324</v>
      </c>
      <c r="CO4" s="254">
        <f t="shared" ref="CO4:CO49" si="0">AY5</f>
        <v>0.21207259728536523</v>
      </c>
      <c r="CP4" s="254">
        <f t="shared" ref="CP4:CP49" si="1">BM5</f>
        <v>0.318</v>
      </c>
      <c r="CQ4" s="254">
        <f t="shared" ref="CQ4:CQ49" si="2">CB7</f>
        <v>0.38</v>
      </c>
      <c r="CT4" s="258" t="s">
        <v>442</v>
      </c>
      <c r="CU4" s="258" t="s">
        <v>433</v>
      </c>
      <c r="CV4" s="258" t="s">
        <v>443</v>
      </c>
    </row>
    <row r="5" spans="1:110" ht="15" customHeight="1" thickTop="1" thickBot="1" x14ac:dyDescent="0.3">
      <c r="A5" s="186"/>
      <c r="B5" s="187"/>
      <c r="C5" s="187"/>
      <c r="D5" s="188"/>
      <c r="E5" s="189"/>
      <c r="F5" s="189"/>
      <c r="G5" s="189"/>
      <c r="H5" s="190"/>
      <c r="J5" s="81" t="s">
        <v>10</v>
      </c>
      <c r="K5" s="211" t="s">
        <v>11</v>
      </c>
      <c r="L5" s="212" t="s">
        <v>12</v>
      </c>
      <c r="M5" s="212" t="s">
        <v>13</v>
      </c>
      <c r="N5" s="212" t="s">
        <v>14</v>
      </c>
      <c r="O5" s="213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228" t="s">
        <v>20</v>
      </c>
      <c r="X5" s="229"/>
      <c r="Y5" s="230" t="s">
        <v>21</v>
      </c>
      <c r="Z5" s="231">
        <f>1/(1/10+SUM(AC9:AC12)+1/23)</f>
        <v>0.3127301569316186</v>
      </c>
      <c r="AA5" s="229" t="s">
        <v>5</v>
      </c>
      <c r="AB5" s="229"/>
      <c r="AC5" s="229" t="s">
        <v>22</v>
      </c>
      <c r="AD5" s="232">
        <f>SUM(AD7:AD10)</f>
        <v>56952</v>
      </c>
      <c r="AE5" s="14" t="s">
        <v>23</v>
      </c>
      <c r="AF5" s="14">
        <f>AD10</f>
        <v>16380</v>
      </c>
      <c r="AG5" s="14"/>
      <c r="AL5" s="159" t="s">
        <v>319</v>
      </c>
      <c r="AM5" s="81" t="s">
        <v>320</v>
      </c>
      <c r="AN5" s="81" t="s">
        <v>324</v>
      </c>
      <c r="AO5" s="81">
        <f>SUM(N27)/SUM($N$6:$N$14,$N$26:$N$27)</f>
        <v>0.21207259728536523</v>
      </c>
      <c r="AP5" s="81" t="s">
        <v>322</v>
      </c>
      <c r="AQ5" s="167">
        <v>0.42146270000000002</v>
      </c>
      <c r="AU5" s="168" t="s">
        <v>319</v>
      </c>
      <c r="AV5" s="168" t="s">
        <v>320</v>
      </c>
      <c r="AW5" s="168" t="s">
        <v>324</v>
      </c>
      <c r="AX5" s="169" t="s">
        <v>323</v>
      </c>
      <c r="AY5" s="162">
        <f>AO5</f>
        <v>0.21207259728536523</v>
      </c>
      <c r="AZ5" s="168" t="s">
        <v>322</v>
      </c>
      <c r="BB5" s="81" t="s">
        <v>381</v>
      </c>
      <c r="BC5" s="81" t="s">
        <v>382</v>
      </c>
      <c r="BD5" s="81" t="s">
        <v>383</v>
      </c>
      <c r="BE5" s="81" t="s">
        <v>384</v>
      </c>
      <c r="BF5" s="81" t="s">
        <v>385</v>
      </c>
      <c r="BI5" s="175" t="s">
        <v>319</v>
      </c>
      <c r="BJ5" s="175" t="s">
        <v>320</v>
      </c>
      <c r="BK5" s="175" t="s">
        <v>324</v>
      </c>
      <c r="BL5" s="175" t="s">
        <v>323</v>
      </c>
      <c r="BM5" s="174">
        <f>BC12</f>
        <v>0.318</v>
      </c>
      <c r="BN5" s="175" t="s">
        <v>322</v>
      </c>
      <c r="BP5" s="81" t="s">
        <v>381</v>
      </c>
      <c r="BQ5" s="81" t="s">
        <v>382</v>
      </c>
      <c r="BR5" s="81" t="s">
        <v>383</v>
      </c>
      <c r="BS5" s="81" t="s">
        <v>384</v>
      </c>
      <c r="BT5" s="81" t="s">
        <v>385</v>
      </c>
      <c r="BU5" s="81" t="s">
        <v>386</v>
      </c>
      <c r="BX5" s="176" t="s">
        <v>318</v>
      </c>
      <c r="BY5" s="176"/>
      <c r="BZ5" s="176"/>
      <c r="CA5" s="176"/>
      <c r="CB5" s="177"/>
      <c r="CC5" s="176"/>
      <c r="CN5" s="81" t="s">
        <v>325</v>
      </c>
      <c r="CO5" s="254">
        <f t="shared" si="0"/>
        <v>4.6165575118802198E-2</v>
      </c>
      <c r="CP5" s="254">
        <f t="shared" si="1"/>
        <v>0.26200000000000001</v>
      </c>
      <c r="CQ5" s="254">
        <f t="shared" si="2"/>
        <v>5.0500000000000003E-2</v>
      </c>
      <c r="CT5" s="258" t="s">
        <v>442</v>
      </c>
      <c r="CU5" s="258" t="s">
        <v>380</v>
      </c>
      <c r="DB5" s="260" t="s">
        <v>467</v>
      </c>
      <c r="DC5" s="261" t="s">
        <v>468</v>
      </c>
      <c r="DD5" s="261" t="s">
        <v>323</v>
      </c>
      <c r="DE5" s="262">
        <f>CV12</f>
        <v>0.94499999999999995</v>
      </c>
      <c r="DF5" s="260" t="s">
        <v>322</v>
      </c>
    </row>
    <row r="6" spans="1:110" ht="15" customHeight="1" thickTop="1" thickBot="1" x14ac:dyDescent="0.3">
      <c r="A6" s="191" t="s">
        <v>34</v>
      </c>
      <c r="B6" s="192">
        <f>'Tabula data'!B4</f>
        <v>185.3</v>
      </c>
      <c r="C6" s="193" t="s">
        <v>9</v>
      </c>
      <c r="D6" s="194" t="s">
        <v>35</v>
      </c>
      <c r="E6" s="189" t="s">
        <v>36</v>
      </c>
      <c r="F6" s="195">
        <f t="shared" ref="F6:F13" si="3">H6/$G$4</f>
        <v>0.12074303405572756</v>
      </c>
      <c r="G6" s="189"/>
      <c r="H6" s="196">
        <f>'Tabula data'!B22*'Tabula 2zone Ref 1'!C45</f>
        <v>3.9</v>
      </c>
      <c r="J6" s="81" t="s">
        <v>24</v>
      </c>
      <c r="K6" s="214">
        <v>0</v>
      </c>
      <c r="L6" s="215">
        <v>1</v>
      </c>
      <c r="M6" s="215" t="s">
        <v>25</v>
      </c>
      <c r="N6" s="216">
        <f>'Tabula data'!B19*C43</f>
        <v>19.742421874491026</v>
      </c>
      <c r="O6" s="217" t="s">
        <v>26</v>
      </c>
      <c r="P6" s="30">
        <f t="shared" ref="P6:P28" si="4">VLOOKUP(M6,$W$5:$Z$391,4,0)</f>
        <v>0.31684206193169995</v>
      </c>
      <c r="Q6" s="30">
        <f t="shared" ref="Q6:Q28" si="5">P6*N6</f>
        <v>6.2552296542392334</v>
      </c>
      <c r="R6" s="30">
        <f t="shared" ref="R6:R14" si="6">VLOOKUP(M6,$W$5:$AD$391,8,0)*N6</f>
        <v>6696160.6173078371</v>
      </c>
      <c r="S6" s="30">
        <f t="shared" ref="S6:S14" si="7">R6/N6</f>
        <v>339176.25</v>
      </c>
      <c r="T6" s="30">
        <f t="shared" ref="T6:T14" si="8">VLOOKUP(M6,$W$5:$AF$391,10,0)*N6</f>
        <v>3573773.2077203658</v>
      </c>
      <c r="U6" s="31"/>
      <c r="V6" s="153"/>
      <c r="W6" s="233"/>
      <c r="X6" s="234" t="s">
        <v>27</v>
      </c>
      <c r="Y6" s="234" t="s">
        <v>28</v>
      </c>
      <c r="Z6" s="234" t="s">
        <v>29</v>
      </c>
      <c r="AA6" s="234" t="s">
        <v>30</v>
      </c>
      <c r="AB6" s="234" t="s">
        <v>31</v>
      </c>
      <c r="AC6" s="234" t="s">
        <v>32</v>
      </c>
      <c r="AD6" s="235" t="s">
        <v>33</v>
      </c>
      <c r="AE6" s="14"/>
      <c r="AF6" s="14"/>
      <c r="AG6" s="14"/>
      <c r="AL6" s="159" t="s">
        <v>319</v>
      </c>
      <c r="AM6" s="81" t="s">
        <v>320</v>
      </c>
      <c r="AN6" s="81" t="s">
        <v>325</v>
      </c>
      <c r="AO6" s="81">
        <f>SUM(N10:N13)/SUM($N$6:$N$14,$N$26:$N$27)</f>
        <v>4.6165575118802198E-2</v>
      </c>
      <c r="AP6" s="81" t="s">
        <v>322</v>
      </c>
      <c r="AQ6" s="167">
        <v>0.13510150000000001</v>
      </c>
      <c r="AU6" s="168" t="s">
        <v>319</v>
      </c>
      <c r="AV6" s="168" t="s">
        <v>320</v>
      </c>
      <c r="AW6" s="168" t="s">
        <v>325</v>
      </c>
      <c r="AX6" s="169" t="s">
        <v>323</v>
      </c>
      <c r="AY6" s="162">
        <f>AO6</f>
        <v>4.6165575118802198E-2</v>
      </c>
      <c r="AZ6" s="168" t="s">
        <v>322</v>
      </c>
      <c r="BB6" s="81" t="s">
        <v>387</v>
      </c>
      <c r="BC6" s="167">
        <v>299</v>
      </c>
      <c r="BD6" s="167">
        <v>9.6299999999999997E-2</v>
      </c>
      <c r="BE6" s="81">
        <v>3101.23</v>
      </c>
      <c r="BF6" s="81" t="s">
        <v>388</v>
      </c>
      <c r="BI6" s="175" t="s">
        <v>319</v>
      </c>
      <c r="BJ6" s="175" t="s">
        <v>320</v>
      </c>
      <c r="BK6" s="175" t="s">
        <v>325</v>
      </c>
      <c r="BL6" s="175" t="s">
        <v>323</v>
      </c>
      <c r="BM6" s="174">
        <f>BC13</f>
        <v>0.26200000000000001</v>
      </c>
      <c r="BN6" s="175" t="s">
        <v>322</v>
      </c>
      <c r="BP6" s="81" t="s">
        <v>387</v>
      </c>
      <c r="BQ6" s="167">
        <v>291</v>
      </c>
      <c r="BR6" s="167">
        <v>0.14199999999999999</v>
      </c>
      <c r="BS6" s="81">
        <v>2053.1799999999998</v>
      </c>
      <c r="BT6" s="81" t="s">
        <v>422</v>
      </c>
      <c r="BU6" s="167">
        <v>2E-16</v>
      </c>
      <c r="BV6" s="81" t="s">
        <v>389</v>
      </c>
      <c r="BX6" s="178" t="s">
        <v>319</v>
      </c>
      <c r="BY6" s="178" t="s">
        <v>320</v>
      </c>
      <c r="BZ6" s="178" t="s">
        <v>321</v>
      </c>
      <c r="CA6" s="178" t="s">
        <v>323</v>
      </c>
      <c r="CB6" s="177">
        <f>BQ11</f>
        <v>0.19</v>
      </c>
      <c r="CC6" s="178" t="s">
        <v>322</v>
      </c>
      <c r="CN6" s="81" t="s">
        <v>326</v>
      </c>
      <c r="CO6" s="254">
        <f t="shared" si="0"/>
        <v>0.27442075612414923</v>
      </c>
      <c r="CP6" s="254">
        <f t="shared" si="1"/>
        <v>0.156</v>
      </c>
      <c r="CQ6" s="254">
        <f t="shared" si="2"/>
        <v>0.20300000000000001</v>
      </c>
      <c r="CT6" s="258" t="s">
        <v>442</v>
      </c>
      <c r="CU6" s="258" t="s">
        <v>381</v>
      </c>
      <c r="CV6" s="258" t="s">
        <v>382</v>
      </c>
      <c r="CW6" s="258" t="s">
        <v>383</v>
      </c>
      <c r="CX6" s="258" t="s">
        <v>384</v>
      </c>
      <c r="CY6" s="258" t="s">
        <v>385</v>
      </c>
      <c r="CZ6" s="81" t="s">
        <v>386</v>
      </c>
      <c r="DB6" s="260" t="s">
        <v>467</v>
      </c>
      <c r="DC6" s="261" t="s">
        <v>469</v>
      </c>
      <c r="DD6" s="261" t="s">
        <v>323</v>
      </c>
      <c r="DE6" s="262">
        <f t="shared" ref="DE6:DE24" si="9">CV13</f>
        <v>0.79800000000000004</v>
      </c>
      <c r="DF6" s="260" t="s">
        <v>322</v>
      </c>
    </row>
    <row r="7" spans="1:110" ht="15" customHeight="1" thickTop="1" thickBot="1" x14ac:dyDescent="0.3">
      <c r="A7" s="194" t="s">
        <v>42</v>
      </c>
      <c r="B7" s="197">
        <f>'Tabula data'!B14</f>
        <v>96</v>
      </c>
      <c r="C7" s="198" t="s">
        <v>9</v>
      </c>
      <c r="D7" s="194" t="s">
        <v>43</v>
      </c>
      <c r="E7" s="189" t="s">
        <v>36</v>
      </c>
      <c r="F7" s="195">
        <f t="shared" si="3"/>
        <v>0.12383900928792571</v>
      </c>
      <c r="G7" s="189"/>
      <c r="H7" s="196">
        <f>'Tabula data'!B23*'Tabula 2zone Ref 1'!C45</f>
        <v>4</v>
      </c>
      <c r="J7" s="81" t="s">
        <v>38</v>
      </c>
      <c r="K7" s="218">
        <v>0</v>
      </c>
      <c r="L7" s="219">
        <v>1</v>
      </c>
      <c r="M7" s="219" t="s">
        <v>25</v>
      </c>
      <c r="N7" s="220">
        <f>'Tabula data'!B20*C43</f>
        <v>34.704039143624534</v>
      </c>
      <c r="O7" s="221" t="s">
        <v>39</v>
      </c>
      <c r="P7" s="30">
        <f t="shared" si="4"/>
        <v>0.31684206193169995</v>
      </c>
      <c r="Q7" s="30">
        <f t="shared" si="5"/>
        <v>10.995699319624423</v>
      </c>
      <c r="R7" s="30">
        <f t="shared" si="6"/>
        <v>11770785.856587781</v>
      </c>
      <c r="S7" s="30">
        <f t="shared" si="7"/>
        <v>339176.25</v>
      </c>
      <c r="T7" s="30">
        <f t="shared" si="8"/>
        <v>6282125.1657789145</v>
      </c>
      <c r="U7" s="31"/>
      <c r="V7" s="153"/>
      <c r="W7" s="188"/>
      <c r="X7" s="189" t="s">
        <v>40</v>
      </c>
      <c r="Y7" s="189">
        <v>2.5000000000000001E-2</v>
      </c>
      <c r="Z7" s="189">
        <v>1.3</v>
      </c>
      <c r="AA7" s="189">
        <v>1700</v>
      </c>
      <c r="AB7" s="189">
        <v>840</v>
      </c>
      <c r="AC7" s="236">
        <f>Y7/Z7</f>
        <v>1.9230769230769232E-2</v>
      </c>
      <c r="AD7" s="190">
        <f>Y7*AA7*AB7</f>
        <v>35700</v>
      </c>
      <c r="AE7" s="14" t="s">
        <v>41</v>
      </c>
      <c r="AF7" s="14"/>
      <c r="AG7" s="14"/>
      <c r="AL7" s="159" t="s">
        <v>319</v>
      </c>
      <c r="AM7" s="81" t="s">
        <v>320</v>
      </c>
      <c r="AN7" s="81" t="s">
        <v>326</v>
      </c>
      <c r="AO7" s="81">
        <f>SUM(N14)/SUM(N6:N14,N27,N26)</f>
        <v>0.27442075612414923</v>
      </c>
      <c r="AP7" s="81" t="s">
        <v>322</v>
      </c>
      <c r="AQ7" s="167">
        <v>0.161666</v>
      </c>
      <c r="AU7" s="168" t="s">
        <v>319</v>
      </c>
      <c r="AV7" s="168" t="s">
        <v>320</v>
      </c>
      <c r="AW7" s="168" t="s">
        <v>326</v>
      </c>
      <c r="AX7" s="169" t="s">
        <v>323</v>
      </c>
      <c r="AY7" s="162">
        <f>AO7</f>
        <v>0.27442075612414923</v>
      </c>
      <c r="AZ7" s="168" t="s">
        <v>322</v>
      </c>
      <c r="BB7" s="81" t="s">
        <v>390</v>
      </c>
      <c r="BC7" s="167">
        <v>295</v>
      </c>
      <c r="BD7" s="167">
        <v>4.9200000000000001E-2</v>
      </c>
      <c r="BE7" s="81">
        <v>5996.7</v>
      </c>
      <c r="BF7" s="81" t="s">
        <v>388</v>
      </c>
      <c r="BI7" s="175" t="s">
        <v>319</v>
      </c>
      <c r="BJ7" s="175" t="s">
        <v>320</v>
      </c>
      <c r="BK7" s="175" t="s">
        <v>326</v>
      </c>
      <c r="BL7" s="175" t="s">
        <v>323</v>
      </c>
      <c r="BM7" s="174">
        <f>BC14</f>
        <v>0.156</v>
      </c>
      <c r="BN7" s="175" t="s">
        <v>322</v>
      </c>
      <c r="BP7" s="81" t="s">
        <v>390</v>
      </c>
      <c r="BQ7" s="167">
        <v>289</v>
      </c>
      <c r="BR7" s="167">
        <v>0.112</v>
      </c>
      <c r="BS7" s="81">
        <v>2573.84</v>
      </c>
      <c r="BT7" s="81" t="s">
        <v>422</v>
      </c>
      <c r="BU7" s="167">
        <v>2E-16</v>
      </c>
      <c r="BV7" s="81" t="s">
        <v>389</v>
      </c>
      <c r="BX7" s="178" t="s">
        <v>319</v>
      </c>
      <c r="BY7" s="178" t="s">
        <v>320</v>
      </c>
      <c r="BZ7" s="178" t="s">
        <v>324</v>
      </c>
      <c r="CA7" s="178" t="s">
        <v>323</v>
      </c>
      <c r="CB7" s="177">
        <f>BQ12</f>
        <v>0.38</v>
      </c>
      <c r="CC7" s="178" t="s">
        <v>322</v>
      </c>
      <c r="CO7" s="255"/>
      <c r="CP7" s="255"/>
      <c r="CQ7" s="255"/>
      <c r="CT7" s="258" t="s">
        <v>442</v>
      </c>
      <c r="CU7" s="258" t="s">
        <v>387</v>
      </c>
      <c r="CV7" s="259">
        <v>291</v>
      </c>
      <c r="CW7" s="259">
        <v>0.13900000000000001</v>
      </c>
      <c r="CX7" s="258">
        <v>2093.4699999999998</v>
      </c>
      <c r="CY7" s="258" t="s">
        <v>422</v>
      </c>
      <c r="CZ7" s="167">
        <v>2E-16</v>
      </c>
      <c r="DA7" s="81" t="s">
        <v>389</v>
      </c>
      <c r="DB7" s="260" t="s">
        <v>467</v>
      </c>
      <c r="DC7" s="263" t="s">
        <v>470</v>
      </c>
      <c r="DD7" s="261" t="s">
        <v>323</v>
      </c>
      <c r="DE7" s="262">
        <f t="shared" si="9"/>
        <v>1.04</v>
      </c>
      <c r="DF7" s="260" t="s">
        <v>322</v>
      </c>
    </row>
    <row r="8" spans="1:110" ht="15" customHeight="1" thickTop="1" thickBot="1" x14ac:dyDescent="0.3">
      <c r="A8" s="194" t="s">
        <v>47</v>
      </c>
      <c r="B8" s="197">
        <f>B6-B7</f>
        <v>89.300000000000011</v>
      </c>
      <c r="C8" s="189" t="s">
        <v>9</v>
      </c>
      <c r="D8" s="194" t="s">
        <v>48</v>
      </c>
      <c r="E8" s="189" t="s">
        <v>36</v>
      </c>
      <c r="F8" s="195">
        <f t="shared" si="3"/>
        <v>0.1408668730650155</v>
      </c>
      <c r="G8" s="189"/>
      <c r="H8" s="196">
        <f>'Tabula data'!B24*C45</f>
        <v>4.55</v>
      </c>
      <c r="J8" s="81" t="s">
        <v>44</v>
      </c>
      <c r="K8" s="218">
        <v>0</v>
      </c>
      <c r="L8" s="219">
        <v>1</v>
      </c>
      <c r="M8" s="219" t="s">
        <v>25</v>
      </c>
      <c r="N8" s="220">
        <f>N6</f>
        <v>19.742421874491026</v>
      </c>
      <c r="O8" s="221" t="s">
        <v>45</v>
      </c>
      <c r="P8" s="30">
        <f t="shared" si="4"/>
        <v>0.31684206193169995</v>
      </c>
      <c r="Q8" s="30">
        <f t="shared" si="5"/>
        <v>6.2552296542392334</v>
      </c>
      <c r="R8" s="30">
        <f t="shared" si="6"/>
        <v>6696160.6173078371</v>
      </c>
      <c r="S8" s="30">
        <f t="shared" si="7"/>
        <v>339176.25</v>
      </c>
      <c r="T8" s="30">
        <f t="shared" si="8"/>
        <v>3573773.2077203658</v>
      </c>
      <c r="U8" s="31"/>
      <c r="V8" s="153"/>
      <c r="W8" s="188"/>
      <c r="X8" s="189" t="s">
        <v>46</v>
      </c>
      <c r="Y8" s="189">
        <v>0.03</v>
      </c>
      <c r="Z8" s="189">
        <f>0.18/Y8</f>
        <v>6</v>
      </c>
      <c r="AA8" s="189">
        <v>0</v>
      </c>
      <c r="AB8" s="189">
        <v>0</v>
      </c>
      <c r="AC8" s="236">
        <v>0.18</v>
      </c>
      <c r="AD8" s="190">
        <f>Y8*AA8*AB8</f>
        <v>0</v>
      </c>
      <c r="AE8" s="14"/>
      <c r="AF8" s="14"/>
      <c r="AG8" s="14"/>
      <c r="AP8" s="81" t="s">
        <v>322</v>
      </c>
      <c r="AQ8" s="167"/>
      <c r="AU8" s="168"/>
      <c r="AV8" s="168"/>
      <c r="AW8" s="168"/>
      <c r="AX8" s="169"/>
      <c r="AZ8" s="168"/>
      <c r="BB8" s="81" t="s">
        <v>391</v>
      </c>
      <c r="BC8" s="167">
        <v>299</v>
      </c>
      <c r="BD8" s="167">
        <v>2.6599999999999999E-2</v>
      </c>
      <c r="BE8" s="81">
        <v>11253.68</v>
      </c>
      <c r="BF8" s="81" t="s">
        <v>388</v>
      </c>
      <c r="BI8" s="175"/>
      <c r="BJ8" s="175"/>
      <c r="BK8" s="175"/>
      <c r="BL8" s="175"/>
      <c r="BM8" s="174"/>
      <c r="BN8" s="175"/>
      <c r="BP8" s="81" t="s">
        <v>391</v>
      </c>
      <c r="BQ8" s="167">
        <v>295</v>
      </c>
      <c r="BR8" s="167">
        <v>5.5100000000000003E-2</v>
      </c>
      <c r="BS8" s="81">
        <v>5345.13</v>
      </c>
      <c r="BT8" s="81" t="s">
        <v>422</v>
      </c>
      <c r="BU8" s="167">
        <v>2E-16</v>
      </c>
      <c r="BV8" s="81" t="s">
        <v>389</v>
      </c>
      <c r="BX8" s="178" t="s">
        <v>319</v>
      </c>
      <c r="BY8" s="178" t="s">
        <v>320</v>
      </c>
      <c r="BZ8" s="178" t="s">
        <v>325</v>
      </c>
      <c r="CA8" s="178" t="s">
        <v>323</v>
      </c>
      <c r="CB8" s="177">
        <f>BQ13</f>
        <v>5.0500000000000003E-2</v>
      </c>
      <c r="CC8" s="178" t="s">
        <v>322</v>
      </c>
      <c r="CN8" s="81" t="s">
        <v>327</v>
      </c>
      <c r="CO8" s="256">
        <f t="shared" si="0"/>
        <v>1768166.3999999999</v>
      </c>
      <c r="CP8" s="256">
        <f t="shared" si="1"/>
        <v>2950000</v>
      </c>
      <c r="CQ8" s="256">
        <f t="shared" si="2"/>
        <v>3560000</v>
      </c>
      <c r="CT8" s="258" t="s">
        <v>442</v>
      </c>
      <c r="CU8" s="258" t="s">
        <v>390</v>
      </c>
      <c r="CV8" s="259">
        <v>289</v>
      </c>
      <c r="CW8" s="259">
        <v>0.107</v>
      </c>
      <c r="CX8" s="258">
        <v>2703.03</v>
      </c>
      <c r="CY8" s="258" t="s">
        <v>422</v>
      </c>
      <c r="CZ8" s="167">
        <v>2E-16</v>
      </c>
      <c r="DA8" s="81" t="s">
        <v>389</v>
      </c>
      <c r="DB8" s="260" t="s">
        <v>467</v>
      </c>
      <c r="DC8" s="264" t="s">
        <v>471</v>
      </c>
      <c r="DD8" s="261" t="s">
        <v>323</v>
      </c>
      <c r="DE8" s="262">
        <f t="shared" si="9"/>
        <v>0.82699999999999996</v>
      </c>
      <c r="DF8" s="260" t="s">
        <v>322</v>
      </c>
    </row>
    <row r="9" spans="1:110" ht="15" customHeight="1" thickTop="1" thickBot="1" x14ac:dyDescent="0.3">
      <c r="A9" s="188"/>
      <c r="B9" s="189"/>
      <c r="C9" s="189"/>
      <c r="D9" s="194" t="s">
        <v>52</v>
      </c>
      <c r="E9" s="199" t="s">
        <v>36</v>
      </c>
      <c r="F9" s="195">
        <f t="shared" si="3"/>
        <v>0.11455108359133129</v>
      </c>
      <c r="G9" s="189"/>
      <c r="H9" s="196">
        <f>'Tabula data'!B25*'Tabula 2zone Ref 1'!C45</f>
        <v>3.7</v>
      </c>
      <c r="J9" s="81" t="s">
        <v>49</v>
      </c>
      <c r="K9" s="218">
        <v>0</v>
      </c>
      <c r="L9" s="219">
        <v>1</v>
      </c>
      <c r="M9" s="219" t="s">
        <v>25</v>
      </c>
      <c r="N9" s="220">
        <v>0</v>
      </c>
      <c r="O9" s="221" t="s">
        <v>50</v>
      </c>
      <c r="P9" s="30">
        <f t="shared" si="4"/>
        <v>0.31684206193169995</v>
      </c>
      <c r="Q9" s="30">
        <f t="shared" si="5"/>
        <v>0</v>
      </c>
      <c r="R9" s="30">
        <f t="shared" si="6"/>
        <v>0</v>
      </c>
      <c r="S9" s="30" t="e">
        <f t="shared" si="7"/>
        <v>#DIV/0!</v>
      </c>
      <c r="T9" s="30">
        <f t="shared" si="8"/>
        <v>0</v>
      </c>
      <c r="U9" s="31"/>
      <c r="V9" s="153"/>
      <c r="W9" s="188"/>
      <c r="X9" s="199" t="s">
        <v>51</v>
      </c>
      <c r="Y9" s="270">
        <v>7.2499999999999995E-2</v>
      </c>
      <c r="Z9" s="270">
        <v>2.4E-2</v>
      </c>
      <c r="AA9" s="189">
        <v>80</v>
      </c>
      <c r="AB9" s="189">
        <v>840</v>
      </c>
      <c r="AC9" s="236">
        <f>Y9/Z9</f>
        <v>3.020833333333333</v>
      </c>
      <c r="AD9" s="190">
        <f>Y9*AA9*AB9</f>
        <v>4872</v>
      </c>
      <c r="AE9" s="149" t="s">
        <v>270</v>
      </c>
      <c r="AF9" s="14"/>
      <c r="AG9" s="14"/>
      <c r="AL9" s="159" t="s">
        <v>319</v>
      </c>
      <c r="AM9" s="81" t="s">
        <v>320</v>
      </c>
      <c r="AN9" s="81" t="s">
        <v>327</v>
      </c>
      <c r="AO9" s="167">
        <f>B34*1.04*1012*5</f>
        <v>1768166.3999999999</v>
      </c>
      <c r="AP9" s="81" t="s">
        <v>322</v>
      </c>
      <c r="AQ9" s="167">
        <v>2745646</v>
      </c>
      <c r="AU9" s="168" t="s">
        <v>319</v>
      </c>
      <c r="AV9" s="168" t="s">
        <v>320</v>
      </c>
      <c r="AW9" s="168" t="s">
        <v>327</v>
      </c>
      <c r="AX9" s="169" t="s">
        <v>323</v>
      </c>
      <c r="AY9" s="162">
        <f>AO9</f>
        <v>1768166.3999999999</v>
      </c>
      <c r="AZ9" s="168" t="s">
        <v>322</v>
      </c>
      <c r="BB9" s="81" t="s">
        <v>392</v>
      </c>
      <c r="BC9" s="167">
        <v>297</v>
      </c>
      <c r="BD9" s="167">
        <v>9.3200000000000005E-2</v>
      </c>
      <c r="BE9" s="81">
        <v>3182.59</v>
      </c>
      <c r="BF9" s="81" t="s">
        <v>388</v>
      </c>
      <c r="BI9" s="175" t="s">
        <v>319</v>
      </c>
      <c r="BJ9" s="175" t="s">
        <v>320</v>
      </c>
      <c r="BK9" s="175" t="s">
        <v>327</v>
      </c>
      <c r="BL9" s="175" t="s">
        <v>323</v>
      </c>
      <c r="BM9" s="174">
        <f>BC19</f>
        <v>2950000</v>
      </c>
      <c r="BN9" s="175" t="s">
        <v>322</v>
      </c>
      <c r="BP9" s="81" t="s">
        <v>392</v>
      </c>
      <c r="BQ9" s="167">
        <v>290</v>
      </c>
      <c r="BR9" s="167">
        <v>0.124</v>
      </c>
      <c r="BS9" s="81">
        <v>2333.5300000000002</v>
      </c>
      <c r="BT9" s="81" t="s">
        <v>422</v>
      </c>
      <c r="BU9" s="167">
        <v>2E-16</v>
      </c>
      <c r="BV9" s="81" t="s">
        <v>389</v>
      </c>
      <c r="BX9" s="178" t="s">
        <v>319</v>
      </c>
      <c r="BY9" s="178" t="s">
        <v>320</v>
      </c>
      <c r="BZ9" s="178" t="s">
        <v>326</v>
      </c>
      <c r="CA9" s="178" t="s">
        <v>323</v>
      </c>
      <c r="CB9" s="177">
        <f>BQ14</f>
        <v>0.20300000000000001</v>
      </c>
      <c r="CC9" s="178" t="s">
        <v>322</v>
      </c>
      <c r="CN9" s="81" t="s">
        <v>328</v>
      </c>
      <c r="CO9" s="256">
        <f t="shared" si="0"/>
        <v>13429671.581219645</v>
      </c>
      <c r="CP9" s="256">
        <f t="shared" si="1"/>
        <v>23100000</v>
      </c>
      <c r="CQ9" s="256">
        <f t="shared" si="2"/>
        <v>32200000</v>
      </c>
      <c r="CT9" s="258" t="s">
        <v>442</v>
      </c>
      <c r="CU9" s="258" t="s">
        <v>391</v>
      </c>
      <c r="CV9" s="259">
        <v>295</v>
      </c>
      <c r="CW9" s="259">
        <v>5.5599999999999997E-2</v>
      </c>
      <c r="CX9" s="258">
        <v>5294.33</v>
      </c>
      <c r="CY9" s="258" t="s">
        <v>422</v>
      </c>
      <c r="CZ9" s="167">
        <v>2E-16</v>
      </c>
      <c r="DA9" s="81" t="s">
        <v>389</v>
      </c>
      <c r="DB9" s="260" t="s">
        <v>467</v>
      </c>
      <c r="DC9" s="264" t="s">
        <v>472</v>
      </c>
      <c r="DD9" s="261" t="s">
        <v>323</v>
      </c>
      <c r="DE9" s="262">
        <f t="shared" si="9"/>
        <v>1.83</v>
      </c>
      <c r="DF9" s="260" t="s">
        <v>322</v>
      </c>
    </row>
    <row r="10" spans="1:110" ht="15" customHeight="1" thickTop="1" thickBot="1" x14ac:dyDescent="0.3">
      <c r="A10" s="188"/>
      <c r="B10" s="189"/>
      <c r="C10" s="189"/>
      <c r="D10" s="194" t="s">
        <v>35</v>
      </c>
      <c r="E10" s="199" t="s">
        <v>56</v>
      </c>
      <c r="F10" s="195">
        <f t="shared" si="3"/>
        <v>0.12074303405572756</v>
      </c>
      <c r="G10" s="189"/>
      <c r="H10" s="200">
        <f>'Tabula data'!B22*(1-C45)</f>
        <v>3.9</v>
      </c>
      <c r="J10" s="81" t="s">
        <v>53</v>
      </c>
      <c r="K10" s="218">
        <v>0</v>
      </c>
      <c r="L10" s="219">
        <v>1</v>
      </c>
      <c r="M10" s="219" t="s">
        <v>54</v>
      </c>
      <c r="N10" s="220">
        <f>H6</f>
        <v>3.9</v>
      </c>
      <c r="O10" s="221" t="s">
        <v>26</v>
      </c>
      <c r="P10" s="30">
        <f t="shared" si="4"/>
        <v>2</v>
      </c>
      <c r="Q10" s="30">
        <f t="shared" si="5"/>
        <v>7.8</v>
      </c>
      <c r="R10" s="30">
        <f t="shared" si="6"/>
        <v>0</v>
      </c>
      <c r="S10" s="30">
        <f t="shared" si="7"/>
        <v>0</v>
      </c>
      <c r="T10" s="30">
        <f t="shared" si="8"/>
        <v>0</v>
      </c>
      <c r="U10" s="31"/>
      <c r="V10" s="153"/>
      <c r="W10" s="205"/>
      <c r="X10" s="187" t="s">
        <v>58</v>
      </c>
      <c r="Y10" s="187">
        <v>0.02</v>
      </c>
      <c r="Z10" s="187">
        <v>0.6</v>
      </c>
      <c r="AA10" s="187">
        <v>975</v>
      </c>
      <c r="AB10" s="187">
        <v>840</v>
      </c>
      <c r="AC10" s="237">
        <f>Y10/Z10</f>
        <v>3.3333333333333333E-2</v>
      </c>
      <c r="AD10" s="210">
        <f>Y10*AA10*AB10</f>
        <v>16380</v>
      </c>
      <c r="AE10" s="14"/>
      <c r="AF10" s="14"/>
      <c r="AG10" s="14"/>
      <c r="AL10" s="159" t="s">
        <v>319</v>
      </c>
      <c r="AM10" s="81" t="s">
        <v>320</v>
      </c>
      <c r="AN10" s="81" t="s">
        <v>328</v>
      </c>
      <c r="AO10" s="167">
        <f>SUM(T6:T9)</f>
        <v>13429671.581219645</v>
      </c>
      <c r="AP10" s="81" t="s">
        <v>322</v>
      </c>
      <c r="AQ10" s="167">
        <v>14395560</v>
      </c>
      <c r="AU10" s="168" t="s">
        <v>319</v>
      </c>
      <c r="AV10" s="168" t="s">
        <v>320</v>
      </c>
      <c r="AW10" s="168" t="s">
        <v>328</v>
      </c>
      <c r="AX10" s="169" t="s">
        <v>323</v>
      </c>
      <c r="AY10" s="162">
        <f>AO10</f>
        <v>13429671.581219645</v>
      </c>
      <c r="AZ10" s="168" t="s">
        <v>322</v>
      </c>
      <c r="BB10" s="81" t="s">
        <v>393</v>
      </c>
      <c r="BC10" s="167">
        <v>297</v>
      </c>
      <c r="BD10" s="167">
        <v>2.92E-2</v>
      </c>
      <c r="BE10" s="81">
        <v>10162.700000000001</v>
      </c>
      <c r="BF10" s="81" t="s">
        <v>388</v>
      </c>
      <c r="BI10" s="175" t="s">
        <v>319</v>
      </c>
      <c r="BJ10" s="175" t="s">
        <v>320</v>
      </c>
      <c r="BK10" s="175" t="s">
        <v>328</v>
      </c>
      <c r="BL10" s="175" t="s">
        <v>323</v>
      </c>
      <c r="BM10" s="174">
        <f>BC20</f>
        <v>23100000</v>
      </c>
      <c r="BN10" s="175" t="s">
        <v>322</v>
      </c>
      <c r="BP10" s="81" t="s">
        <v>393</v>
      </c>
      <c r="BQ10" s="167">
        <v>292</v>
      </c>
      <c r="BR10" s="167">
        <v>7.2499999999999995E-2</v>
      </c>
      <c r="BS10" s="81">
        <v>4026.39</v>
      </c>
      <c r="BT10" s="81" t="s">
        <v>422</v>
      </c>
      <c r="BU10" s="167">
        <v>2E-16</v>
      </c>
      <c r="BV10" s="81" t="s">
        <v>389</v>
      </c>
      <c r="BX10" s="178"/>
      <c r="BY10" s="178"/>
      <c r="BZ10" s="178"/>
      <c r="CA10" s="178"/>
      <c r="CB10" s="179"/>
      <c r="CC10" s="178"/>
      <c r="CN10" s="81" t="s">
        <v>329</v>
      </c>
      <c r="CO10" s="256">
        <f t="shared" si="0"/>
        <v>14644885.483000543</v>
      </c>
      <c r="CP10" s="256">
        <f t="shared" si="1"/>
        <v>30400000</v>
      </c>
      <c r="CQ10" s="256">
        <f t="shared" si="2"/>
        <v>25400000</v>
      </c>
      <c r="CT10" s="258" t="s">
        <v>442</v>
      </c>
      <c r="CU10" s="258" t="s">
        <v>392</v>
      </c>
      <c r="CV10" s="259">
        <v>290</v>
      </c>
      <c r="CW10" s="259">
        <v>9.0300000000000005E-2</v>
      </c>
      <c r="CX10" s="258">
        <v>3213.33</v>
      </c>
      <c r="CY10" s="258" t="s">
        <v>422</v>
      </c>
      <c r="CZ10" s="167">
        <v>2E-16</v>
      </c>
      <c r="DA10" s="81" t="s">
        <v>389</v>
      </c>
      <c r="DB10" s="260" t="s">
        <v>467</v>
      </c>
      <c r="DC10" s="264" t="s">
        <v>473</v>
      </c>
      <c r="DD10" s="261" t="s">
        <v>323</v>
      </c>
      <c r="DE10" s="262">
        <f t="shared" si="9"/>
        <v>1.22</v>
      </c>
      <c r="DF10" s="260" t="s">
        <v>322</v>
      </c>
    </row>
    <row r="11" spans="1:110" ht="15" customHeight="1" thickTop="1" thickBot="1" x14ac:dyDescent="0.3">
      <c r="A11" s="188"/>
      <c r="B11" s="189"/>
      <c r="C11" s="189"/>
      <c r="D11" s="194" t="s">
        <v>43</v>
      </c>
      <c r="E11" s="199" t="s">
        <v>56</v>
      </c>
      <c r="F11" s="195">
        <f t="shared" si="3"/>
        <v>0.12383900928792571</v>
      </c>
      <c r="G11" s="189"/>
      <c r="H11" s="200">
        <f>'Tabula data'!B23*(1-'Tabula 2zone Ref 1'!C45)</f>
        <v>4</v>
      </c>
      <c r="J11" s="81" t="s">
        <v>57</v>
      </c>
      <c r="K11" s="218">
        <v>0</v>
      </c>
      <c r="L11" s="219">
        <v>1</v>
      </c>
      <c r="M11" s="219" t="s">
        <v>54</v>
      </c>
      <c r="N11" s="220">
        <f>H7</f>
        <v>4</v>
      </c>
      <c r="O11" s="221" t="s">
        <v>39</v>
      </c>
      <c r="P11" s="30">
        <f t="shared" si="4"/>
        <v>2</v>
      </c>
      <c r="Q11" s="30">
        <f t="shared" si="5"/>
        <v>8</v>
      </c>
      <c r="R11" s="30">
        <f t="shared" si="6"/>
        <v>0</v>
      </c>
      <c r="S11" s="30">
        <f t="shared" si="7"/>
        <v>0</v>
      </c>
      <c r="T11" s="30">
        <f t="shared" si="8"/>
        <v>0</v>
      </c>
      <c r="U11" s="31"/>
      <c r="V11" s="153"/>
      <c r="W11" s="189"/>
      <c r="X11" s="189"/>
      <c r="Y11" s="238"/>
      <c r="Z11" s="238"/>
      <c r="AA11" s="238"/>
      <c r="AB11" s="189"/>
      <c r="AC11" s="236"/>
      <c r="AD11" s="189"/>
      <c r="AE11" s="14"/>
      <c r="AF11" s="14"/>
      <c r="AG11" s="14"/>
      <c r="AL11" s="159" t="s">
        <v>319</v>
      </c>
      <c r="AM11" s="81" t="s">
        <v>320</v>
      </c>
      <c r="AN11" s="81" t="s">
        <v>329</v>
      </c>
      <c r="AO11" s="167">
        <f>SUM(T27)</f>
        <v>14644885.483000543</v>
      </c>
      <c r="AP11" s="81" t="s">
        <v>322</v>
      </c>
      <c r="AQ11" s="167">
        <v>26154150</v>
      </c>
      <c r="AU11" s="168" t="s">
        <v>319</v>
      </c>
      <c r="AV11" s="168" t="s">
        <v>320</v>
      </c>
      <c r="AW11" s="168" t="s">
        <v>329</v>
      </c>
      <c r="AX11" s="169" t="s">
        <v>323</v>
      </c>
      <c r="AY11" s="162">
        <f>AO11</f>
        <v>14644885.483000543</v>
      </c>
      <c r="AZ11" s="168" t="s">
        <v>322</v>
      </c>
      <c r="BB11" s="81" t="s">
        <v>394</v>
      </c>
      <c r="BC11" s="167">
        <v>0.16</v>
      </c>
      <c r="BD11" s="167">
        <v>1.5399999999999999E-3</v>
      </c>
      <c r="BE11" s="81">
        <v>103.9</v>
      </c>
      <c r="BF11" s="81" t="s">
        <v>388</v>
      </c>
      <c r="BI11" s="175" t="s">
        <v>319</v>
      </c>
      <c r="BJ11" s="175" t="s">
        <v>320</v>
      </c>
      <c r="BK11" s="175" t="s">
        <v>329</v>
      </c>
      <c r="BL11" s="175" t="s">
        <v>323</v>
      </c>
      <c r="BM11" s="174">
        <f>BC21</f>
        <v>30400000</v>
      </c>
      <c r="BN11" s="175" t="s">
        <v>322</v>
      </c>
      <c r="BP11" s="81" t="s">
        <v>394</v>
      </c>
      <c r="BQ11" s="167">
        <v>0.19</v>
      </c>
      <c r="BR11" s="167">
        <v>2.31E-3</v>
      </c>
      <c r="BS11" s="81">
        <v>82.21</v>
      </c>
      <c r="BT11" s="81" t="s">
        <v>422</v>
      </c>
      <c r="BU11" s="167">
        <v>2E-16</v>
      </c>
      <c r="BV11" s="81" t="s">
        <v>389</v>
      </c>
      <c r="BX11" s="178" t="s">
        <v>319</v>
      </c>
      <c r="BY11" s="178" t="s">
        <v>320</v>
      </c>
      <c r="BZ11" s="178" t="s">
        <v>327</v>
      </c>
      <c r="CA11" s="178" t="s">
        <v>323</v>
      </c>
      <c r="CB11" s="179">
        <f>BQ19</f>
        <v>3560000</v>
      </c>
      <c r="CC11" s="178" t="s">
        <v>322</v>
      </c>
      <c r="CN11" s="81" t="s">
        <v>330</v>
      </c>
      <c r="CO11" s="256">
        <f t="shared" si="0"/>
        <v>10652160</v>
      </c>
      <c r="CP11" s="256">
        <f t="shared" si="1"/>
        <v>15600000</v>
      </c>
      <c r="CQ11" s="256">
        <f t="shared" si="2"/>
        <v>0</v>
      </c>
      <c r="CT11" s="258" t="s">
        <v>442</v>
      </c>
      <c r="CU11" s="258" t="s">
        <v>393</v>
      </c>
      <c r="CV11" s="259">
        <v>292</v>
      </c>
      <c r="CW11" s="259">
        <v>6.2199999999999998E-2</v>
      </c>
      <c r="CX11" s="258">
        <v>4695.8100000000004</v>
      </c>
      <c r="CY11" s="258" t="s">
        <v>422</v>
      </c>
      <c r="CZ11" s="167">
        <v>2E-16</v>
      </c>
      <c r="DA11" s="81" t="s">
        <v>389</v>
      </c>
      <c r="DB11" s="260" t="s">
        <v>467</v>
      </c>
      <c r="DC11" s="264" t="s">
        <v>474</v>
      </c>
      <c r="DD11" s="261" t="s">
        <v>323</v>
      </c>
      <c r="DE11" s="262">
        <f t="shared" si="9"/>
        <v>2.1</v>
      </c>
      <c r="DF11" s="260" t="s">
        <v>322</v>
      </c>
    </row>
    <row r="12" spans="1:110" ht="15" customHeight="1" thickTop="1" thickBot="1" x14ac:dyDescent="0.3">
      <c r="A12" s="188"/>
      <c r="B12" s="189"/>
      <c r="C12" s="189"/>
      <c r="D12" s="194" t="s">
        <v>48</v>
      </c>
      <c r="E12" s="199" t="s">
        <v>56</v>
      </c>
      <c r="F12" s="195">
        <f t="shared" si="3"/>
        <v>0.1408668730650155</v>
      </c>
      <c r="G12" s="189"/>
      <c r="H12" s="200">
        <f>'Tabula data'!B24*(1-'Tabula 2zone Ref 1'!C45)</f>
        <v>4.55</v>
      </c>
      <c r="J12" s="81" t="s">
        <v>59</v>
      </c>
      <c r="K12" s="218">
        <v>0</v>
      </c>
      <c r="L12" s="219">
        <v>1</v>
      </c>
      <c r="M12" s="219" t="s">
        <v>54</v>
      </c>
      <c r="N12" s="220">
        <f>H8</f>
        <v>4.55</v>
      </c>
      <c r="O12" s="221" t="s">
        <v>45</v>
      </c>
      <c r="P12" s="30">
        <f t="shared" si="4"/>
        <v>2</v>
      </c>
      <c r="Q12" s="30">
        <f t="shared" si="5"/>
        <v>9.1</v>
      </c>
      <c r="R12" s="30">
        <f t="shared" si="6"/>
        <v>0</v>
      </c>
      <c r="S12" s="30">
        <f t="shared" si="7"/>
        <v>0</v>
      </c>
      <c r="T12" s="30">
        <f t="shared" si="8"/>
        <v>0</v>
      </c>
      <c r="U12" s="31"/>
      <c r="V12" s="153"/>
      <c r="W12" s="226"/>
      <c r="X12" s="226"/>
      <c r="Y12" s="227" t="s">
        <v>4</v>
      </c>
      <c r="Z12" s="227">
        <v>1</v>
      </c>
      <c r="AA12" s="227" t="s">
        <v>5</v>
      </c>
      <c r="AB12" s="226"/>
      <c r="AC12" s="226"/>
      <c r="AD12" s="226"/>
      <c r="AE12" s="14"/>
      <c r="AF12" s="14"/>
      <c r="AG12" s="14"/>
      <c r="AL12" s="159" t="s">
        <v>319</v>
      </c>
      <c r="AM12" s="81" t="s">
        <v>320</v>
      </c>
      <c r="AN12" s="81" t="s">
        <v>330</v>
      </c>
      <c r="AO12" s="167">
        <f>SUM(T14)</f>
        <v>10652160</v>
      </c>
      <c r="AP12" s="81" t="s">
        <v>322</v>
      </c>
      <c r="AQ12" s="167">
        <v>12228720</v>
      </c>
      <c r="AU12" s="168" t="s">
        <v>319</v>
      </c>
      <c r="AV12" s="168" t="s">
        <v>320</v>
      </c>
      <c r="AW12" s="168" t="s">
        <v>330</v>
      </c>
      <c r="AX12" s="169" t="s">
        <v>323</v>
      </c>
      <c r="AY12" s="162">
        <f>AO12</f>
        <v>10652160</v>
      </c>
      <c r="AZ12" s="168" t="s">
        <v>322</v>
      </c>
      <c r="BB12" s="81" t="s">
        <v>395</v>
      </c>
      <c r="BC12" s="167">
        <v>0.318</v>
      </c>
      <c r="BD12" s="167">
        <v>2.1299999999999999E-3</v>
      </c>
      <c r="BE12" s="81">
        <v>149.15</v>
      </c>
      <c r="BF12" s="81" t="s">
        <v>388</v>
      </c>
      <c r="BI12" s="175" t="s">
        <v>319</v>
      </c>
      <c r="BJ12" s="175" t="s">
        <v>320</v>
      </c>
      <c r="BK12" s="175" t="s">
        <v>330</v>
      </c>
      <c r="BL12" s="175" t="s">
        <v>323</v>
      </c>
      <c r="BM12" s="174">
        <f>BC18</f>
        <v>15600000</v>
      </c>
      <c r="BN12" s="175" t="s">
        <v>322</v>
      </c>
      <c r="BP12" s="81" t="s">
        <v>395</v>
      </c>
      <c r="BQ12" s="167">
        <v>0.38</v>
      </c>
      <c r="BR12" s="167">
        <v>1.3600000000000001E-3</v>
      </c>
      <c r="BS12" s="81">
        <v>278.99</v>
      </c>
      <c r="BT12" s="81" t="s">
        <v>422</v>
      </c>
      <c r="BU12" s="167">
        <v>2E-16</v>
      </c>
      <c r="BV12" s="81" t="s">
        <v>389</v>
      </c>
      <c r="BX12" s="178" t="s">
        <v>319</v>
      </c>
      <c r="BY12" s="178" t="s">
        <v>320</v>
      </c>
      <c r="BZ12" s="178" t="s">
        <v>328</v>
      </c>
      <c r="CA12" s="178" t="s">
        <v>323</v>
      </c>
      <c r="CB12" s="179">
        <f>BQ20</f>
        <v>32200000</v>
      </c>
      <c r="CC12" s="178" t="s">
        <v>322</v>
      </c>
      <c r="CO12" s="255"/>
      <c r="CP12" s="255"/>
      <c r="CQ12" s="255"/>
      <c r="CT12" s="258" t="s">
        <v>442</v>
      </c>
      <c r="CU12" s="258" t="s">
        <v>444</v>
      </c>
      <c r="CV12" s="259">
        <v>0.94499999999999995</v>
      </c>
      <c r="CW12" s="259">
        <v>2.9100000000000001E-2</v>
      </c>
      <c r="CX12" s="258">
        <v>32.43</v>
      </c>
      <c r="CY12" s="258" t="s">
        <v>422</v>
      </c>
      <c r="CZ12" s="167">
        <v>2E-16</v>
      </c>
      <c r="DA12" s="81" t="s">
        <v>389</v>
      </c>
      <c r="DB12" s="260" t="s">
        <v>467</v>
      </c>
      <c r="DC12" s="263" t="s">
        <v>475</v>
      </c>
      <c r="DD12" s="261" t="s">
        <v>323</v>
      </c>
      <c r="DE12" s="262">
        <f t="shared" si="9"/>
        <v>1.77</v>
      </c>
      <c r="DF12" s="260" t="s">
        <v>322</v>
      </c>
    </row>
    <row r="13" spans="1:110" ht="15" customHeight="1" thickTop="1" thickBot="1" x14ac:dyDescent="0.3">
      <c r="A13" s="188"/>
      <c r="B13" s="189"/>
      <c r="C13" s="189"/>
      <c r="D13" s="194" t="s">
        <v>52</v>
      </c>
      <c r="E13" s="199" t="s">
        <v>56</v>
      </c>
      <c r="F13" s="195">
        <f t="shared" si="3"/>
        <v>0.11455108359133129</v>
      </c>
      <c r="G13" s="189"/>
      <c r="H13" s="200">
        <f>'Tabula data'!B25*(1-'Tabula 2zone Ref 1'!C45)</f>
        <v>3.7</v>
      </c>
      <c r="J13" s="81" t="s">
        <v>60</v>
      </c>
      <c r="K13" s="218">
        <v>0</v>
      </c>
      <c r="L13" s="219">
        <v>1</v>
      </c>
      <c r="M13" s="219" t="s">
        <v>54</v>
      </c>
      <c r="N13" s="220">
        <f>H9</f>
        <v>3.7</v>
      </c>
      <c r="O13" s="221" t="s">
        <v>50</v>
      </c>
      <c r="P13" s="30">
        <f t="shared" si="4"/>
        <v>2</v>
      </c>
      <c r="Q13" s="30">
        <f t="shared" si="5"/>
        <v>7.4</v>
      </c>
      <c r="R13" s="30">
        <f t="shared" si="6"/>
        <v>0</v>
      </c>
      <c r="S13" s="30">
        <f t="shared" si="7"/>
        <v>0</v>
      </c>
      <c r="T13" s="30">
        <f t="shared" si="8"/>
        <v>0</v>
      </c>
      <c r="U13" s="31"/>
      <c r="V13" s="153"/>
      <c r="W13" s="228" t="s">
        <v>64</v>
      </c>
      <c r="X13" s="229"/>
      <c r="Y13" s="230" t="s">
        <v>21</v>
      </c>
      <c r="Z13" s="231">
        <f>1/(1/8+SUM(AC15:AC19)+1/23)</f>
        <v>0.31684206193169995</v>
      </c>
      <c r="AA13" s="229" t="s">
        <v>5</v>
      </c>
      <c r="AB13" s="229"/>
      <c r="AC13" s="229" t="s">
        <v>22</v>
      </c>
      <c r="AD13" s="232">
        <f>SUM(AD15:AD20)</f>
        <v>339176.25</v>
      </c>
      <c r="AE13" s="14" t="s">
        <v>23</v>
      </c>
      <c r="AF13" s="14">
        <f>SUM(AD18:AD19)</f>
        <v>181020.00000000003</v>
      </c>
      <c r="AG13" s="14"/>
      <c r="AO13" s="167"/>
      <c r="AP13" s="81" t="s">
        <v>322</v>
      </c>
      <c r="AQ13" s="167"/>
      <c r="AU13" s="168"/>
      <c r="AV13" s="168"/>
      <c r="AW13" s="168"/>
      <c r="AX13" s="169"/>
      <c r="AZ13" s="168"/>
      <c r="BB13" s="81" t="s">
        <v>396</v>
      </c>
      <c r="BC13" s="167">
        <v>0.26200000000000001</v>
      </c>
      <c r="BD13" s="167">
        <v>8.6800000000000002E-3</v>
      </c>
      <c r="BE13" s="81">
        <v>30.21</v>
      </c>
      <c r="BF13" s="81" t="s">
        <v>388</v>
      </c>
      <c r="BI13" s="175"/>
      <c r="BJ13" s="175"/>
      <c r="BK13" s="175"/>
      <c r="BL13" s="175"/>
      <c r="BM13" s="174"/>
      <c r="BN13" s="175"/>
      <c r="BP13" s="81" t="s">
        <v>396</v>
      </c>
      <c r="BQ13" s="167">
        <v>5.0500000000000003E-2</v>
      </c>
      <c r="BR13" s="167">
        <v>8.2699999999999996E-3</v>
      </c>
      <c r="BS13" s="81">
        <v>6.11</v>
      </c>
      <c r="BT13" s="167">
        <v>1.0999999999999999E-9</v>
      </c>
      <c r="BU13" s="81" t="s">
        <v>389</v>
      </c>
      <c r="BX13" s="178" t="s">
        <v>319</v>
      </c>
      <c r="BY13" s="178" t="s">
        <v>320</v>
      </c>
      <c r="BZ13" s="178" t="s">
        <v>329</v>
      </c>
      <c r="CA13" s="178" t="s">
        <v>323</v>
      </c>
      <c r="CB13" s="179">
        <f>BQ21</f>
        <v>25400000</v>
      </c>
      <c r="CC13" s="178" t="s">
        <v>322</v>
      </c>
      <c r="CN13" s="81" t="s">
        <v>331</v>
      </c>
      <c r="CO13" s="254">
        <f t="shared" si="0"/>
        <v>6.3621779185609573E-2</v>
      </c>
      <c r="CP13" s="254">
        <f t="shared" si="1"/>
        <v>0.11700000000000001</v>
      </c>
      <c r="CQ13" s="254">
        <f t="shared" si="2"/>
        <v>7.0400000000000004E-2</v>
      </c>
      <c r="CT13" s="258" t="s">
        <v>442</v>
      </c>
      <c r="CU13" s="258" t="s">
        <v>341</v>
      </c>
      <c r="CV13" s="259">
        <v>0.79800000000000004</v>
      </c>
      <c r="CW13" s="259">
        <v>9.8000000000000004E-2</v>
      </c>
      <c r="CX13" s="258">
        <v>8.14</v>
      </c>
      <c r="CY13" s="259">
        <v>4.4E-16</v>
      </c>
      <c r="CZ13" s="81" t="s">
        <v>389</v>
      </c>
      <c r="DB13" s="260" t="s">
        <v>467</v>
      </c>
      <c r="DC13" s="265" t="s">
        <v>476</v>
      </c>
      <c r="DD13" s="261" t="s">
        <v>323</v>
      </c>
      <c r="DE13" s="262">
        <f t="shared" si="9"/>
        <v>0.53700000000000003</v>
      </c>
      <c r="DF13" s="260" t="s">
        <v>322</v>
      </c>
    </row>
    <row r="14" spans="1:110" ht="15" customHeight="1" thickTop="1" thickBot="1" x14ac:dyDescent="0.3">
      <c r="A14" s="188"/>
      <c r="B14" s="189"/>
      <c r="C14" s="189"/>
      <c r="D14" s="201" t="s">
        <v>65</v>
      </c>
      <c r="E14" s="202"/>
      <c r="F14" s="202"/>
      <c r="G14" s="202"/>
      <c r="H14" s="203"/>
      <c r="J14" s="81" t="s">
        <v>61</v>
      </c>
      <c r="K14" s="218" t="s">
        <v>62</v>
      </c>
      <c r="L14" s="219">
        <v>1</v>
      </c>
      <c r="M14" s="219" t="s">
        <v>63</v>
      </c>
      <c r="N14" s="220">
        <f>B7</f>
        <v>96</v>
      </c>
      <c r="O14" s="221"/>
      <c r="P14" s="30">
        <f t="shared" si="4"/>
        <v>0.3056768558951965</v>
      </c>
      <c r="Q14" s="30">
        <f t="shared" si="5"/>
        <v>29.344978165938862</v>
      </c>
      <c r="R14" s="30">
        <f t="shared" si="6"/>
        <v>36371280</v>
      </c>
      <c r="S14" s="30">
        <f t="shared" si="7"/>
        <v>378867.5</v>
      </c>
      <c r="T14" s="30">
        <f t="shared" si="8"/>
        <v>10652160</v>
      </c>
      <c r="U14" s="31"/>
      <c r="V14" s="153"/>
      <c r="W14" s="233"/>
      <c r="X14" s="234" t="s">
        <v>27</v>
      </c>
      <c r="Y14" s="234" t="s">
        <v>28</v>
      </c>
      <c r="Z14" s="234" t="s">
        <v>29</v>
      </c>
      <c r="AA14" s="234" t="s">
        <v>30</v>
      </c>
      <c r="AB14" s="234" t="s">
        <v>31</v>
      </c>
      <c r="AC14" s="234" t="s">
        <v>32</v>
      </c>
      <c r="AD14" s="235" t="s">
        <v>33</v>
      </c>
      <c r="AE14" s="14"/>
      <c r="AF14" s="14"/>
      <c r="AG14" s="14"/>
      <c r="AL14" s="159" t="s">
        <v>319</v>
      </c>
      <c r="AM14" s="81" t="s">
        <v>320</v>
      </c>
      <c r="AN14" s="81" t="s">
        <v>331</v>
      </c>
      <c r="AO14" s="81">
        <f>AO4*0.3</f>
        <v>6.3621779185609573E-2</v>
      </c>
      <c r="AP14" s="81" t="s">
        <v>322</v>
      </c>
      <c r="AQ14" s="167">
        <v>6.5890790000000005E-2</v>
      </c>
      <c r="AU14" s="168" t="s">
        <v>319</v>
      </c>
      <c r="AV14" s="168" t="s">
        <v>320</v>
      </c>
      <c r="AW14" s="168" t="s">
        <v>331</v>
      </c>
      <c r="AX14" s="169" t="s">
        <v>323</v>
      </c>
      <c r="AY14" s="162">
        <f>AY4*0.3</f>
        <v>6.3621779185609573E-2</v>
      </c>
      <c r="AZ14" s="168" t="s">
        <v>322</v>
      </c>
      <c r="BB14" s="81" t="s">
        <v>397</v>
      </c>
      <c r="BC14" s="167">
        <v>0.156</v>
      </c>
      <c r="BD14" s="167">
        <v>1.4499999999999999E-3</v>
      </c>
      <c r="BE14" s="81">
        <v>107.8</v>
      </c>
      <c r="BF14" s="81" t="s">
        <v>388</v>
      </c>
      <c r="BI14" s="175" t="s">
        <v>319</v>
      </c>
      <c r="BJ14" s="175" t="s">
        <v>320</v>
      </c>
      <c r="BK14" s="175" t="s">
        <v>331</v>
      </c>
      <c r="BL14" s="175" t="s">
        <v>323</v>
      </c>
      <c r="BM14" s="174">
        <f>BC27</f>
        <v>0.11700000000000001</v>
      </c>
      <c r="BN14" s="175" t="s">
        <v>322</v>
      </c>
      <c r="BP14" s="81" t="s">
        <v>397</v>
      </c>
      <c r="BQ14" s="167">
        <v>0.20300000000000001</v>
      </c>
      <c r="BR14" s="167">
        <v>1.14E-3</v>
      </c>
      <c r="BS14" s="81">
        <v>177.92</v>
      </c>
      <c r="BT14" s="81" t="s">
        <v>422</v>
      </c>
      <c r="BU14" s="167">
        <v>2E-16</v>
      </c>
      <c r="BV14" s="81" t="s">
        <v>389</v>
      </c>
      <c r="BX14" s="178" t="s">
        <v>319</v>
      </c>
      <c r="BY14" s="178" t="s">
        <v>320</v>
      </c>
      <c r="BZ14" s="178" t="s">
        <v>330</v>
      </c>
      <c r="CA14" s="178" t="s">
        <v>323</v>
      </c>
      <c r="CB14" s="179">
        <v>0</v>
      </c>
      <c r="CC14" s="178" t="s">
        <v>322</v>
      </c>
      <c r="CN14" s="81" t="s">
        <v>332</v>
      </c>
      <c r="CO14" s="254">
        <f t="shared" si="0"/>
        <v>6.3621779185609573E-2</v>
      </c>
      <c r="CP14" s="254">
        <f t="shared" si="1"/>
        <v>0.22500000000000001</v>
      </c>
      <c r="CQ14" s="254">
        <f t="shared" si="2"/>
        <v>0.13700000000000001</v>
      </c>
      <c r="CT14" s="258" t="s">
        <v>442</v>
      </c>
      <c r="CU14" s="258" t="s">
        <v>445</v>
      </c>
      <c r="CV14" s="259">
        <v>1.04</v>
      </c>
      <c r="CW14" s="259">
        <v>1.66E-2</v>
      </c>
      <c r="CX14" s="258">
        <v>62.72</v>
      </c>
      <c r="CY14" s="258" t="s">
        <v>422</v>
      </c>
      <c r="CZ14" s="167">
        <v>2E-16</v>
      </c>
      <c r="DA14" s="81" t="s">
        <v>389</v>
      </c>
      <c r="DB14" s="260" t="s">
        <v>467</v>
      </c>
      <c r="DC14" s="265" t="s">
        <v>477</v>
      </c>
      <c r="DD14" s="261" t="s">
        <v>323</v>
      </c>
      <c r="DE14" s="262">
        <f t="shared" si="9"/>
        <v>1.12E-7</v>
      </c>
      <c r="DF14" s="260" t="s">
        <v>322</v>
      </c>
    </row>
    <row r="15" spans="1:110" ht="15" customHeight="1" thickTop="1" thickBot="1" x14ac:dyDescent="0.3">
      <c r="A15" s="188"/>
      <c r="B15" s="189"/>
      <c r="C15" s="189"/>
      <c r="D15" s="204"/>
      <c r="E15" s="189"/>
      <c r="F15" s="189"/>
      <c r="G15" s="189"/>
      <c r="H15" s="190"/>
      <c r="J15" s="81" t="s">
        <v>66</v>
      </c>
      <c r="K15" s="218">
        <v>0</v>
      </c>
      <c r="L15" s="219">
        <v>1</v>
      </c>
      <c r="M15" s="219" t="s">
        <v>20</v>
      </c>
      <c r="N15" s="222">
        <v>0</v>
      </c>
      <c r="O15" s="221"/>
      <c r="P15" s="30">
        <f t="shared" si="4"/>
        <v>0.3127301569316186</v>
      </c>
      <c r="Q15" s="30">
        <f t="shared" si="5"/>
        <v>0</v>
      </c>
      <c r="R15" s="30">
        <f>VLOOKUP(M15,$W$5:$AD$391,8,0)*N25</f>
        <v>6179292</v>
      </c>
      <c r="S15" s="30">
        <f>R15/N25</f>
        <v>56952</v>
      </c>
      <c r="T15" s="30">
        <f>VLOOKUP(M15,$W$5:$AF$391,10,0)*N25</f>
        <v>1777230</v>
      </c>
      <c r="U15" s="31"/>
      <c r="V15" s="153"/>
      <c r="W15" s="188"/>
      <c r="X15" s="189" t="s">
        <v>271</v>
      </c>
      <c r="Y15" s="189">
        <v>0.1</v>
      </c>
      <c r="Z15" s="189">
        <v>1.1000000000000001</v>
      </c>
      <c r="AA15" s="189">
        <v>1850</v>
      </c>
      <c r="AB15" s="199">
        <v>840</v>
      </c>
      <c r="AC15" s="236">
        <f>Y15/Z15</f>
        <v>9.0909090909090912E-2</v>
      </c>
      <c r="AD15" s="190">
        <f>AA15*AB15*Y15</f>
        <v>155400</v>
      </c>
      <c r="AE15" s="14"/>
      <c r="AF15" s="14"/>
      <c r="AG15" s="14"/>
      <c r="AL15" s="159" t="s">
        <v>319</v>
      </c>
      <c r="AM15" s="81" t="s">
        <v>320</v>
      </c>
      <c r="AN15" s="81" t="s">
        <v>332</v>
      </c>
      <c r="AO15" s="81">
        <f>AO5*0.3</f>
        <v>6.3621779185609573E-2</v>
      </c>
      <c r="AP15" s="81" t="s">
        <v>322</v>
      </c>
      <c r="AQ15" s="167">
        <v>0.1612856</v>
      </c>
      <c r="AU15" s="168" t="s">
        <v>319</v>
      </c>
      <c r="AV15" s="168" t="s">
        <v>320</v>
      </c>
      <c r="AW15" s="168" t="s">
        <v>332</v>
      </c>
      <c r="AX15" s="169" t="s">
        <v>323</v>
      </c>
      <c r="AY15" s="162">
        <f>AY5*0.3</f>
        <v>6.3621779185609573E-2</v>
      </c>
      <c r="AZ15" s="168" t="s">
        <v>322</v>
      </c>
      <c r="BB15" s="81" t="s">
        <v>398</v>
      </c>
      <c r="BC15" s="167">
        <v>9.35E-2</v>
      </c>
      <c r="BD15" s="167">
        <v>1.6000000000000001E-3</v>
      </c>
      <c r="BE15" s="81">
        <v>58.4</v>
      </c>
      <c r="BF15" s="81" t="s">
        <v>388</v>
      </c>
      <c r="BI15" s="175" t="s">
        <v>319</v>
      </c>
      <c r="BJ15" s="175" t="s">
        <v>320</v>
      </c>
      <c r="BK15" s="175" t="s">
        <v>332</v>
      </c>
      <c r="BL15" s="175" t="s">
        <v>323</v>
      </c>
      <c r="BM15" s="174">
        <f>BC28</f>
        <v>0.22500000000000001</v>
      </c>
      <c r="BN15" s="175" t="s">
        <v>322</v>
      </c>
      <c r="BP15" s="81" t="s">
        <v>398</v>
      </c>
      <c r="BQ15" s="167">
        <v>0.11799999999999999</v>
      </c>
      <c r="BR15" s="167">
        <v>5.9500000000000004E-4</v>
      </c>
      <c r="BS15" s="81">
        <v>198</v>
      </c>
      <c r="BT15" s="81" t="s">
        <v>422</v>
      </c>
      <c r="BU15" s="167">
        <v>2E-16</v>
      </c>
      <c r="BV15" s="81" t="s">
        <v>389</v>
      </c>
      <c r="BX15" s="178"/>
      <c r="BY15" s="178"/>
      <c r="BZ15" s="178"/>
      <c r="CA15" s="178"/>
      <c r="CB15" s="179"/>
      <c r="CC15" s="178"/>
      <c r="CN15" s="81" t="s">
        <v>333</v>
      </c>
      <c r="CO15" s="254">
        <f t="shared" si="0"/>
        <v>0.71384967253564058</v>
      </c>
      <c r="CP15" s="254">
        <f t="shared" si="1"/>
        <v>0.46500000000000002</v>
      </c>
      <c r="CQ15" s="254">
        <f t="shared" si="2"/>
        <v>0.76900000000000002</v>
      </c>
      <c r="CT15" s="258" t="s">
        <v>442</v>
      </c>
      <c r="CU15" s="258" t="s">
        <v>446</v>
      </c>
      <c r="CV15" s="259">
        <v>0.82699999999999996</v>
      </c>
      <c r="CW15" s="259">
        <v>2.92E-2</v>
      </c>
      <c r="CX15" s="258">
        <v>28.33</v>
      </c>
      <c r="CY15" s="258" t="s">
        <v>422</v>
      </c>
      <c r="CZ15" s="167">
        <v>2E-16</v>
      </c>
      <c r="DA15" s="81" t="s">
        <v>389</v>
      </c>
      <c r="DB15" s="260" t="s">
        <v>467</v>
      </c>
      <c r="DC15" s="265" t="s">
        <v>478</v>
      </c>
      <c r="DD15" s="261" t="s">
        <v>323</v>
      </c>
      <c r="DE15" s="262">
        <f t="shared" si="9"/>
        <v>0.34100000000000003</v>
      </c>
      <c r="DF15" s="260" t="s">
        <v>322</v>
      </c>
    </row>
    <row r="16" spans="1:110" ht="15" customHeight="1" thickTop="1" thickBot="1" x14ac:dyDescent="0.3">
      <c r="A16" s="205"/>
      <c r="B16" s="187"/>
      <c r="C16" s="187"/>
      <c r="D16" s="194" t="s">
        <v>69</v>
      </c>
      <c r="E16" s="189"/>
      <c r="F16" s="206">
        <f>B4/B26</f>
        <v>1.3080082135523614</v>
      </c>
      <c r="G16" s="199" t="s">
        <v>70</v>
      </c>
      <c r="H16" s="190"/>
      <c r="J16" s="81" t="s">
        <v>67</v>
      </c>
      <c r="K16" s="218">
        <v>0</v>
      </c>
      <c r="L16" s="219">
        <v>1</v>
      </c>
      <c r="M16" s="219" t="s">
        <v>68</v>
      </c>
      <c r="N16" s="220">
        <f>'Tabula data'!B21</f>
        <v>9.5</v>
      </c>
      <c r="O16" s="221"/>
      <c r="P16" s="30">
        <f t="shared" si="4"/>
        <v>4</v>
      </c>
      <c r="Q16" s="30">
        <f t="shared" si="5"/>
        <v>38</v>
      </c>
      <c r="R16" s="30">
        <f t="shared" ref="R16:R28" si="10">VLOOKUP(M16,$W$5:$AD$391,8,0)*N16</f>
        <v>346940</v>
      </c>
      <c r="S16" s="30">
        <f t="shared" ref="S16:S28" si="11">R16/N16</f>
        <v>36520</v>
      </c>
      <c r="T16" s="30">
        <f t="shared" ref="T16:T28" si="12">VLOOKUP(M16,$W$5:$AF$391,10,0)*N16</f>
        <v>1719690.0000000002</v>
      </c>
      <c r="U16" s="31"/>
      <c r="V16" s="153"/>
      <c r="W16" s="188"/>
      <c r="X16" s="189" t="s">
        <v>272</v>
      </c>
      <c r="Y16" s="189">
        <v>0</v>
      </c>
      <c r="Z16" s="189">
        <v>1</v>
      </c>
      <c r="AA16" s="189">
        <v>1800</v>
      </c>
      <c r="AB16" s="189">
        <v>1000</v>
      </c>
      <c r="AC16" s="236">
        <v>0</v>
      </c>
      <c r="AD16" s="190">
        <f>Y16*AA16*AB16</f>
        <v>0</v>
      </c>
      <c r="AE16" s="14"/>
      <c r="AF16" s="14"/>
      <c r="AG16" s="14"/>
      <c r="AL16" s="159" t="s">
        <v>319</v>
      </c>
      <c r="AM16" s="81" t="s">
        <v>320</v>
      </c>
      <c r="AN16" s="81" t="s">
        <v>333</v>
      </c>
      <c r="AO16" s="81">
        <f>AO6*0.3+0.7</f>
        <v>0.71384967253564058</v>
      </c>
      <c r="AP16" s="81" t="s">
        <v>322</v>
      </c>
      <c r="AQ16" s="167">
        <v>0.64236059999999995</v>
      </c>
      <c r="AU16" s="168" t="s">
        <v>319</v>
      </c>
      <c r="AV16" s="168" t="s">
        <v>320</v>
      </c>
      <c r="AW16" s="168" t="s">
        <v>333</v>
      </c>
      <c r="AX16" s="169" t="s">
        <v>323</v>
      </c>
      <c r="AY16" s="162">
        <f>AY6*0.3+0.7</f>
        <v>0.71384967253564058</v>
      </c>
      <c r="AZ16" s="168" t="s">
        <v>322</v>
      </c>
      <c r="BB16" s="81" t="s">
        <v>308</v>
      </c>
      <c r="BC16" s="167">
        <v>13100000</v>
      </c>
      <c r="BD16" s="167">
        <v>252000</v>
      </c>
      <c r="BE16" s="81">
        <v>51.84</v>
      </c>
      <c r="BF16" s="81" t="s">
        <v>388</v>
      </c>
      <c r="BI16" s="175" t="s">
        <v>319</v>
      </c>
      <c r="BJ16" s="175" t="s">
        <v>320</v>
      </c>
      <c r="BK16" s="175" t="s">
        <v>333</v>
      </c>
      <c r="BL16" s="175" t="s">
        <v>323</v>
      </c>
      <c r="BM16" s="174">
        <f>BC29</f>
        <v>0.46500000000000002</v>
      </c>
      <c r="BN16" s="175" t="s">
        <v>322</v>
      </c>
      <c r="BP16" s="81" t="s">
        <v>308</v>
      </c>
      <c r="BQ16" s="167">
        <v>812000000</v>
      </c>
      <c r="BR16" s="167">
        <v>25300000</v>
      </c>
      <c r="BS16" s="81">
        <v>32.119999999999997</v>
      </c>
      <c r="BT16" s="81" t="s">
        <v>422</v>
      </c>
      <c r="BU16" s="167">
        <v>2E-16</v>
      </c>
      <c r="BV16" s="81" t="s">
        <v>389</v>
      </c>
      <c r="BX16" s="178" t="s">
        <v>319</v>
      </c>
      <c r="BY16" s="178" t="s">
        <v>320</v>
      </c>
      <c r="BZ16" s="178" t="s">
        <v>331</v>
      </c>
      <c r="CA16" s="178" t="s">
        <v>323</v>
      </c>
      <c r="CB16" s="177">
        <f>BQ27</f>
        <v>7.0400000000000004E-2</v>
      </c>
      <c r="CC16" s="178" t="s">
        <v>322</v>
      </c>
      <c r="CN16" s="81" t="s">
        <v>334</v>
      </c>
      <c r="CO16" s="254">
        <f t="shared" si="0"/>
        <v>8.2326226837244762E-2</v>
      </c>
      <c r="CP16" s="254">
        <f t="shared" si="1"/>
        <v>0.11</v>
      </c>
      <c r="CQ16" s="254">
        <f t="shared" si="2"/>
        <v>7.2499999999999995E-2</v>
      </c>
      <c r="CT16" s="258" t="s">
        <v>442</v>
      </c>
      <c r="CU16" s="258" t="s">
        <v>447</v>
      </c>
      <c r="CV16" s="259">
        <v>1.83</v>
      </c>
      <c r="CW16" s="259">
        <v>2.8799999999999999E-2</v>
      </c>
      <c r="CX16" s="258">
        <v>63.51</v>
      </c>
      <c r="CY16" s="258" t="s">
        <v>422</v>
      </c>
      <c r="CZ16" s="167">
        <v>2E-16</v>
      </c>
      <c r="DA16" s="81" t="s">
        <v>389</v>
      </c>
      <c r="DB16" s="260" t="s">
        <v>467</v>
      </c>
      <c r="DC16" s="265" t="s">
        <v>479</v>
      </c>
      <c r="DD16" s="261" t="s">
        <v>323</v>
      </c>
      <c r="DE16" s="262">
        <f t="shared" si="9"/>
        <v>5.91E-2</v>
      </c>
      <c r="DF16" s="260" t="s">
        <v>322</v>
      </c>
    </row>
    <row r="17" spans="1:110" ht="15" customHeight="1" thickTop="1" thickBot="1" x14ac:dyDescent="0.3">
      <c r="A17" s="191" t="s">
        <v>73</v>
      </c>
      <c r="B17" s="192">
        <v>0</v>
      </c>
      <c r="C17" s="202" t="s">
        <v>9</v>
      </c>
      <c r="D17" s="194" t="s">
        <v>74</v>
      </c>
      <c r="E17" s="189"/>
      <c r="F17" s="206">
        <f>B26/B23</f>
        <v>2.1025364274150027</v>
      </c>
      <c r="G17" s="199"/>
      <c r="H17" s="190"/>
      <c r="J17" s="81" t="s">
        <v>71</v>
      </c>
      <c r="K17" s="218">
        <v>0</v>
      </c>
      <c r="L17" s="219">
        <v>2</v>
      </c>
      <c r="M17" s="219" t="s">
        <v>25</v>
      </c>
      <c r="N17" s="220">
        <f>'Tabula data'!B19*(1-C43)</f>
        <v>18.364565347833842</v>
      </c>
      <c r="O17" s="221" t="s">
        <v>26</v>
      </c>
      <c r="P17" s="30">
        <f t="shared" si="4"/>
        <v>0.31684206193169995</v>
      </c>
      <c r="Q17" s="30">
        <f t="shared" si="5"/>
        <v>5.8186667512871209</v>
      </c>
      <c r="R17" s="30">
        <f t="shared" si="10"/>
        <v>6228824.4075582279</v>
      </c>
      <c r="S17" s="30">
        <f t="shared" si="11"/>
        <v>339176.25</v>
      </c>
      <c r="T17" s="30">
        <f t="shared" si="12"/>
        <v>3324353.6192648825</v>
      </c>
      <c r="U17" s="31"/>
      <c r="V17" s="153"/>
      <c r="W17" s="188"/>
      <c r="X17" s="189" t="s">
        <v>273</v>
      </c>
      <c r="Y17" s="189">
        <v>6.25E-2</v>
      </c>
      <c r="Z17" s="189">
        <v>2.4E-2</v>
      </c>
      <c r="AA17" s="189">
        <v>30</v>
      </c>
      <c r="AB17" s="189">
        <v>1470</v>
      </c>
      <c r="AC17" s="236">
        <f>Y17/Z17</f>
        <v>2.6041666666666665</v>
      </c>
      <c r="AD17" s="190">
        <f>Y17*AA17*AB17</f>
        <v>2756.25</v>
      </c>
      <c r="AE17" s="149" t="s">
        <v>274</v>
      </c>
      <c r="AF17" s="14"/>
      <c r="AG17" s="14"/>
      <c r="AL17" s="159" t="s">
        <v>319</v>
      </c>
      <c r="AM17" s="81" t="s">
        <v>320</v>
      </c>
      <c r="AN17" s="81" t="s">
        <v>334</v>
      </c>
      <c r="AO17" s="81">
        <f>AO7*0.3</f>
        <v>8.2326226837244762E-2</v>
      </c>
      <c r="AP17" s="81" t="s">
        <v>322</v>
      </c>
      <c r="AQ17" s="167">
        <v>6.4977720000000003E-2</v>
      </c>
      <c r="AU17" s="168" t="s">
        <v>319</v>
      </c>
      <c r="AV17" s="168" t="s">
        <v>320</v>
      </c>
      <c r="AW17" s="168" t="s">
        <v>334</v>
      </c>
      <c r="AX17" s="169" t="s">
        <v>323</v>
      </c>
      <c r="AY17" s="162">
        <f>AY7*0.3</f>
        <v>8.2326226837244762E-2</v>
      </c>
      <c r="AZ17" s="168" t="s">
        <v>322</v>
      </c>
      <c r="BI17" s="175" t="s">
        <v>319</v>
      </c>
      <c r="BJ17" s="175" t="s">
        <v>320</v>
      </c>
      <c r="BK17" s="175" t="s">
        <v>334</v>
      </c>
      <c r="BL17" s="175" t="s">
        <v>323</v>
      </c>
      <c r="BM17" s="174">
        <f>BC30</f>
        <v>0.11</v>
      </c>
      <c r="BN17" s="175" t="s">
        <v>322</v>
      </c>
      <c r="BX17" s="178" t="s">
        <v>319</v>
      </c>
      <c r="BY17" s="178" t="s">
        <v>320</v>
      </c>
      <c r="BZ17" s="178" t="s">
        <v>332</v>
      </c>
      <c r="CA17" s="178" t="s">
        <v>323</v>
      </c>
      <c r="CB17" s="177">
        <f>BQ28</f>
        <v>0.13700000000000001</v>
      </c>
      <c r="CC17" s="178" t="s">
        <v>322</v>
      </c>
      <c r="CO17" s="255"/>
      <c r="CP17" s="255"/>
      <c r="CQ17" s="255"/>
      <c r="CT17" s="258" t="s">
        <v>442</v>
      </c>
      <c r="CU17" s="258" t="s">
        <v>342</v>
      </c>
      <c r="CV17" s="259">
        <v>1.22</v>
      </c>
      <c r="CW17" s="259">
        <v>8.3799999999999999E-2</v>
      </c>
      <c r="CX17" s="258">
        <v>14.59</v>
      </c>
      <c r="CY17" s="258" t="s">
        <v>422</v>
      </c>
      <c r="CZ17" s="167">
        <v>2E-16</v>
      </c>
      <c r="DA17" s="81" t="s">
        <v>389</v>
      </c>
      <c r="DB17" s="260" t="s">
        <v>467</v>
      </c>
      <c r="DC17" s="265" t="s">
        <v>480</v>
      </c>
      <c r="DD17" s="261" t="s">
        <v>323</v>
      </c>
      <c r="DE17" s="262">
        <f t="shared" si="9"/>
        <v>0.98799999999999999</v>
      </c>
      <c r="DF17" s="260" t="s">
        <v>322</v>
      </c>
    </row>
    <row r="18" spans="1:110" ht="15" customHeight="1" thickTop="1" thickBot="1" x14ac:dyDescent="0.3">
      <c r="A18" s="188" t="s">
        <v>77</v>
      </c>
      <c r="B18" s="189">
        <v>0</v>
      </c>
      <c r="C18" s="189"/>
      <c r="D18" s="194" t="s">
        <v>78</v>
      </c>
      <c r="E18" s="189"/>
      <c r="F18" s="206">
        <f>B26/B6</f>
        <v>2.1025364274150027</v>
      </c>
      <c r="G18" s="199"/>
      <c r="H18" s="190"/>
      <c r="J18" s="81" t="s">
        <v>75</v>
      </c>
      <c r="K18" s="218">
        <v>0</v>
      </c>
      <c r="L18" s="219">
        <v>2</v>
      </c>
      <c r="M18" s="219" t="s">
        <v>25</v>
      </c>
      <c r="N18" s="220">
        <f>'Tabula data'!B20*(1-C43)</f>
        <v>32.281986411725747</v>
      </c>
      <c r="O18" s="221" t="s">
        <v>39</v>
      </c>
      <c r="P18" s="30">
        <f t="shared" si="4"/>
        <v>0.31684206193169995</v>
      </c>
      <c r="Q18" s="30">
        <f t="shared" si="5"/>
        <v>10.228291137942305</v>
      </c>
      <c r="R18" s="30">
        <f t="shared" si="10"/>
        <v>10949283.093680095</v>
      </c>
      <c r="S18" s="30">
        <f t="shared" si="11"/>
        <v>339176.25</v>
      </c>
      <c r="T18" s="30">
        <f t="shared" si="12"/>
        <v>5843685.1802505953</v>
      </c>
      <c r="U18" s="31"/>
      <c r="V18" s="153"/>
      <c r="W18" s="188"/>
      <c r="X18" s="199" t="s">
        <v>275</v>
      </c>
      <c r="Y18" s="189">
        <v>0.14000000000000001</v>
      </c>
      <c r="Z18" s="189">
        <v>0.54</v>
      </c>
      <c r="AA18" s="189">
        <v>1400</v>
      </c>
      <c r="AB18" s="199">
        <v>840</v>
      </c>
      <c r="AC18" s="236">
        <f>Y18/Z18</f>
        <v>0.25925925925925924</v>
      </c>
      <c r="AD18" s="190">
        <f>Y18*AA18*AB18</f>
        <v>164640.00000000003</v>
      </c>
      <c r="AE18" s="14" t="s">
        <v>276</v>
      </c>
      <c r="AF18" s="14"/>
      <c r="AG18" s="14"/>
      <c r="AP18" s="81" t="s">
        <v>322</v>
      </c>
      <c r="AQ18" s="167"/>
      <c r="AU18" s="168"/>
      <c r="AV18" s="168"/>
      <c r="AW18" s="168"/>
      <c r="AX18" s="169"/>
      <c r="AZ18" s="168"/>
      <c r="BB18" s="81" t="s">
        <v>304</v>
      </c>
      <c r="BC18" s="167">
        <v>15600000</v>
      </c>
      <c r="BD18" s="167">
        <v>67000</v>
      </c>
      <c r="BE18" s="81">
        <v>232.84</v>
      </c>
      <c r="BF18" s="81" t="s">
        <v>388</v>
      </c>
      <c r="BI18" s="175"/>
      <c r="BJ18" s="175"/>
      <c r="BK18" s="175"/>
      <c r="BL18" s="175"/>
      <c r="BM18" s="174"/>
      <c r="BN18" s="175"/>
      <c r="BP18" s="81" t="s">
        <v>304</v>
      </c>
      <c r="BQ18" s="167">
        <v>15000000</v>
      </c>
      <c r="BR18" s="167">
        <v>733000</v>
      </c>
      <c r="BS18" s="81">
        <v>20.420000000000002</v>
      </c>
      <c r="BT18" s="81" t="s">
        <v>422</v>
      </c>
      <c r="BU18" s="167">
        <v>2E-16</v>
      </c>
      <c r="BV18" s="81" t="s">
        <v>389</v>
      </c>
      <c r="BX18" s="178" t="s">
        <v>319</v>
      </c>
      <c r="BY18" s="178" t="s">
        <v>320</v>
      </c>
      <c r="BZ18" s="178" t="s">
        <v>333</v>
      </c>
      <c r="CA18" s="178" t="s">
        <v>323</v>
      </c>
      <c r="CB18" s="177">
        <f>BQ29</f>
        <v>0.76900000000000002</v>
      </c>
      <c r="CC18" s="178" t="s">
        <v>322</v>
      </c>
      <c r="CN18" s="81" t="s">
        <v>335</v>
      </c>
      <c r="CO18" s="257">
        <f t="shared" si="0"/>
        <v>273.46072875090488</v>
      </c>
      <c r="CP18" s="257">
        <f t="shared" si="1"/>
        <v>637</v>
      </c>
      <c r="CQ18" s="257">
        <f t="shared" si="2"/>
        <v>278</v>
      </c>
      <c r="CT18" s="258" t="s">
        <v>442</v>
      </c>
      <c r="CU18" s="258" t="s">
        <v>448</v>
      </c>
      <c r="CV18" s="259">
        <v>2.1</v>
      </c>
      <c r="CW18" s="259">
        <v>1.7399999999999999E-2</v>
      </c>
      <c r="CX18" s="258">
        <v>120.93</v>
      </c>
      <c r="CY18" s="258" t="s">
        <v>422</v>
      </c>
      <c r="CZ18" s="167">
        <v>2E-16</v>
      </c>
      <c r="DA18" s="81" t="s">
        <v>389</v>
      </c>
      <c r="DB18" s="260" t="s">
        <v>467</v>
      </c>
      <c r="DC18" s="265" t="s">
        <v>481</v>
      </c>
      <c r="DD18" s="261" t="s">
        <v>323</v>
      </c>
      <c r="DE18" s="262">
        <f t="shared" si="9"/>
        <v>3.1199999999999999E-7</v>
      </c>
      <c r="DF18" s="260" t="s">
        <v>322</v>
      </c>
    </row>
    <row r="19" spans="1:110" ht="15" customHeight="1" thickTop="1" thickBot="1" x14ac:dyDescent="0.3">
      <c r="A19" s="188" t="s">
        <v>81</v>
      </c>
      <c r="B19" s="197">
        <f>B17-B18</f>
        <v>0</v>
      </c>
      <c r="C19" s="189"/>
      <c r="D19" s="204"/>
      <c r="E19" s="199"/>
      <c r="F19" s="199"/>
      <c r="G19" s="199"/>
      <c r="H19" s="198"/>
      <c r="J19" s="81" t="s">
        <v>79</v>
      </c>
      <c r="K19" s="218">
        <v>0</v>
      </c>
      <c r="L19" s="219">
        <v>2</v>
      </c>
      <c r="M19" s="219" t="s">
        <v>25</v>
      </c>
      <c r="N19" s="220">
        <f>N17</f>
        <v>18.364565347833842</v>
      </c>
      <c r="O19" s="221" t="s">
        <v>45</v>
      </c>
      <c r="P19" s="30">
        <f t="shared" si="4"/>
        <v>0.31684206193169995</v>
      </c>
      <c r="Q19" s="30">
        <f t="shared" si="5"/>
        <v>5.8186667512871209</v>
      </c>
      <c r="R19" s="30">
        <f t="shared" si="10"/>
        <v>6228824.4075582279</v>
      </c>
      <c r="S19" s="30">
        <f t="shared" si="11"/>
        <v>339176.25</v>
      </c>
      <c r="T19" s="30">
        <f t="shared" si="12"/>
        <v>3324353.6192648825</v>
      </c>
      <c r="U19" s="31"/>
      <c r="V19" s="153"/>
      <c r="W19" s="205"/>
      <c r="X19" s="187" t="s">
        <v>277</v>
      </c>
      <c r="Y19" s="187">
        <v>0.02</v>
      </c>
      <c r="Z19" s="187">
        <v>0.6</v>
      </c>
      <c r="AA19" s="187">
        <v>975</v>
      </c>
      <c r="AB19" s="187">
        <v>840</v>
      </c>
      <c r="AC19" s="237">
        <f>Y19/Z19</f>
        <v>3.3333333333333333E-2</v>
      </c>
      <c r="AD19" s="210">
        <f>Y19*AA19*AB19</f>
        <v>16380</v>
      </c>
      <c r="AE19" s="14"/>
      <c r="AF19" s="14"/>
      <c r="AG19" s="14"/>
      <c r="AL19" s="159" t="s">
        <v>319</v>
      </c>
      <c r="AM19" s="81" t="s">
        <v>320</v>
      </c>
      <c r="AN19" s="81" t="s">
        <v>335</v>
      </c>
      <c r="AO19" s="85">
        <f>SUM(N6:N9)*(1/(SUM(AC18:AC19)*0.5+1/8))</f>
        <v>273.46072875090488</v>
      </c>
      <c r="AP19" s="81" t="s">
        <v>322</v>
      </c>
      <c r="AQ19" s="167">
        <v>298.59179999999998</v>
      </c>
      <c r="AU19" s="168" t="s">
        <v>319</v>
      </c>
      <c r="AV19" s="168" t="s">
        <v>320</v>
      </c>
      <c r="AW19" s="168" t="s">
        <v>335</v>
      </c>
      <c r="AX19" s="169" t="s">
        <v>323</v>
      </c>
      <c r="AY19" s="162">
        <f t="shared" ref="AY19:AY24" si="13">AO19</f>
        <v>273.46072875090488</v>
      </c>
      <c r="AZ19" s="168" t="s">
        <v>322</v>
      </c>
      <c r="BB19" s="81" t="s">
        <v>399</v>
      </c>
      <c r="BC19" s="167">
        <v>2950000</v>
      </c>
      <c r="BD19" s="167">
        <v>42900</v>
      </c>
      <c r="BE19" s="81">
        <v>68.739999999999995</v>
      </c>
      <c r="BF19" s="81" t="s">
        <v>388</v>
      </c>
      <c r="BI19" s="175" t="s">
        <v>319</v>
      </c>
      <c r="BJ19" s="175" t="s">
        <v>320</v>
      </c>
      <c r="BK19" s="175" t="s">
        <v>335</v>
      </c>
      <c r="BL19" s="175" t="s">
        <v>323</v>
      </c>
      <c r="BM19" s="181">
        <f>BC32</f>
        <v>637</v>
      </c>
      <c r="BN19" s="175" t="s">
        <v>322</v>
      </c>
      <c r="BP19" s="81" t="s">
        <v>399</v>
      </c>
      <c r="BQ19" s="167">
        <v>3560000</v>
      </c>
      <c r="BR19" s="167">
        <v>405000</v>
      </c>
      <c r="BS19" s="81">
        <v>8.81</v>
      </c>
      <c r="BT19" s="81" t="s">
        <v>422</v>
      </c>
      <c r="BU19" s="167">
        <v>2E-16</v>
      </c>
      <c r="BV19" s="81" t="s">
        <v>389</v>
      </c>
      <c r="BX19" s="178" t="s">
        <v>319</v>
      </c>
      <c r="BY19" s="178" t="s">
        <v>320</v>
      </c>
      <c r="BZ19" s="178" t="s">
        <v>334</v>
      </c>
      <c r="CA19" s="178" t="s">
        <v>323</v>
      </c>
      <c r="CB19" s="177">
        <f>BQ30</f>
        <v>7.2499999999999995E-2</v>
      </c>
      <c r="CC19" s="178" t="s">
        <v>322</v>
      </c>
      <c r="CN19" s="81" t="s">
        <v>336</v>
      </c>
      <c r="CO19" s="257">
        <f t="shared" si="0"/>
        <v>399.20792079207922</v>
      </c>
      <c r="CP19" s="257">
        <f t="shared" si="1"/>
        <v>795</v>
      </c>
      <c r="CQ19" s="257">
        <f t="shared" si="2"/>
        <v>215</v>
      </c>
      <c r="CT19" s="258" t="s">
        <v>442</v>
      </c>
      <c r="CU19" s="258" t="s">
        <v>449</v>
      </c>
      <c r="CV19" s="259">
        <v>1.77</v>
      </c>
      <c r="CW19" s="259">
        <v>3.0800000000000001E-2</v>
      </c>
      <c r="CX19" s="258">
        <v>57.42</v>
      </c>
      <c r="CY19" s="258" t="s">
        <v>422</v>
      </c>
      <c r="CZ19" s="167">
        <v>2E-16</v>
      </c>
      <c r="DA19" s="81" t="s">
        <v>389</v>
      </c>
      <c r="DB19" s="260" t="s">
        <v>467</v>
      </c>
      <c r="DC19" s="263" t="s">
        <v>482</v>
      </c>
      <c r="DD19" s="261" t="s">
        <v>323</v>
      </c>
      <c r="DE19" s="262">
        <f t="shared" si="9"/>
        <v>1.1399999999999999</v>
      </c>
      <c r="DF19" s="260" t="s">
        <v>322</v>
      </c>
    </row>
    <row r="20" spans="1:110" ht="15" customHeight="1" thickTop="1" thickBot="1" x14ac:dyDescent="0.3">
      <c r="A20" s="188"/>
      <c r="B20" s="189"/>
      <c r="C20" s="189"/>
      <c r="D20" s="194" t="s">
        <v>83</v>
      </c>
      <c r="E20" s="199"/>
      <c r="F20" s="207">
        <f>G4/B23</f>
        <v>0.17431192660550457</v>
      </c>
      <c r="G20" s="199"/>
      <c r="H20" s="190"/>
      <c r="J20" s="81" t="s">
        <v>82</v>
      </c>
      <c r="K20" s="218">
        <v>0</v>
      </c>
      <c r="L20" s="219">
        <v>2</v>
      </c>
      <c r="M20" s="219" t="s">
        <v>25</v>
      </c>
      <c r="N20" s="220">
        <v>0</v>
      </c>
      <c r="O20" s="221" t="s">
        <v>50</v>
      </c>
      <c r="P20" s="30">
        <f t="shared" si="4"/>
        <v>0.31684206193169995</v>
      </c>
      <c r="Q20" s="30">
        <f t="shared" si="5"/>
        <v>0</v>
      </c>
      <c r="R20" s="30">
        <f t="shared" si="10"/>
        <v>0</v>
      </c>
      <c r="S20" s="30" t="e">
        <f t="shared" si="11"/>
        <v>#DIV/0!</v>
      </c>
      <c r="T20" s="30">
        <f t="shared" si="12"/>
        <v>0</v>
      </c>
      <c r="U20" s="31"/>
      <c r="V20" s="153"/>
      <c r="W20" s="226"/>
      <c r="X20" s="226"/>
      <c r="Y20" s="226"/>
      <c r="Z20" s="226"/>
      <c r="AA20" s="226"/>
      <c r="AB20" s="226"/>
      <c r="AC20" s="226"/>
      <c r="AD20" s="226"/>
      <c r="AE20" s="14"/>
      <c r="AF20" s="14"/>
      <c r="AG20" s="14"/>
      <c r="AL20" s="159" t="s">
        <v>319</v>
      </c>
      <c r="AM20" s="81" t="s">
        <v>320</v>
      </c>
      <c r="AN20" s="81" t="s">
        <v>336</v>
      </c>
      <c r="AO20" s="85">
        <f>SUM(N14)*1/(0.5*SUM(AC42:AC43)+1/6)</f>
        <v>399.20792079207922</v>
      </c>
      <c r="AP20" s="81" t="s">
        <v>322</v>
      </c>
      <c r="AQ20" s="167">
        <v>278.86439999999999</v>
      </c>
      <c r="AU20" s="168" t="s">
        <v>319</v>
      </c>
      <c r="AV20" s="168" t="s">
        <v>320</v>
      </c>
      <c r="AW20" s="168" t="s">
        <v>336</v>
      </c>
      <c r="AX20" s="169" t="s">
        <v>323</v>
      </c>
      <c r="AY20" s="162">
        <f t="shared" si="13"/>
        <v>399.20792079207922</v>
      </c>
      <c r="AZ20" s="168" t="s">
        <v>322</v>
      </c>
      <c r="BB20" s="81" t="s">
        <v>301</v>
      </c>
      <c r="BC20" s="167">
        <v>23100000</v>
      </c>
      <c r="BD20" s="167">
        <v>232000</v>
      </c>
      <c r="BE20" s="81">
        <v>99.92</v>
      </c>
      <c r="BF20" s="81" t="s">
        <v>388</v>
      </c>
      <c r="BI20" s="175" t="s">
        <v>319</v>
      </c>
      <c r="BJ20" s="175" t="s">
        <v>320</v>
      </c>
      <c r="BK20" s="175" t="s">
        <v>336</v>
      </c>
      <c r="BL20" s="175" t="s">
        <v>323</v>
      </c>
      <c r="BM20" s="181">
        <f>BC33</f>
        <v>795</v>
      </c>
      <c r="BN20" s="175" t="s">
        <v>322</v>
      </c>
      <c r="BP20" s="81" t="s">
        <v>301</v>
      </c>
      <c r="BQ20" s="167">
        <v>32200000</v>
      </c>
      <c r="BR20" s="167">
        <v>1890000</v>
      </c>
      <c r="BS20" s="81">
        <v>17.04</v>
      </c>
      <c r="BT20" s="81" t="s">
        <v>422</v>
      </c>
      <c r="BU20" s="167">
        <v>2E-16</v>
      </c>
      <c r="BV20" s="81" t="s">
        <v>389</v>
      </c>
      <c r="BX20" s="178"/>
      <c r="BY20" s="178"/>
      <c r="BZ20" s="178"/>
      <c r="CA20" s="178"/>
      <c r="CB20" s="177"/>
      <c r="CC20" s="178"/>
      <c r="CN20" s="81" t="s">
        <v>337</v>
      </c>
      <c r="CO20" s="257">
        <f t="shared" si="0"/>
        <v>515.26683938273379</v>
      </c>
      <c r="CP20" s="257">
        <f t="shared" si="1"/>
        <v>1310</v>
      </c>
      <c r="CQ20" s="257">
        <f t="shared" si="2"/>
        <v>457</v>
      </c>
      <c r="CT20" s="258" t="s">
        <v>442</v>
      </c>
      <c r="CU20" s="258" t="s">
        <v>450</v>
      </c>
      <c r="CV20" s="259">
        <v>0.53700000000000003</v>
      </c>
      <c r="CW20" s="259">
        <v>0.23799999999999999</v>
      </c>
      <c r="CX20" s="258">
        <v>2.2599999999999998</v>
      </c>
      <c r="CY20" s="258">
        <v>2.4E-2</v>
      </c>
      <c r="CZ20" s="81" t="s">
        <v>434</v>
      </c>
      <c r="DB20" s="260" t="s">
        <v>467</v>
      </c>
      <c r="DC20" s="264" t="s">
        <v>483</v>
      </c>
      <c r="DD20" s="261" t="s">
        <v>323</v>
      </c>
      <c r="DE20" s="262">
        <f t="shared" si="9"/>
        <v>0.99399999999999999</v>
      </c>
      <c r="DF20" s="260" t="s">
        <v>322</v>
      </c>
    </row>
    <row r="21" spans="1:110" ht="15" customHeight="1" thickTop="1" thickBot="1" x14ac:dyDescent="0.3">
      <c r="A21" s="188"/>
      <c r="B21" s="189"/>
      <c r="C21" s="189"/>
      <c r="D21" s="194" t="s">
        <v>86</v>
      </c>
      <c r="E21" s="199"/>
      <c r="F21" s="207">
        <f>G4/B6</f>
        <v>0.17431192660550457</v>
      </c>
      <c r="G21" s="199"/>
      <c r="H21" s="190"/>
      <c r="J21" s="81" t="s">
        <v>84</v>
      </c>
      <c r="K21" s="218">
        <v>0</v>
      </c>
      <c r="L21" s="219">
        <v>2</v>
      </c>
      <c r="M21" s="219" t="s">
        <v>54</v>
      </c>
      <c r="N21" s="220">
        <f>H10</f>
        <v>3.9</v>
      </c>
      <c r="O21" s="221" t="s">
        <v>26</v>
      </c>
      <c r="P21" s="30">
        <f t="shared" si="4"/>
        <v>2</v>
      </c>
      <c r="Q21" s="30">
        <f t="shared" si="5"/>
        <v>7.8</v>
      </c>
      <c r="R21" s="30">
        <f t="shared" si="10"/>
        <v>0</v>
      </c>
      <c r="S21" s="30">
        <f t="shared" si="11"/>
        <v>0</v>
      </c>
      <c r="T21" s="30">
        <f t="shared" si="12"/>
        <v>0</v>
      </c>
      <c r="U21" s="31"/>
      <c r="V21" s="153"/>
      <c r="W21" s="228" t="s">
        <v>85</v>
      </c>
      <c r="X21" s="229"/>
      <c r="Y21" s="230" t="s">
        <v>21</v>
      </c>
      <c r="Z21" s="231">
        <f>(1/(1/8+SUM(AC23:AC25)+1/8))</f>
        <v>1.7363344051446945</v>
      </c>
      <c r="AA21" s="229" t="s">
        <v>5</v>
      </c>
      <c r="AB21" s="229"/>
      <c r="AC21" s="229" t="s">
        <v>22</v>
      </c>
      <c r="AD21" s="232">
        <f>SUM(AD23:AD26)</f>
        <v>197400.00000000003</v>
      </c>
      <c r="AE21" s="14" t="s">
        <v>23</v>
      </c>
      <c r="AF21" s="14">
        <f>SUM(AD23:AD25)</f>
        <v>197400.00000000003</v>
      </c>
      <c r="AG21" s="14"/>
      <c r="AL21" s="159" t="s">
        <v>319</v>
      </c>
      <c r="AM21" s="81" t="s">
        <v>320</v>
      </c>
      <c r="AN21" s="81" t="s">
        <v>337</v>
      </c>
      <c r="AO21" s="85">
        <f>4*Z21*N27</f>
        <v>515.26683938273379</v>
      </c>
      <c r="AP21" s="81" t="s">
        <v>322</v>
      </c>
      <c r="AQ21" s="167">
        <v>721.00049999999999</v>
      </c>
      <c r="AU21" s="168" t="s">
        <v>319</v>
      </c>
      <c r="AV21" s="168" t="s">
        <v>320</v>
      </c>
      <c r="AW21" s="168" t="s">
        <v>337</v>
      </c>
      <c r="AX21" s="169" t="s">
        <v>323</v>
      </c>
      <c r="AY21" s="162">
        <f t="shared" si="13"/>
        <v>515.26683938273379</v>
      </c>
      <c r="AZ21" s="168" t="s">
        <v>322</v>
      </c>
      <c r="BB21" s="81" t="s">
        <v>303</v>
      </c>
      <c r="BC21" s="167">
        <v>30400000</v>
      </c>
      <c r="BD21" s="167">
        <v>78800</v>
      </c>
      <c r="BE21" s="81">
        <v>386.04</v>
      </c>
      <c r="BF21" s="81" t="s">
        <v>388</v>
      </c>
      <c r="BI21" s="175" t="s">
        <v>319</v>
      </c>
      <c r="BJ21" s="175" t="s">
        <v>320</v>
      </c>
      <c r="BK21" s="175" t="s">
        <v>337</v>
      </c>
      <c r="BL21" s="175" t="s">
        <v>323</v>
      </c>
      <c r="BM21" s="181">
        <f>BC34</f>
        <v>1310</v>
      </c>
      <c r="BN21" s="175" t="s">
        <v>322</v>
      </c>
      <c r="BP21" s="81" t="s">
        <v>303</v>
      </c>
      <c r="BQ21" s="167">
        <v>25400000</v>
      </c>
      <c r="BR21" s="167">
        <v>316000</v>
      </c>
      <c r="BS21" s="81">
        <v>80.53</v>
      </c>
      <c r="BT21" s="81" t="s">
        <v>422</v>
      </c>
      <c r="BU21" s="167">
        <v>2E-16</v>
      </c>
      <c r="BV21" s="81" t="s">
        <v>389</v>
      </c>
      <c r="BX21" s="178" t="s">
        <v>319</v>
      </c>
      <c r="BY21" s="178" t="s">
        <v>320</v>
      </c>
      <c r="BZ21" s="178" t="s">
        <v>335</v>
      </c>
      <c r="CA21" s="178" t="s">
        <v>323</v>
      </c>
      <c r="CB21" s="180">
        <f>BQ32</f>
        <v>278</v>
      </c>
      <c r="CC21" s="178" t="s">
        <v>322</v>
      </c>
      <c r="CD21" s="167">
        <f>BR32</f>
        <v>2.25</v>
      </c>
      <c r="CN21" s="81" t="s">
        <v>338</v>
      </c>
      <c r="CO21" s="257">
        <f t="shared" si="0"/>
        <v>103.48120439560441</v>
      </c>
      <c r="CP21" s="257">
        <f t="shared" si="1"/>
        <v>253</v>
      </c>
      <c r="CQ21" s="257">
        <f t="shared" si="2"/>
        <v>272</v>
      </c>
      <c r="CT21" s="258" t="s">
        <v>442</v>
      </c>
      <c r="CU21" s="258" t="s">
        <v>343</v>
      </c>
      <c r="CV21" s="259">
        <v>1.12E-7</v>
      </c>
      <c r="CW21" s="259">
        <v>6.9500000000000004E-6</v>
      </c>
      <c r="CX21" s="258">
        <v>0.02</v>
      </c>
      <c r="CY21" s="258">
        <v>0.98699999999999999</v>
      </c>
      <c r="DB21" s="260" t="s">
        <v>467</v>
      </c>
      <c r="DC21" s="264" t="s">
        <v>484</v>
      </c>
      <c r="DD21" s="261" t="s">
        <v>323</v>
      </c>
      <c r="DE21" s="262">
        <f t="shared" si="9"/>
        <v>0.56000000000000005</v>
      </c>
      <c r="DF21" s="260" t="s">
        <v>322</v>
      </c>
    </row>
    <row r="22" spans="1:110" ht="15" customHeight="1" thickTop="1" thickBot="1" x14ac:dyDescent="0.3">
      <c r="A22" s="205"/>
      <c r="B22" s="187"/>
      <c r="C22" s="187"/>
      <c r="D22" s="188" t="s">
        <v>88</v>
      </c>
      <c r="E22" s="189"/>
      <c r="F22" s="195">
        <f>G4/B26</f>
        <v>8.2905544147843929E-2</v>
      </c>
      <c r="G22" s="189"/>
      <c r="H22" s="190"/>
      <c r="J22" s="81" t="s">
        <v>87</v>
      </c>
      <c r="K22" s="218">
        <v>0</v>
      </c>
      <c r="L22" s="219">
        <v>2</v>
      </c>
      <c r="M22" s="219" t="s">
        <v>54</v>
      </c>
      <c r="N22" s="220">
        <f>H11</f>
        <v>4</v>
      </c>
      <c r="O22" s="221" t="s">
        <v>39</v>
      </c>
      <c r="P22" s="30">
        <f t="shared" si="4"/>
        <v>2</v>
      </c>
      <c r="Q22" s="30">
        <f t="shared" si="5"/>
        <v>8</v>
      </c>
      <c r="R22" s="30">
        <f t="shared" si="10"/>
        <v>0</v>
      </c>
      <c r="S22" s="30">
        <f t="shared" si="11"/>
        <v>0</v>
      </c>
      <c r="T22" s="30">
        <f t="shared" si="12"/>
        <v>0</v>
      </c>
      <c r="U22" s="31"/>
      <c r="V22" s="153"/>
      <c r="W22" s="233"/>
      <c r="X22" s="234" t="s">
        <v>27</v>
      </c>
      <c r="Y22" s="234" t="s">
        <v>28</v>
      </c>
      <c r="Z22" s="234" t="s">
        <v>29</v>
      </c>
      <c r="AA22" s="234" t="s">
        <v>30</v>
      </c>
      <c r="AB22" s="234" t="s">
        <v>31</v>
      </c>
      <c r="AC22" s="234" t="s">
        <v>32</v>
      </c>
      <c r="AD22" s="235" t="s">
        <v>33</v>
      </c>
      <c r="AE22" s="14"/>
      <c r="AF22" s="14"/>
      <c r="AG22" s="14"/>
      <c r="AL22" s="159" t="s">
        <v>319</v>
      </c>
      <c r="AM22" s="81" t="s">
        <v>320</v>
      </c>
      <c r="AN22" s="81" t="s">
        <v>338</v>
      </c>
      <c r="AO22" s="85">
        <f>'Verwarming Tabula 2zone'!B60+SUM(Q10:Q13)</f>
        <v>103.48120439560441</v>
      </c>
      <c r="AP22" s="81" t="s">
        <v>322</v>
      </c>
      <c r="AQ22" s="167">
        <v>110.5333</v>
      </c>
      <c r="AU22" s="168" t="s">
        <v>319</v>
      </c>
      <c r="AV22" s="168" t="s">
        <v>320</v>
      </c>
      <c r="AW22" s="168" t="s">
        <v>338</v>
      </c>
      <c r="AX22" s="169" t="s">
        <v>323</v>
      </c>
      <c r="AY22" s="162">
        <f t="shared" si="13"/>
        <v>103.48120439560441</v>
      </c>
      <c r="AZ22" s="168" t="s">
        <v>322</v>
      </c>
      <c r="BB22" s="81" t="s">
        <v>400</v>
      </c>
      <c r="BC22" s="167">
        <v>-5.92</v>
      </c>
      <c r="BD22" s="167">
        <v>5.1700000000000003E-2</v>
      </c>
      <c r="BE22" s="81">
        <v>-114.57</v>
      </c>
      <c r="BF22" s="81" t="s">
        <v>388</v>
      </c>
      <c r="BI22" s="175" t="s">
        <v>319</v>
      </c>
      <c r="BJ22" s="175" t="s">
        <v>320</v>
      </c>
      <c r="BK22" s="175" t="s">
        <v>338</v>
      </c>
      <c r="BL22" s="175" t="s">
        <v>323</v>
      </c>
      <c r="BM22" s="181">
        <f>BC35</f>
        <v>253</v>
      </c>
      <c r="BN22" s="175" t="s">
        <v>322</v>
      </c>
      <c r="BP22" s="81" t="s">
        <v>400</v>
      </c>
      <c r="BQ22" s="167">
        <v>-6.08</v>
      </c>
      <c r="BR22" s="167">
        <v>0.23</v>
      </c>
      <c r="BS22" s="81">
        <v>-26.41</v>
      </c>
      <c r="BT22" s="81" t="s">
        <v>422</v>
      </c>
      <c r="BU22" s="167">
        <v>2E-16</v>
      </c>
      <c r="BV22" s="81" t="s">
        <v>389</v>
      </c>
      <c r="BX22" s="178" t="s">
        <v>319</v>
      </c>
      <c r="BY22" s="178" t="s">
        <v>320</v>
      </c>
      <c r="BZ22" s="178" t="s">
        <v>336</v>
      </c>
      <c r="CA22" s="178" t="s">
        <v>323</v>
      </c>
      <c r="CB22" s="180">
        <f>BQ33</f>
        <v>215</v>
      </c>
      <c r="CC22" s="178" t="s">
        <v>322</v>
      </c>
      <c r="CD22" s="167">
        <f>BR33</f>
        <v>1.54</v>
      </c>
      <c r="CN22" s="81" t="s">
        <v>339</v>
      </c>
      <c r="CO22" s="257">
        <f t="shared" si="0"/>
        <v>25.716718303719439</v>
      </c>
      <c r="CP22" s="257">
        <f t="shared" si="1"/>
        <v>217.39130434782609</v>
      </c>
      <c r="CQ22" s="257">
        <f t="shared" si="2"/>
        <v>326.79738562091507</v>
      </c>
      <c r="CT22" s="258" t="s">
        <v>442</v>
      </c>
      <c r="CU22" s="258" t="s">
        <v>451</v>
      </c>
      <c r="CV22" s="259">
        <v>0.34100000000000003</v>
      </c>
      <c r="CW22" s="259">
        <v>0.13300000000000001</v>
      </c>
      <c r="CX22" s="258">
        <v>2.56</v>
      </c>
      <c r="CY22" s="258">
        <v>1.0999999999999999E-2</v>
      </c>
      <c r="CZ22" s="81" t="s">
        <v>434</v>
      </c>
      <c r="DB22" s="260" t="s">
        <v>467</v>
      </c>
      <c r="DC22" s="264" t="s">
        <v>485</v>
      </c>
      <c r="DD22" s="261" t="s">
        <v>323</v>
      </c>
      <c r="DE22" s="262">
        <f t="shared" si="9"/>
        <v>6.1800000000000004E-10</v>
      </c>
      <c r="DF22" s="260" t="s">
        <v>322</v>
      </c>
    </row>
    <row r="23" spans="1:110" ht="15" customHeight="1" thickTop="1" thickBot="1" x14ac:dyDescent="0.3">
      <c r="A23" s="191" t="s">
        <v>91</v>
      </c>
      <c r="B23" s="192">
        <f>B17+B6</f>
        <v>185.3</v>
      </c>
      <c r="C23" s="202" t="s">
        <v>9</v>
      </c>
      <c r="D23" s="188"/>
      <c r="E23" s="189"/>
      <c r="F23" s="189"/>
      <c r="G23" s="189"/>
      <c r="H23" s="190"/>
      <c r="J23" s="81" t="s">
        <v>89</v>
      </c>
      <c r="K23" s="218">
        <v>0</v>
      </c>
      <c r="L23" s="219">
        <v>2</v>
      </c>
      <c r="M23" s="219" t="s">
        <v>54</v>
      </c>
      <c r="N23" s="220">
        <f>H12</f>
        <v>4.55</v>
      </c>
      <c r="O23" s="221" t="s">
        <v>45</v>
      </c>
      <c r="P23" s="30">
        <f t="shared" si="4"/>
        <v>2</v>
      </c>
      <c r="Q23" s="30">
        <f t="shared" si="5"/>
        <v>9.1</v>
      </c>
      <c r="R23" s="30">
        <f t="shared" si="10"/>
        <v>0</v>
      </c>
      <c r="S23" s="30">
        <f t="shared" si="11"/>
        <v>0</v>
      </c>
      <c r="T23" s="30">
        <f t="shared" si="12"/>
        <v>0</v>
      </c>
      <c r="U23" s="31"/>
      <c r="V23" s="153"/>
      <c r="W23" s="188"/>
      <c r="X23" s="189" t="s">
        <v>90</v>
      </c>
      <c r="Y23" s="189">
        <v>0.02</v>
      </c>
      <c r="Z23" s="189">
        <v>0.6</v>
      </c>
      <c r="AA23" s="189">
        <v>975</v>
      </c>
      <c r="AB23" s="189">
        <v>840</v>
      </c>
      <c r="AC23" s="236">
        <f>Y23/Z23</f>
        <v>3.3333333333333333E-2</v>
      </c>
      <c r="AD23" s="190">
        <f>Y23*AA23*AB23</f>
        <v>16380</v>
      </c>
      <c r="AE23" s="14"/>
      <c r="AF23" s="14"/>
      <c r="AG23" s="14"/>
      <c r="AL23" s="159" t="s">
        <v>319</v>
      </c>
      <c r="AM23" s="81" t="s">
        <v>320</v>
      </c>
      <c r="AN23" s="81" t="s">
        <v>339</v>
      </c>
      <c r="AO23" s="85">
        <f>SUM(N6:N9)*1/(SUM(AC15:AC17)+0.5*SUM(AC18:AC19)+1/23)</f>
        <v>25.716718303719439</v>
      </c>
      <c r="AP23" s="81" t="s">
        <v>322</v>
      </c>
      <c r="AQ23" s="81">
        <f>1/0.01496205</f>
        <v>66.83576114235683</v>
      </c>
      <c r="AU23" s="168" t="s">
        <v>319</v>
      </c>
      <c r="AV23" s="168" t="s">
        <v>320</v>
      </c>
      <c r="AW23" s="168" t="s">
        <v>339</v>
      </c>
      <c r="AX23" s="169" t="s">
        <v>323</v>
      </c>
      <c r="AY23" s="162">
        <f t="shared" si="13"/>
        <v>25.716718303719439</v>
      </c>
      <c r="AZ23" s="168" t="s">
        <v>322</v>
      </c>
      <c r="BB23" s="81" t="s">
        <v>401</v>
      </c>
      <c r="BC23" s="167">
        <v>-13.3</v>
      </c>
      <c r="BD23" s="167">
        <v>65</v>
      </c>
      <c r="BE23" s="81">
        <v>-0.2</v>
      </c>
      <c r="BF23" s="81">
        <v>0.84</v>
      </c>
      <c r="BI23" s="175" t="s">
        <v>319</v>
      </c>
      <c r="BJ23" s="175" t="s">
        <v>320</v>
      </c>
      <c r="BK23" s="175" t="s">
        <v>339</v>
      </c>
      <c r="BL23" s="175" t="s">
        <v>323</v>
      </c>
      <c r="BM23" s="181">
        <f>1/BC41</f>
        <v>217.39130434782609</v>
      </c>
      <c r="BN23" s="175" t="s">
        <v>322</v>
      </c>
      <c r="BP23" s="81" t="s">
        <v>401</v>
      </c>
      <c r="BQ23" s="167">
        <v>-27.7</v>
      </c>
      <c r="BR23" s="167">
        <v>2.08</v>
      </c>
      <c r="BS23" s="81">
        <v>-13.34</v>
      </c>
      <c r="BT23" s="81" t="s">
        <v>422</v>
      </c>
      <c r="BU23" s="167">
        <v>2E-16</v>
      </c>
      <c r="BV23" s="81" t="s">
        <v>389</v>
      </c>
      <c r="BX23" s="178" t="s">
        <v>319</v>
      </c>
      <c r="BY23" s="178" t="s">
        <v>320</v>
      </c>
      <c r="BZ23" s="178" t="s">
        <v>337</v>
      </c>
      <c r="CA23" s="178" t="s">
        <v>323</v>
      </c>
      <c r="CB23" s="180">
        <f>BQ34</f>
        <v>457</v>
      </c>
      <c r="CC23" s="178" t="s">
        <v>322</v>
      </c>
      <c r="CD23" s="167">
        <f>BR34</f>
        <v>3.7</v>
      </c>
      <c r="CN23" s="81" t="s">
        <v>340</v>
      </c>
      <c r="CO23" s="257">
        <f t="shared" si="0"/>
        <v>30.991544965411222</v>
      </c>
      <c r="CP23" s="257">
        <f t="shared" si="1"/>
        <v>81.900000000000006</v>
      </c>
      <c r="CQ23" s="257">
        <f t="shared" si="2"/>
        <v>75.900000000000006</v>
      </c>
      <c r="CT23" s="258" t="s">
        <v>442</v>
      </c>
      <c r="CU23" s="258" t="s">
        <v>452</v>
      </c>
      <c r="CV23" s="259">
        <v>5.91E-2</v>
      </c>
      <c r="CW23" s="259">
        <v>0.22700000000000001</v>
      </c>
      <c r="CX23" s="258">
        <v>0.26</v>
      </c>
      <c r="CY23" s="258">
        <v>0.79500000000000004</v>
      </c>
      <c r="DB23" s="260" t="s">
        <v>467</v>
      </c>
      <c r="DC23" s="263" t="s">
        <v>486</v>
      </c>
      <c r="DD23" s="261" t="s">
        <v>323</v>
      </c>
      <c r="DE23" s="262">
        <f t="shared" si="9"/>
        <v>0.67600000000000005</v>
      </c>
      <c r="DF23" s="260" t="s">
        <v>322</v>
      </c>
    </row>
    <row r="24" spans="1:110" ht="15" customHeight="1" thickTop="1" thickBot="1" x14ac:dyDescent="0.3">
      <c r="A24" s="188" t="s">
        <v>94</v>
      </c>
      <c r="B24" s="208">
        <f>B23/B6</f>
        <v>1</v>
      </c>
      <c r="C24" s="189"/>
      <c r="D24" s="188" t="s">
        <v>95</v>
      </c>
      <c r="E24" s="189"/>
      <c r="F24" s="208">
        <f>B8/B6</f>
        <v>0.48192120885051271</v>
      </c>
      <c r="G24" s="189"/>
      <c r="H24" s="190"/>
      <c r="J24" s="81" t="s">
        <v>92</v>
      </c>
      <c r="K24" s="218">
        <v>0</v>
      </c>
      <c r="L24" s="219">
        <v>2</v>
      </c>
      <c r="M24" s="219" t="s">
        <v>54</v>
      </c>
      <c r="N24" s="220">
        <f>H13</f>
        <v>3.7</v>
      </c>
      <c r="O24" s="221" t="s">
        <v>50</v>
      </c>
      <c r="P24" s="30">
        <f t="shared" si="4"/>
        <v>2</v>
      </c>
      <c r="Q24" s="30">
        <f t="shared" si="5"/>
        <v>7.4</v>
      </c>
      <c r="R24" s="30">
        <f t="shared" si="10"/>
        <v>0</v>
      </c>
      <c r="S24" s="30">
        <f t="shared" si="11"/>
        <v>0</v>
      </c>
      <c r="T24" s="30">
        <f t="shared" si="12"/>
        <v>0</v>
      </c>
      <c r="U24" s="31"/>
      <c r="V24" s="153"/>
      <c r="W24" s="188"/>
      <c r="X24" s="189" t="s">
        <v>93</v>
      </c>
      <c r="Y24" s="189">
        <v>0.14000000000000001</v>
      </c>
      <c r="Z24" s="189">
        <v>0.54</v>
      </c>
      <c r="AA24" s="189">
        <v>1400</v>
      </c>
      <c r="AB24" s="189">
        <v>840</v>
      </c>
      <c r="AC24" s="236">
        <f>Y24/Z24</f>
        <v>0.25925925925925924</v>
      </c>
      <c r="AD24" s="190">
        <f>Y24*AA24*AB24</f>
        <v>164640.00000000003</v>
      </c>
      <c r="AE24" s="14"/>
      <c r="AF24" s="14"/>
      <c r="AG24" s="14"/>
      <c r="AL24" s="159" t="s">
        <v>319</v>
      </c>
      <c r="AM24" s="81" t="s">
        <v>320</v>
      </c>
      <c r="AN24" s="81" t="s">
        <v>340</v>
      </c>
      <c r="AO24" s="85">
        <f>SUM(N14)*1/(SUM(AC44:AC46)+0.5*SUM(AC42:AC43))</f>
        <v>30.991544965411222</v>
      </c>
      <c r="AP24" s="81" t="s">
        <v>322</v>
      </c>
      <c r="AQ24" s="167">
        <v>43.800190000000001</v>
      </c>
      <c r="AU24" s="168" t="s">
        <v>319</v>
      </c>
      <c r="AV24" s="168" t="s">
        <v>320</v>
      </c>
      <c r="AW24" s="168" t="s">
        <v>340</v>
      </c>
      <c r="AX24" s="169" t="s">
        <v>323</v>
      </c>
      <c r="AY24" s="162">
        <f t="shared" si="13"/>
        <v>30.991544965411222</v>
      </c>
      <c r="AZ24" s="168" t="s">
        <v>322</v>
      </c>
      <c r="BB24" s="81" t="s">
        <v>402</v>
      </c>
      <c r="BC24" s="167">
        <v>-15.6</v>
      </c>
      <c r="BD24" s="167">
        <v>83.5</v>
      </c>
      <c r="BE24" s="81">
        <v>-0.19</v>
      </c>
      <c r="BF24" s="81">
        <v>0.85</v>
      </c>
      <c r="BI24" s="175" t="s">
        <v>319</v>
      </c>
      <c r="BJ24" s="175" t="s">
        <v>320</v>
      </c>
      <c r="BK24" s="175" t="s">
        <v>340</v>
      </c>
      <c r="BL24" s="175" t="s">
        <v>323</v>
      </c>
      <c r="BM24" s="181">
        <f>BC44</f>
        <v>81.900000000000006</v>
      </c>
      <c r="BN24" s="175" t="s">
        <v>322</v>
      </c>
      <c r="BP24" s="81" t="s">
        <v>402</v>
      </c>
      <c r="BQ24" s="167">
        <v>-23.8</v>
      </c>
      <c r="BR24" s="167">
        <v>9</v>
      </c>
      <c r="BS24" s="81">
        <v>-2.65</v>
      </c>
      <c r="BT24" s="81">
        <v>8.0999999999999996E-3</v>
      </c>
      <c r="BU24" s="81" t="s">
        <v>425</v>
      </c>
      <c r="BX24" s="178" t="s">
        <v>319</v>
      </c>
      <c r="BY24" s="178" t="s">
        <v>320</v>
      </c>
      <c r="BZ24" s="178" t="s">
        <v>338</v>
      </c>
      <c r="CA24" s="178" t="s">
        <v>323</v>
      </c>
      <c r="CB24" s="180">
        <f>BQ35</f>
        <v>272</v>
      </c>
      <c r="CC24" s="178" t="s">
        <v>322</v>
      </c>
      <c r="CD24" s="167">
        <f>BR35</f>
        <v>18.2</v>
      </c>
      <c r="CO24" s="255"/>
      <c r="CP24" s="255"/>
      <c r="CQ24" s="255"/>
      <c r="CT24" s="258" t="s">
        <v>442</v>
      </c>
      <c r="CU24" s="258" t="s">
        <v>453</v>
      </c>
      <c r="CV24" s="259">
        <v>0.98799999999999999</v>
      </c>
      <c r="CW24" s="259">
        <v>1.5599999999999999E-2</v>
      </c>
      <c r="CX24" s="258">
        <v>63.27</v>
      </c>
      <c r="CY24" s="258" t="s">
        <v>422</v>
      </c>
      <c r="CZ24" s="167">
        <v>2E-16</v>
      </c>
      <c r="DA24" s="81" t="s">
        <v>389</v>
      </c>
      <c r="DB24" s="260" t="s">
        <v>467</v>
      </c>
      <c r="DC24" s="261" t="s">
        <v>487</v>
      </c>
      <c r="DD24" s="261" t="s">
        <v>323</v>
      </c>
      <c r="DE24" s="262">
        <f t="shared" si="9"/>
        <v>0.55000000000000004</v>
      </c>
      <c r="DF24" s="260" t="s">
        <v>322</v>
      </c>
    </row>
    <row r="25" spans="1:110" ht="15" customHeight="1" thickTop="1" thickBot="1" x14ac:dyDescent="0.3">
      <c r="A25" s="205"/>
      <c r="B25" s="187"/>
      <c r="C25" s="187"/>
      <c r="D25" s="188"/>
      <c r="E25" s="189"/>
      <c r="F25" s="189"/>
      <c r="G25" s="189"/>
      <c r="H25" s="190"/>
      <c r="J25" s="81" t="s">
        <v>96</v>
      </c>
      <c r="K25" s="218">
        <v>0</v>
      </c>
      <c r="L25" s="219">
        <v>2</v>
      </c>
      <c r="M25" s="219" t="s">
        <v>20</v>
      </c>
      <c r="N25" s="220">
        <f>'Tabula data'!B7</f>
        <v>108.5</v>
      </c>
      <c r="O25" s="221" t="s">
        <v>97</v>
      </c>
      <c r="P25" s="30">
        <f t="shared" si="4"/>
        <v>0.3127301569316186</v>
      </c>
      <c r="Q25" s="30">
        <f t="shared" si="5"/>
        <v>33.931222027080615</v>
      </c>
      <c r="R25" s="30">
        <f t="shared" si="10"/>
        <v>6179292</v>
      </c>
      <c r="S25" s="30">
        <f t="shared" si="11"/>
        <v>56952</v>
      </c>
      <c r="T25" s="30">
        <f t="shared" si="12"/>
        <v>1777230</v>
      </c>
      <c r="U25" s="31"/>
      <c r="V25" s="153"/>
      <c r="W25" s="205"/>
      <c r="X25" s="187" t="s">
        <v>90</v>
      </c>
      <c r="Y25" s="187">
        <v>0.02</v>
      </c>
      <c r="Z25" s="187">
        <v>0.6</v>
      </c>
      <c r="AA25" s="187">
        <v>975</v>
      </c>
      <c r="AB25" s="187">
        <v>840</v>
      </c>
      <c r="AC25" s="237">
        <f>Y25/Z25</f>
        <v>3.3333333333333333E-2</v>
      </c>
      <c r="AD25" s="210">
        <f>Y25*AA25*AB25</f>
        <v>16380</v>
      </c>
      <c r="AE25" s="14"/>
      <c r="AF25" s="14"/>
      <c r="AG25" s="14"/>
      <c r="AP25" s="81" t="s">
        <v>322</v>
      </c>
      <c r="AU25" s="168"/>
      <c r="AV25" s="168"/>
      <c r="AW25" s="168"/>
      <c r="AX25" s="169"/>
      <c r="AZ25" s="168"/>
      <c r="BB25" s="81" t="s">
        <v>403</v>
      </c>
      <c r="BC25" s="167">
        <v>-11.3</v>
      </c>
      <c r="BD25" s="167">
        <v>53</v>
      </c>
      <c r="BE25" s="81">
        <v>-0.21</v>
      </c>
      <c r="BF25" s="81">
        <v>0.83</v>
      </c>
      <c r="BI25" s="175"/>
      <c r="BJ25" s="175"/>
      <c r="BK25" s="175"/>
      <c r="BL25" s="175"/>
      <c r="BM25" s="174"/>
      <c r="BN25" s="175"/>
      <c r="BP25" s="81" t="s">
        <v>403</v>
      </c>
      <c r="BQ25" s="167">
        <v>-16.399999999999999</v>
      </c>
      <c r="BR25" s="167">
        <v>1.69</v>
      </c>
      <c r="BS25" s="81">
        <v>-9.69</v>
      </c>
      <c r="BT25" s="81" t="s">
        <v>422</v>
      </c>
      <c r="BU25" s="167">
        <v>2E-16</v>
      </c>
      <c r="BV25" s="81" t="s">
        <v>389</v>
      </c>
      <c r="BX25" s="178" t="s">
        <v>319</v>
      </c>
      <c r="BY25" s="178" t="s">
        <v>320</v>
      </c>
      <c r="BZ25" s="178" t="s">
        <v>339</v>
      </c>
      <c r="CA25" s="178" t="s">
        <v>323</v>
      </c>
      <c r="CB25" s="180">
        <f>1/BQ41</f>
        <v>326.79738562091507</v>
      </c>
      <c r="CC25" s="178" t="s">
        <v>322</v>
      </c>
      <c r="CD25" s="167">
        <f>CB25/50</f>
        <v>6.5359477124183014</v>
      </c>
      <c r="CN25" s="81" t="s">
        <v>341</v>
      </c>
      <c r="CO25" s="254">
        <f t="shared" si="0"/>
        <v>0.50433272812954155</v>
      </c>
      <c r="CP25" s="254">
        <f t="shared" si="1"/>
        <v>0.44900000000000001</v>
      </c>
      <c r="CQ25" s="254">
        <f t="shared" si="2"/>
        <v>0.46800000000000003</v>
      </c>
      <c r="CT25" s="258" t="s">
        <v>442</v>
      </c>
      <c r="CU25" s="258" t="s">
        <v>454</v>
      </c>
      <c r="CV25" s="259">
        <v>3.1199999999999999E-7</v>
      </c>
      <c r="CW25" s="259">
        <v>1.27E-5</v>
      </c>
      <c r="CX25" s="258">
        <v>0.02</v>
      </c>
      <c r="CY25" s="258">
        <v>0.98</v>
      </c>
      <c r="DD25" s="261"/>
    </row>
    <row r="26" spans="1:110" ht="15" customHeight="1" thickTop="1" thickBot="1" x14ac:dyDescent="0.3">
      <c r="A26" s="191" t="s">
        <v>100</v>
      </c>
      <c r="B26" s="209">
        <f>'Tabula data'!B6</f>
        <v>389.6</v>
      </c>
      <c r="C26" s="203" t="s">
        <v>9</v>
      </c>
      <c r="D26" s="188"/>
      <c r="E26" s="189"/>
      <c r="F26" s="189"/>
      <c r="G26" s="189"/>
      <c r="H26" s="190"/>
      <c r="J26" s="81" t="s">
        <v>98</v>
      </c>
      <c r="K26" s="218">
        <v>1</v>
      </c>
      <c r="L26" s="219">
        <v>2</v>
      </c>
      <c r="M26" s="219" t="s">
        <v>99</v>
      </c>
      <c r="N26" s="220">
        <f>'Tabula data'!B4-'Tabula data'!B14</f>
        <v>89.300000000000011</v>
      </c>
      <c r="O26" s="221"/>
      <c r="P26" s="30">
        <f t="shared" si="4"/>
        <v>1.4911242603550294</v>
      </c>
      <c r="Q26" s="30">
        <f t="shared" si="5"/>
        <v>133.15739644970415</v>
      </c>
      <c r="R26" s="30">
        <f t="shared" si="10"/>
        <v>40841355.000000007</v>
      </c>
      <c r="S26" s="30">
        <f t="shared" si="11"/>
        <v>457350</v>
      </c>
      <c r="T26" s="30">
        <f t="shared" si="12"/>
        <v>40841355.000000007</v>
      </c>
      <c r="U26" s="31"/>
      <c r="V26" s="153"/>
      <c r="W26" s="226"/>
      <c r="X26" s="226"/>
      <c r="Y26" s="226"/>
      <c r="Z26" s="226"/>
      <c r="AA26" s="226"/>
      <c r="AB26" s="226"/>
      <c r="AC26" s="226"/>
      <c r="AD26" s="226"/>
      <c r="AE26" s="14"/>
      <c r="AF26" s="14"/>
      <c r="AG26" s="14"/>
      <c r="AL26" s="159" t="s">
        <v>319</v>
      </c>
      <c r="AM26" s="81" t="s">
        <v>320</v>
      </c>
      <c r="AN26" s="81" t="s">
        <v>341</v>
      </c>
      <c r="AO26" s="81">
        <f>SUM(N17:N20,N25)/SUM(N$17:N$25,N$28,N$26)</f>
        <v>0.50433272812954155</v>
      </c>
      <c r="AP26" s="81" t="s">
        <v>322</v>
      </c>
      <c r="AQ26" s="167">
        <v>0.44339849999999997</v>
      </c>
      <c r="AU26" s="168" t="s">
        <v>319</v>
      </c>
      <c r="AV26" s="168" t="s">
        <v>320</v>
      </c>
      <c r="AW26" s="168" t="s">
        <v>341</v>
      </c>
      <c r="AX26" s="169" t="s">
        <v>323</v>
      </c>
      <c r="AY26" s="162">
        <f>AO26</f>
        <v>0.50433272812954155</v>
      </c>
      <c r="AZ26" s="168" t="s">
        <v>322</v>
      </c>
      <c r="BB26" s="81" t="s">
        <v>404</v>
      </c>
      <c r="BC26" s="167">
        <v>-14.8</v>
      </c>
      <c r="BD26" s="167">
        <v>69.3</v>
      </c>
      <c r="BE26" s="81">
        <v>-0.21</v>
      </c>
      <c r="BF26" s="81">
        <v>0.83</v>
      </c>
      <c r="BI26" s="175" t="s">
        <v>319</v>
      </c>
      <c r="BJ26" s="175" t="s">
        <v>320</v>
      </c>
      <c r="BK26" s="175" t="s">
        <v>341</v>
      </c>
      <c r="BL26" s="175" t="s">
        <v>323</v>
      </c>
      <c r="BM26" s="174">
        <f>BC54</f>
        <v>0.44900000000000001</v>
      </c>
      <c r="BN26" s="175" t="s">
        <v>322</v>
      </c>
      <c r="BP26" s="81" t="s">
        <v>404</v>
      </c>
      <c r="BQ26" s="167">
        <v>-21.6</v>
      </c>
      <c r="BR26" s="167">
        <v>1.83E-2</v>
      </c>
      <c r="BS26" s="81">
        <v>-1183.33</v>
      </c>
      <c r="BT26" s="81" t="s">
        <v>422</v>
      </c>
      <c r="BU26" s="167">
        <v>2E-16</v>
      </c>
      <c r="BV26" s="81" t="s">
        <v>389</v>
      </c>
      <c r="BX26" s="178" t="s">
        <v>319</v>
      </c>
      <c r="BY26" s="178" t="s">
        <v>320</v>
      </c>
      <c r="BZ26" s="178" t="s">
        <v>340</v>
      </c>
      <c r="CA26" s="178" t="s">
        <v>323</v>
      </c>
      <c r="CB26" s="180">
        <f>BQ44</f>
        <v>75.900000000000006</v>
      </c>
      <c r="CC26" s="178" t="s">
        <v>322</v>
      </c>
      <c r="CN26" s="81" t="s">
        <v>342</v>
      </c>
      <c r="CO26" s="254">
        <f t="shared" si="0"/>
        <v>0.19606977596215791</v>
      </c>
      <c r="CP26" s="254">
        <f t="shared" si="1"/>
        <v>0.111</v>
      </c>
      <c r="CQ26" s="254">
        <f t="shared" si="2"/>
        <v>0.14099999999999999</v>
      </c>
      <c r="CT26" s="258" t="s">
        <v>442</v>
      </c>
      <c r="CU26" s="258" t="s">
        <v>455</v>
      </c>
      <c r="CV26" s="259">
        <v>1.1399999999999999</v>
      </c>
      <c r="CW26" s="259">
        <v>9.3699999999999999E-3</v>
      </c>
      <c r="CX26" s="258">
        <v>121.65</v>
      </c>
      <c r="CY26" s="258" t="s">
        <v>422</v>
      </c>
      <c r="CZ26" s="167">
        <v>2E-16</v>
      </c>
      <c r="DA26" s="81" t="s">
        <v>389</v>
      </c>
      <c r="DC26" s="261"/>
      <c r="DD26" s="261"/>
      <c r="DE26" s="262"/>
    </row>
    <row r="27" spans="1:110" ht="15" customHeight="1" thickTop="1" thickBot="1" x14ac:dyDescent="0.3">
      <c r="A27" s="188"/>
      <c r="B27" s="208">
        <f>SUM(N6:N25)</f>
        <v>389.5</v>
      </c>
      <c r="C27" s="190" t="s">
        <v>9</v>
      </c>
      <c r="D27" s="188"/>
      <c r="E27" s="189"/>
      <c r="F27" s="189"/>
      <c r="G27" s="189"/>
      <c r="H27" s="190"/>
      <c r="J27" s="81" t="s">
        <v>101</v>
      </c>
      <c r="K27" s="218">
        <v>1</v>
      </c>
      <c r="L27" s="219">
        <v>1</v>
      </c>
      <c r="M27" s="219" t="s">
        <v>85</v>
      </c>
      <c r="N27" s="220">
        <f>SUM(N6:N9)</f>
        <v>74.188882892606586</v>
      </c>
      <c r="O27" s="221"/>
      <c r="P27" s="30">
        <f t="shared" si="4"/>
        <v>1.7363344051446945</v>
      </c>
      <c r="Q27" s="30">
        <f t="shared" si="5"/>
        <v>128.81670984568345</v>
      </c>
      <c r="R27" s="30">
        <f t="shared" si="10"/>
        <v>14644885.483000543</v>
      </c>
      <c r="S27" s="30">
        <f t="shared" si="11"/>
        <v>197400.00000000003</v>
      </c>
      <c r="T27" s="30">
        <f t="shared" si="12"/>
        <v>14644885.483000543</v>
      </c>
      <c r="U27" s="31"/>
      <c r="V27" s="153"/>
      <c r="W27" s="228" t="s">
        <v>99</v>
      </c>
      <c r="X27" s="229"/>
      <c r="Y27" s="230" t="s">
        <v>21</v>
      </c>
      <c r="Z27" s="231">
        <f>1/(1/10+SUM(AC29:AC32)+1/6)</f>
        <v>1.4911242603550294</v>
      </c>
      <c r="AA27" s="229" t="s">
        <v>5</v>
      </c>
      <c r="AB27" s="229"/>
      <c r="AC27" s="229" t="s">
        <v>22</v>
      </c>
      <c r="AD27" s="232">
        <f>SUM(AD29:AD33)</f>
        <v>457350</v>
      </c>
      <c r="AE27" s="14" t="s">
        <v>23</v>
      </c>
      <c r="AF27" s="14">
        <f>SUM(AD29:AD32)</f>
        <v>457350</v>
      </c>
      <c r="AG27" s="14"/>
      <c r="AL27" s="159" t="s">
        <v>319</v>
      </c>
      <c r="AM27" s="81" t="s">
        <v>320</v>
      </c>
      <c r="AN27" s="81" t="s">
        <v>342</v>
      </c>
      <c r="AO27" s="81">
        <f>SUM(N28)/SUM(N$17:N$25,N$28,N$26)</f>
        <v>0.19606977596215791</v>
      </c>
      <c r="AP27" s="81" t="s">
        <v>322</v>
      </c>
      <c r="AQ27" s="167">
        <v>0.14522370000000001</v>
      </c>
      <c r="AU27" s="168" t="s">
        <v>319</v>
      </c>
      <c r="AV27" s="168" t="s">
        <v>320</v>
      </c>
      <c r="AW27" s="168" t="s">
        <v>342</v>
      </c>
      <c r="AX27" s="169" t="s">
        <v>323</v>
      </c>
      <c r="AY27" s="162">
        <f>AO27</f>
        <v>0.19606977596215791</v>
      </c>
      <c r="AZ27" s="168" t="s">
        <v>322</v>
      </c>
      <c r="BB27" s="81" t="s">
        <v>405</v>
      </c>
      <c r="BC27" s="167">
        <v>0.11700000000000001</v>
      </c>
      <c r="BD27" s="167">
        <v>5.5000000000000003E-4</v>
      </c>
      <c r="BE27" s="81">
        <v>212.4</v>
      </c>
      <c r="BF27" s="81" t="s">
        <v>388</v>
      </c>
      <c r="BI27" s="175" t="s">
        <v>319</v>
      </c>
      <c r="BJ27" s="175" t="s">
        <v>320</v>
      </c>
      <c r="BK27" s="175" t="s">
        <v>342</v>
      </c>
      <c r="BL27" s="175" t="s">
        <v>323</v>
      </c>
      <c r="BM27" s="174">
        <f>BC55</f>
        <v>0.111</v>
      </c>
      <c r="BN27" s="175" t="s">
        <v>322</v>
      </c>
      <c r="BP27" s="81" t="s">
        <v>405</v>
      </c>
      <c r="BQ27" s="167">
        <v>7.0400000000000004E-2</v>
      </c>
      <c r="BR27" s="167">
        <v>1.0300000000000001E-3</v>
      </c>
      <c r="BS27" s="81">
        <v>68.37</v>
      </c>
      <c r="BT27" s="81" t="s">
        <v>422</v>
      </c>
      <c r="BU27" s="167">
        <v>2E-16</v>
      </c>
      <c r="BV27" s="81" t="s">
        <v>389</v>
      </c>
      <c r="BX27" s="178"/>
      <c r="BY27" s="178"/>
      <c r="BZ27" s="178"/>
      <c r="CA27" s="178"/>
      <c r="CB27" s="177"/>
      <c r="CC27" s="178"/>
      <c r="CN27" s="81" t="s">
        <v>343</v>
      </c>
      <c r="CO27" s="254">
        <f t="shared" si="0"/>
        <v>4.5884301175145123E-2</v>
      </c>
      <c r="CP27" s="254">
        <f t="shared" si="1"/>
        <v>0.255</v>
      </c>
      <c r="CQ27" s="254">
        <f t="shared" si="2"/>
        <v>0.108</v>
      </c>
      <c r="CT27" s="258" t="s">
        <v>442</v>
      </c>
      <c r="CU27" s="258" t="s">
        <v>456</v>
      </c>
      <c r="CV27" s="259">
        <v>0.99399999999999999</v>
      </c>
      <c r="CW27" s="259">
        <v>1.5900000000000001E-2</v>
      </c>
      <c r="CX27" s="258">
        <v>62.51</v>
      </c>
      <c r="CY27" s="258" t="s">
        <v>422</v>
      </c>
      <c r="CZ27" s="167">
        <v>2E-16</v>
      </c>
      <c r="DA27" s="81" t="s">
        <v>389</v>
      </c>
      <c r="DB27" s="260" t="s">
        <v>467</v>
      </c>
      <c r="DC27" s="261" t="s">
        <v>330</v>
      </c>
      <c r="DD27" s="261" t="s">
        <v>323</v>
      </c>
      <c r="DE27" s="262">
        <f>CV33</f>
        <v>14800000</v>
      </c>
      <c r="DF27" s="260" t="s">
        <v>322</v>
      </c>
    </row>
    <row r="28" spans="1:110" ht="15" customHeight="1" thickTop="1" thickBot="1" x14ac:dyDescent="0.3">
      <c r="A28" s="188"/>
      <c r="B28" s="189"/>
      <c r="C28" s="190"/>
      <c r="D28" s="188"/>
      <c r="E28" s="189"/>
      <c r="F28" s="189"/>
      <c r="G28" s="189"/>
      <c r="H28" s="190"/>
      <c r="J28" s="81" t="s">
        <v>102</v>
      </c>
      <c r="K28" s="218">
        <v>2</v>
      </c>
      <c r="L28" s="219">
        <v>2</v>
      </c>
      <c r="M28" s="219" t="s">
        <v>85</v>
      </c>
      <c r="N28" s="220">
        <f>SUM(N17:N20)</f>
        <v>69.011117107393432</v>
      </c>
      <c r="O28" s="221"/>
      <c r="P28" s="30">
        <f t="shared" si="4"/>
        <v>1.7363344051446945</v>
      </c>
      <c r="Q28" s="30">
        <f t="shared" si="5"/>
        <v>119.82637697103682</v>
      </c>
      <c r="R28" s="30">
        <f t="shared" si="10"/>
        <v>13622794.516999464</v>
      </c>
      <c r="S28" s="30">
        <f t="shared" si="11"/>
        <v>197400.00000000003</v>
      </c>
      <c r="T28" s="30">
        <f t="shared" si="12"/>
        <v>13622794.516999464</v>
      </c>
      <c r="U28" s="31"/>
      <c r="W28" s="233"/>
      <c r="X28" s="234" t="s">
        <v>27</v>
      </c>
      <c r="Y28" s="234" t="s">
        <v>28</v>
      </c>
      <c r="Z28" s="234" t="s">
        <v>29</v>
      </c>
      <c r="AA28" s="234" t="s">
        <v>30</v>
      </c>
      <c r="AB28" s="234" t="s">
        <v>31</v>
      </c>
      <c r="AC28" s="234" t="s">
        <v>32</v>
      </c>
      <c r="AD28" s="235" t="s">
        <v>33</v>
      </c>
      <c r="AE28" s="14"/>
      <c r="AF28" s="14"/>
      <c r="AG28" s="14"/>
      <c r="AL28" s="159" t="s">
        <v>319</v>
      </c>
      <c r="AM28" s="81" t="s">
        <v>320</v>
      </c>
      <c r="AN28" s="81" t="s">
        <v>343</v>
      </c>
      <c r="AO28" s="81">
        <f>SUM(N21:N24)/SUM(N$17:N$25,N$28,N$26)</f>
        <v>4.5884301175145123E-2</v>
      </c>
      <c r="AP28" s="81" t="s">
        <v>322</v>
      </c>
      <c r="AQ28" s="167">
        <v>0.13569049999999999</v>
      </c>
      <c r="AU28" s="168" t="s">
        <v>319</v>
      </c>
      <c r="AV28" s="168" t="s">
        <v>320</v>
      </c>
      <c r="AW28" s="168" t="s">
        <v>343</v>
      </c>
      <c r="AX28" s="169" t="s">
        <v>323</v>
      </c>
      <c r="AY28" s="162">
        <f>AO28</f>
        <v>4.5884301175145123E-2</v>
      </c>
      <c r="AZ28" s="168" t="s">
        <v>322</v>
      </c>
      <c r="BB28" s="81" t="s">
        <v>406</v>
      </c>
      <c r="BC28" s="167">
        <v>0.22500000000000001</v>
      </c>
      <c r="BD28" s="167">
        <v>9.9500000000000001E-4</v>
      </c>
      <c r="BE28" s="81">
        <v>225.89</v>
      </c>
      <c r="BF28" s="81" t="s">
        <v>388</v>
      </c>
      <c r="BI28" s="175" t="s">
        <v>319</v>
      </c>
      <c r="BJ28" s="175" t="s">
        <v>320</v>
      </c>
      <c r="BK28" s="175" t="s">
        <v>343</v>
      </c>
      <c r="BL28" s="175" t="s">
        <v>323</v>
      </c>
      <c r="BM28" s="174">
        <f>BC56</f>
        <v>0.255</v>
      </c>
      <c r="BN28" s="175" t="s">
        <v>322</v>
      </c>
      <c r="BP28" s="81" t="s">
        <v>406</v>
      </c>
      <c r="BQ28" s="167">
        <v>0.13700000000000001</v>
      </c>
      <c r="BR28" s="167">
        <v>1.8699999999999999E-3</v>
      </c>
      <c r="BS28" s="81">
        <v>73.45</v>
      </c>
      <c r="BT28" s="81" t="s">
        <v>422</v>
      </c>
      <c r="BU28" s="167">
        <v>2E-16</v>
      </c>
      <c r="BV28" s="81" t="s">
        <v>389</v>
      </c>
      <c r="BX28" s="178" t="s">
        <v>319</v>
      </c>
      <c r="BY28" s="178" t="s">
        <v>320</v>
      </c>
      <c r="BZ28" s="178" t="s">
        <v>341</v>
      </c>
      <c r="CA28" s="178" t="s">
        <v>323</v>
      </c>
      <c r="CB28" s="177">
        <f>BQ53</f>
        <v>0.46800000000000003</v>
      </c>
      <c r="CC28" s="178" t="s">
        <v>322</v>
      </c>
      <c r="CO28" s="255"/>
      <c r="CP28" s="255"/>
      <c r="CQ28" s="255"/>
      <c r="CT28" s="258" t="s">
        <v>442</v>
      </c>
      <c r="CU28" s="258" t="s">
        <v>457</v>
      </c>
      <c r="CV28" s="259">
        <v>0.56000000000000005</v>
      </c>
      <c r="CW28" s="259">
        <v>1.11E-2</v>
      </c>
      <c r="CX28" s="258">
        <v>50.42</v>
      </c>
      <c r="CY28" s="258" t="s">
        <v>422</v>
      </c>
      <c r="CZ28" s="167">
        <v>2E-16</v>
      </c>
      <c r="DA28" s="81" t="s">
        <v>389</v>
      </c>
      <c r="DB28" s="260" t="s">
        <v>467</v>
      </c>
      <c r="DC28" s="264" t="s">
        <v>327</v>
      </c>
      <c r="DD28" s="261" t="s">
        <v>323</v>
      </c>
      <c r="DE28" s="262">
        <f>CV34</f>
        <v>3530000</v>
      </c>
      <c r="DF28" s="260" t="s">
        <v>322</v>
      </c>
    </row>
    <row r="29" spans="1:110" ht="15" customHeight="1" thickTop="1" thickBot="1" x14ac:dyDescent="0.3">
      <c r="A29" s="188"/>
      <c r="B29" s="189"/>
      <c r="C29" s="190"/>
      <c r="D29" s="188"/>
      <c r="E29" s="189"/>
      <c r="F29" s="189"/>
      <c r="G29" s="189"/>
      <c r="H29" s="190"/>
      <c r="K29" s="218">
        <v>2</v>
      </c>
      <c r="L29" s="219">
        <v>2</v>
      </c>
      <c r="M29" s="219" t="s">
        <v>99</v>
      </c>
      <c r="N29" s="220">
        <v>0</v>
      </c>
      <c r="O29" s="225"/>
      <c r="P29" s="30">
        <f>VLOOKUP(M29,$W$5:$Z$391,4,0)</f>
        <v>1.4911242603550294</v>
      </c>
      <c r="Q29" s="30">
        <f>P29*N29</f>
        <v>0</v>
      </c>
      <c r="R29" s="30">
        <f>VLOOKUP(M29,$W$5:$AD$391,8,0)*N29</f>
        <v>0</v>
      </c>
      <c r="S29" s="30" t="e">
        <f>R29/N29</f>
        <v>#DIV/0!</v>
      </c>
      <c r="T29" s="30">
        <f>VLOOKUP(M29,$W$5:$AF$391,10,0)*N29</f>
        <v>0</v>
      </c>
      <c r="W29" s="239"/>
      <c r="X29" s="240" t="s">
        <v>103</v>
      </c>
      <c r="Y29" s="240">
        <v>0.02</v>
      </c>
      <c r="Z29" s="240">
        <v>0.18</v>
      </c>
      <c r="AA29" s="240">
        <v>550</v>
      </c>
      <c r="AB29" s="240">
        <v>1880</v>
      </c>
      <c r="AC29" s="241">
        <f>Y29/Z29</f>
        <v>0.11111111111111112</v>
      </c>
      <c r="AD29" s="242">
        <f>Y29*AA29*AB29</f>
        <v>20680</v>
      </c>
      <c r="AE29" s="14" t="s">
        <v>104</v>
      </c>
      <c r="AF29" s="14"/>
      <c r="AG29" s="14"/>
      <c r="AP29" s="81" t="s">
        <v>322</v>
      </c>
      <c r="AU29" s="168"/>
      <c r="AV29" s="168"/>
      <c r="AW29" s="168"/>
      <c r="AX29" s="169"/>
      <c r="AZ29" s="168"/>
      <c r="BB29" s="81" t="s">
        <v>407</v>
      </c>
      <c r="BC29" s="167">
        <v>0.46500000000000002</v>
      </c>
      <c r="BD29" s="167">
        <v>2.8900000000000002E-3</v>
      </c>
      <c r="BE29" s="81">
        <v>161.16999999999999</v>
      </c>
      <c r="BF29" s="81" t="s">
        <v>388</v>
      </c>
      <c r="BI29" s="175"/>
      <c r="BJ29" s="175"/>
      <c r="BK29" s="175"/>
      <c r="BL29" s="175"/>
      <c r="BM29" s="174"/>
      <c r="BN29" s="175"/>
      <c r="BP29" s="81" t="s">
        <v>407</v>
      </c>
      <c r="BQ29" s="167">
        <v>0.76900000000000002</v>
      </c>
      <c r="BR29" s="167">
        <v>3.4299999999999997E-2</v>
      </c>
      <c r="BS29" s="81">
        <v>22.44</v>
      </c>
      <c r="BT29" s="81" t="s">
        <v>422</v>
      </c>
      <c r="BU29" s="167">
        <v>2E-16</v>
      </c>
      <c r="BV29" s="81" t="s">
        <v>389</v>
      </c>
      <c r="BX29" s="178" t="s">
        <v>319</v>
      </c>
      <c r="BY29" s="178" t="s">
        <v>320</v>
      </c>
      <c r="BZ29" s="178" t="s">
        <v>342</v>
      </c>
      <c r="CA29" s="178" t="s">
        <v>323</v>
      </c>
      <c r="CB29" s="177">
        <f>BQ54</f>
        <v>0.14099999999999999</v>
      </c>
      <c r="CC29" s="178" t="s">
        <v>322</v>
      </c>
      <c r="CN29" s="81" t="s">
        <v>344</v>
      </c>
      <c r="CO29" s="256">
        <f t="shared" si="0"/>
        <v>913552.64000000025</v>
      </c>
      <c r="CP29" s="256">
        <f t="shared" si="1"/>
        <v>858000</v>
      </c>
      <c r="CQ29" s="256">
        <f t="shared" si="2"/>
        <v>752000</v>
      </c>
      <c r="CT29" s="258" t="s">
        <v>442</v>
      </c>
      <c r="CU29" s="258" t="s">
        <v>360</v>
      </c>
      <c r="CV29" s="259">
        <v>6.1800000000000004E-10</v>
      </c>
      <c r="CW29" s="259">
        <v>5.9300000000000002E-8</v>
      </c>
      <c r="CX29" s="258">
        <v>0.01</v>
      </c>
      <c r="CY29" s="258">
        <v>0.99199999999999999</v>
      </c>
      <c r="DB29" s="260" t="s">
        <v>467</v>
      </c>
      <c r="DC29" s="264" t="s">
        <v>328</v>
      </c>
      <c r="DD29" s="261" t="s">
        <v>323</v>
      </c>
      <c r="DE29" s="262">
        <f>CV35</f>
        <v>31700000</v>
      </c>
      <c r="DF29" s="260" t="s">
        <v>322</v>
      </c>
    </row>
    <row r="30" spans="1:110" ht="15" customHeight="1" thickTop="1" thickBot="1" x14ac:dyDescent="0.3">
      <c r="A30" s="205"/>
      <c r="B30" s="187"/>
      <c r="C30" s="210"/>
      <c r="D30" s="205"/>
      <c r="E30" s="187"/>
      <c r="F30" s="187"/>
      <c r="G30" s="187"/>
      <c r="H30" s="210"/>
      <c r="K30" s="218" t="s">
        <v>516</v>
      </c>
      <c r="L30" s="219">
        <v>1</v>
      </c>
      <c r="M30" s="219" t="s">
        <v>517</v>
      </c>
      <c r="N30" s="220">
        <f>N7</f>
        <v>34.704039143624534</v>
      </c>
      <c r="O30" s="221"/>
      <c r="P30" s="30">
        <f>VLOOKUP(M30,$W$5:$Z$391,4,0)</f>
        <v>1.8430034129692836</v>
      </c>
      <c r="Q30" s="30">
        <f>P30*N30</f>
        <v>63.959662585519631</v>
      </c>
      <c r="R30" s="30">
        <f>VLOOKUP(M30,$W$5:$AD$391,8,0)*N30</f>
        <v>6282125.1657789145</v>
      </c>
      <c r="S30" s="30">
        <f>R30/N30</f>
        <v>181020.00000000003</v>
      </c>
      <c r="T30" s="30">
        <f>VLOOKUP(M30,$W$5:$AF$391,10,0)*N30</f>
        <v>0</v>
      </c>
      <c r="W30" s="188"/>
      <c r="X30" s="189" t="s">
        <v>129</v>
      </c>
      <c r="Y30" s="189">
        <v>0.08</v>
      </c>
      <c r="Z30" s="189">
        <v>0.6</v>
      </c>
      <c r="AA30" s="189">
        <v>1100</v>
      </c>
      <c r="AB30" s="189">
        <v>860</v>
      </c>
      <c r="AC30" s="236">
        <f>Y30/Z30</f>
        <v>0.13333333333333333</v>
      </c>
      <c r="AD30" s="190">
        <f>Y30*AA30*AB30</f>
        <v>75680</v>
      </c>
      <c r="AE30" s="14"/>
      <c r="AF30" s="14"/>
      <c r="AG30" s="14"/>
      <c r="AL30" s="159" t="s">
        <v>319</v>
      </c>
      <c r="AM30" s="81" t="s">
        <v>320</v>
      </c>
      <c r="AN30" s="81" t="s">
        <v>344</v>
      </c>
      <c r="AO30" s="167">
        <f>B35*1.04*1012*5</f>
        <v>913552.64000000025</v>
      </c>
      <c r="AP30" s="81" t="s">
        <v>322</v>
      </c>
      <c r="AQ30" s="167">
        <v>1612741</v>
      </c>
      <c r="AU30" s="168" t="s">
        <v>319</v>
      </c>
      <c r="AV30" s="168" t="s">
        <v>320</v>
      </c>
      <c r="AW30" s="168" t="s">
        <v>344</v>
      </c>
      <c r="AX30" s="169" t="s">
        <v>323</v>
      </c>
      <c r="AY30" s="162">
        <f t="shared" ref="AY30:AY35" si="14">AO30</f>
        <v>913552.64000000025</v>
      </c>
      <c r="AZ30" s="168" t="s">
        <v>322</v>
      </c>
      <c r="BB30" s="81" t="s">
        <v>408</v>
      </c>
      <c r="BC30" s="167">
        <v>0.11</v>
      </c>
      <c r="BD30" s="167">
        <v>6.3400000000000001E-4</v>
      </c>
      <c r="BE30" s="81">
        <v>173.77</v>
      </c>
      <c r="BF30" s="81" t="s">
        <v>388</v>
      </c>
      <c r="BI30" s="175" t="s">
        <v>319</v>
      </c>
      <c r="BJ30" s="175" t="s">
        <v>320</v>
      </c>
      <c r="BK30" s="175" t="s">
        <v>344</v>
      </c>
      <c r="BL30" s="175" t="s">
        <v>323</v>
      </c>
      <c r="BM30" s="174">
        <f>BC59</f>
        <v>858000</v>
      </c>
      <c r="BN30" s="175" t="s">
        <v>322</v>
      </c>
      <c r="BP30" s="81" t="s">
        <v>408</v>
      </c>
      <c r="BQ30" s="167">
        <v>7.2499999999999995E-2</v>
      </c>
      <c r="BR30" s="167">
        <v>7.0500000000000001E-4</v>
      </c>
      <c r="BS30" s="81">
        <v>102.71</v>
      </c>
      <c r="BT30" s="81" t="s">
        <v>422</v>
      </c>
      <c r="BU30" s="167">
        <v>2E-16</v>
      </c>
      <c r="BV30" s="81" t="s">
        <v>389</v>
      </c>
      <c r="BX30" s="178" t="s">
        <v>319</v>
      </c>
      <c r="BY30" s="178" t="s">
        <v>320</v>
      </c>
      <c r="BZ30" s="178" t="s">
        <v>343</v>
      </c>
      <c r="CA30" s="178" t="s">
        <v>323</v>
      </c>
      <c r="CB30" s="177">
        <f>BQ55</f>
        <v>0.108</v>
      </c>
      <c r="CC30" s="178" t="s">
        <v>322</v>
      </c>
      <c r="CN30" s="81" t="s">
        <v>345</v>
      </c>
      <c r="CO30" s="256">
        <f t="shared" si="0"/>
        <v>14269622.41878036</v>
      </c>
      <c r="CP30" s="256">
        <f t="shared" si="1"/>
        <v>2990000</v>
      </c>
      <c r="CQ30" s="256">
        <f t="shared" si="2"/>
        <v>8650000</v>
      </c>
      <c r="CT30" s="258" t="s">
        <v>442</v>
      </c>
      <c r="CU30" s="258" t="s">
        <v>458</v>
      </c>
      <c r="CV30" s="259">
        <v>0.67600000000000005</v>
      </c>
      <c r="CW30" s="259">
        <v>6.2399999999999999E-3</v>
      </c>
      <c r="CX30" s="258">
        <v>108.32</v>
      </c>
      <c r="CY30" s="258" t="s">
        <v>422</v>
      </c>
      <c r="CZ30" s="167">
        <v>2E-16</v>
      </c>
      <c r="DA30" s="81" t="s">
        <v>389</v>
      </c>
      <c r="DB30" s="260" t="s">
        <v>467</v>
      </c>
      <c r="DC30" s="264" t="s">
        <v>329</v>
      </c>
      <c r="DD30" s="261" t="s">
        <v>323</v>
      </c>
      <c r="DE30" s="262">
        <f>CV36</f>
        <v>25000000</v>
      </c>
      <c r="DF30" s="260" t="s">
        <v>322</v>
      </c>
    </row>
    <row r="31" spans="1:110" ht="15" customHeight="1" thickTop="1" thickBot="1" x14ac:dyDescent="0.3">
      <c r="K31" s="223" t="s">
        <v>516</v>
      </c>
      <c r="L31" s="224">
        <v>2</v>
      </c>
      <c r="M31" s="224" t="s">
        <v>517</v>
      </c>
      <c r="N31" s="220">
        <f>N18</f>
        <v>32.281986411725747</v>
      </c>
      <c r="O31" s="225"/>
      <c r="P31" s="30">
        <f>VLOOKUP(M31,$W$5:$Z$391,4,0)</f>
        <v>1.8430034129692836</v>
      </c>
      <c r="Q31" s="30">
        <f>P31*N31</f>
        <v>59.495811134238586</v>
      </c>
      <c r="R31" s="30">
        <f>VLOOKUP(M31,$W$5:$AD$391,8,0)*N31</f>
        <v>5843685.1802505953</v>
      </c>
      <c r="S31" s="30">
        <f>R31/N31</f>
        <v>181020.00000000003</v>
      </c>
      <c r="T31" s="30">
        <f>VLOOKUP(M31,$W$5:$AF$391,10,0)*N31</f>
        <v>0</v>
      </c>
      <c r="W31" s="188"/>
      <c r="X31" s="189" t="s">
        <v>278</v>
      </c>
      <c r="Y31" s="189">
        <v>0.2</v>
      </c>
      <c r="Z31" s="189">
        <v>1.4</v>
      </c>
      <c r="AA31" s="189">
        <v>2100</v>
      </c>
      <c r="AB31" s="189">
        <v>840</v>
      </c>
      <c r="AC31" s="236">
        <f>Y31/Z31</f>
        <v>0.14285714285714288</v>
      </c>
      <c r="AD31" s="190">
        <f>Y31*AA31*AB31</f>
        <v>352800</v>
      </c>
      <c r="AE31" s="14"/>
      <c r="AF31" s="14"/>
      <c r="AG31" s="14"/>
      <c r="AL31" s="159" t="s">
        <v>319</v>
      </c>
      <c r="AM31" s="81" t="s">
        <v>320</v>
      </c>
      <c r="AN31" s="81" t="s">
        <v>345</v>
      </c>
      <c r="AO31" s="167">
        <f>T25+SUM(T17:T20)</f>
        <v>14269622.41878036</v>
      </c>
      <c r="AP31" s="81" t="s">
        <v>322</v>
      </c>
      <c r="AQ31" s="167">
        <v>6867267</v>
      </c>
      <c r="AU31" s="168" t="s">
        <v>319</v>
      </c>
      <c r="AV31" s="168" t="s">
        <v>320</v>
      </c>
      <c r="AW31" s="168" t="s">
        <v>345</v>
      </c>
      <c r="AX31" s="169" t="s">
        <v>323</v>
      </c>
      <c r="AY31" s="162">
        <f t="shared" si="14"/>
        <v>14269622.41878036</v>
      </c>
      <c r="AZ31" s="168" t="s">
        <v>322</v>
      </c>
      <c r="BB31" s="81" t="s">
        <v>409</v>
      </c>
      <c r="BC31" s="167">
        <v>7.3400000000000007E-2</v>
      </c>
      <c r="BD31" s="167">
        <v>4.9700000000000005E-4</v>
      </c>
      <c r="BE31" s="81">
        <v>147.68</v>
      </c>
      <c r="BF31" s="81" t="s">
        <v>388</v>
      </c>
      <c r="BI31" s="175" t="s">
        <v>319</v>
      </c>
      <c r="BJ31" s="175" t="s">
        <v>320</v>
      </c>
      <c r="BK31" s="175" t="s">
        <v>345</v>
      </c>
      <c r="BL31" s="175" t="s">
        <v>323</v>
      </c>
      <c r="BM31" s="174">
        <f>BC60</f>
        <v>2990000</v>
      </c>
      <c r="BN31" s="175" t="s">
        <v>322</v>
      </c>
      <c r="BP31" s="81" t="s">
        <v>409</v>
      </c>
      <c r="BQ31" s="167">
        <v>4.4299999999999999E-2</v>
      </c>
      <c r="BR31" s="167">
        <v>3.0499999999999999E-4</v>
      </c>
      <c r="BS31" s="81">
        <v>145.31</v>
      </c>
      <c r="BT31" s="81" t="s">
        <v>422</v>
      </c>
      <c r="BU31" s="167">
        <v>2E-16</v>
      </c>
      <c r="BV31" s="81" t="s">
        <v>389</v>
      </c>
      <c r="BX31" s="178"/>
      <c r="BY31" s="178"/>
      <c r="BZ31" s="178"/>
      <c r="CA31" s="178"/>
      <c r="CB31" s="177"/>
      <c r="CC31" s="178"/>
      <c r="CN31" s="81" t="s">
        <v>346</v>
      </c>
      <c r="CO31" s="256">
        <f t="shared" si="0"/>
        <v>13622794.516999464</v>
      </c>
      <c r="CP31" s="256">
        <f t="shared" si="1"/>
        <v>5280000</v>
      </c>
      <c r="CQ31" s="256">
        <f t="shared" si="2"/>
        <v>17100000</v>
      </c>
      <c r="CT31" s="258" t="s">
        <v>442</v>
      </c>
      <c r="CU31" s="258" t="s">
        <v>459</v>
      </c>
      <c r="CV31" s="259">
        <v>0.55000000000000004</v>
      </c>
      <c r="CW31" s="259">
        <v>1.14E-2</v>
      </c>
      <c r="CX31" s="258">
        <v>48.42</v>
      </c>
      <c r="CY31" s="258" t="s">
        <v>422</v>
      </c>
      <c r="CZ31" s="167">
        <v>2E-16</v>
      </c>
      <c r="DA31" s="81" t="s">
        <v>389</v>
      </c>
      <c r="DD31" s="261"/>
    </row>
    <row r="32" spans="1:110" ht="15" customHeight="1" thickTop="1" thickBot="1" x14ac:dyDescent="0.3">
      <c r="K32" s="81"/>
      <c r="L32" s="81"/>
      <c r="M32" s="81"/>
      <c r="W32" s="205"/>
      <c r="X32" s="187" t="s">
        <v>80</v>
      </c>
      <c r="Y32" s="187">
        <v>0.01</v>
      </c>
      <c r="Z32" s="187">
        <v>0.6</v>
      </c>
      <c r="AA32" s="187">
        <v>975</v>
      </c>
      <c r="AB32" s="187">
        <v>840</v>
      </c>
      <c r="AC32" s="237">
        <f>Y32/Z32</f>
        <v>1.6666666666666666E-2</v>
      </c>
      <c r="AD32" s="210">
        <f>Y32*AA32*AB32</f>
        <v>8190</v>
      </c>
      <c r="AE32" s="14"/>
      <c r="AF32" s="14"/>
      <c r="AG32" s="14"/>
      <c r="AL32" s="159" t="s">
        <v>319</v>
      </c>
      <c r="AM32" s="81" t="s">
        <v>320</v>
      </c>
      <c r="AN32" s="81" t="s">
        <v>346</v>
      </c>
      <c r="AO32" s="167">
        <f>SUM(T28)</f>
        <v>13622794.516999464</v>
      </c>
      <c r="AP32" s="81" t="s">
        <v>322</v>
      </c>
      <c r="AQ32" s="167">
        <v>4590824</v>
      </c>
      <c r="AU32" s="168" t="s">
        <v>319</v>
      </c>
      <c r="AV32" s="168" t="s">
        <v>320</v>
      </c>
      <c r="AW32" s="168" t="s">
        <v>346</v>
      </c>
      <c r="AX32" s="169" t="s">
        <v>323</v>
      </c>
      <c r="AY32" s="162">
        <f t="shared" si="14"/>
        <v>13622794.516999464</v>
      </c>
      <c r="AZ32" s="168" t="s">
        <v>322</v>
      </c>
      <c r="BB32" s="81" t="s">
        <v>410</v>
      </c>
      <c r="BC32" s="167">
        <v>637</v>
      </c>
      <c r="BD32" s="167">
        <v>4.58</v>
      </c>
      <c r="BE32" s="81">
        <v>139.22</v>
      </c>
      <c r="BF32" s="81" t="s">
        <v>388</v>
      </c>
      <c r="BI32" s="175" t="s">
        <v>319</v>
      </c>
      <c r="BJ32" s="175" t="s">
        <v>320</v>
      </c>
      <c r="BK32" s="175" t="s">
        <v>346</v>
      </c>
      <c r="BL32" s="175" t="s">
        <v>323</v>
      </c>
      <c r="BM32" s="174">
        <f>BC61</f>
        <v>5280000</v>
      </c>
      <c r="BN32" s="175" t="s">
        <v>322</v>
      </c>
      <c r="BP32" s="81" t="s">
        <v>410</v>
      </c>
      <c r="BQ32" s="167">
        <v>278</v>
      </c>
      <c r="BR32" s="167">
        <v>2.25</v>
      </c>
      <c r="BS32" s="81">
        <v>123.56</v>
      </c>
      <c r="BT32" s="81" t="s">
        <v>422</v>
      </c>
      <c r="BU32" s="167">
        <v>2E-16</v>
      </c>
      <c r="BV32" s="81" t="s">
        <v>389</v>
      </c>
      <c r="BX32" s="178" t="s">
        <v>319</v>
      </c>
      <c r="BY32" s="178" t="s">
        <v>320</v>
      </c>
      <c r="BZ32" s="178" t="s">
        <v>344</v>
      </c>
      <c r="CA32" s="178" t="s">
        <v>323</v>
      </c>
      <c r="CB32" s="177">
        <f>BQ58</f>
        <v>752000</v>
      </c>
      <c r="CC32" s="178" t="s">
        <v>322</v>
      </c>
      <c r="CN32" s="81" t="s">
        <v>347</v>
      </c>
      <c r="CO32" s="254">
        <f t="shared" si="0"/>
        <v>0.15129981843886245</v>
      </c>
      <c r="CP32" s="254">
        <f t="shared" si="1"/>
        <v>0.38</v>
      </c>
      <c r="CQ32" s="254">
        <f t="shared" si="2"/>
        <v>0.23</v>
      </c>
      <c r="CT32" s="258" t="s">
        <v>442</v>
      </c>
      <c r="CU32" s="258" t="s">
        <v>308</v>
      </c>
      <c r="CV32" s="259">
        <v>990000000</v>
      </c>
      <c r="CW32" s="259">
        <v>66300000</v>
      </c>
      <c r="CX32" s="258">
        <v>14.92</v>
      </c>
      <c r="CY32" s="258" t="s">
        <v>422</v>
      </c>
      <c r="CZ32" s="167">
        <v>2E-16</v>
      </c>
      <c r="DA32" s="81" t="s">
        <v>389</v>
      </c>
      <c r="DB32" s="260" t="s">
        <v>467</v>
      </c>
      <c r="DC32" s="264" t="s">
        <v>335</v>
      </c>
      <c r="DD32" s="261" t="s">
        <v>323</v>
      </c>
      <c r="DE32" s="262">
        <f>CV47</f>
        <v>279</v>
      </c>
      <c r="DF32" s="260" t="s">
        <v>322</v>
      </c>
    </row>
    <row r="33" spans="1:110" ht="15" customHeight="1" thickTop="1" thickBot="1" x14ac:dyDescent="0.3">
      <c r="A33" s="72" t="s">
        <v>109</v>
      </c>
      <c r="B33" s="72" t="s">
        <v>110</v>
      </c>
      <c r="C33" s="72"/>
      <c r="D33" s="72" t="s">
        <v>111</v>
      </c>
      <c r="E33" s="307" t="s">
        <v>112</v>
      </c>
      <c r="F33" s="307"/>
      <c r="G33" s="72" t="s">
        <v>113</v>
      </c>
      <c r="K33" s="81"/>
      <c r="L33" s="81"/>
      <c r="M33" s="81"/>
      <c r="P33" s="69" t="s">
        <v>106</v>
      </c>
      <c r="Q33" s="70">
        <f>SUM(Q4:Q25)</f>
        <v>211.24798346163891</v>
      </c>
      <c r="R33" s="69" t="s">
        <v>107</v>
      </c>
      <c r="W33" s="189"/>
      <c r="X33" s="189"/>
      <c r="Y33" s="189"/>
      <c r="Z33" s="189"/>
      <c r="AA33" s="189"/>
      <c r="AB33" s="189"/>
      <c r="AC33" s="236"/>
      <c r="AD33" s="189"/>
      <c r="AE33" s="14"/>
      <c r="AF33" s="14"/>
      <c r="AG33" s="14"/>
      <c r="AL33" s="159" t="s">
        <v>319</v>
      </c>
      <c r="AM33" s="81" t="s">
        <v>320</v>
      </c>
      <c r="AN33" s="81" t="s">
        <v>347</v>
      </c>
      <c r="AO33" s="81">
        <f>AO26*0.3</f>
        <v>0.15129981843886245</v>
      </c>
      <c r="AP33" s="81" t="s">
        <v>322</v>
      </c>
      <c r="AQ33" s="167">
        <v>0.1616958</v>
      </c>
      <c r="AU33" s="168" t="s">
        <v>319</v>
      </c>
      <c r="AV33" s="168" t="s">
        <v>320</v>
      </c>
      <c r="AW33" s="168" t="s">
        <v>347</v>
      </c>
      <c r="AX33" s="169" t="s">
        <v>323</v>
      </c>
      <c r="AY33" s="162">
        <f t="shared" si="14"/>
        <v>0.15129981843886245</v>
      </c>
      <c r="AZ33" s="168" t="s">
        <v>322</v>
      </c>
      <c r="BB33" s="81" t="s">
        <v>411</v>
      </c>
      <c r="BC33" s="167">
        <v>795</v>
      </c>
      <c r="BD33" s="167">
        <v>5.28</v>
      </c>
      <c r="BE33" s="81">
        <v>150.51</v>
      </c>
      <c r="BF33" s="81" t="s">
        <v>388</v>
      </c>
      <c r="BI33" s="175" t="s">
        <v>319</v>
      </c>
      <c r="BJ33" s="175" t="s">
        <v>320</v>
      </c>
      <c r="BK33" s="175" t="s">
        <v>347</v>
      </c>
      <c r="BL33" s="175" t="s">
        <v>323</v>
      </c>
      <c r="BM33" s="174">
        <f>BC66</f>
        <v>0.38</v>
      </c>
      <c r="BN33" s="175" t="s">
        <v>322</v>
      </c>
      <c r="BP33" s="81" t="s">
        <v>411</v>
      </c>
      <c r="BQ33" s="167">
        <v>215</v>
      </c>
      <c r="BR33" s="167">
        <v>1.54</v>
      </c>
      <c r="BS33" s="81">
        <v>139.77000000000001</v>
      </c>
      <c r="BT33" s="81" t="s">
        <v>422</v>
      </c>
      <c r="BU33" s="167">
        <v>2E-16</v>
      </c>
      <c r="BV33" s="81" t="s">
        <v>389</v>
      </c>
      <c r="BX33" s="178" t="s">
        <v>319</v>
      </c>
      <c r="BY33" s="178" t="s">
        <v>320</v>
      </c>
      <c r="BZ33" s="178" t="s">
        <v>345</v>
      </c>
      <c r="CA33" s="178" t="s">
        <v>323</v>
      </c>
      <c r="CB33" s="177">
        <f>BQ59</f>
        <v>8650000</v>
      </c>
      <c r="CC33" s="178" t="s">
        <v>322</v>
      </c>
      <c r="CN33" s="81" t="s">
        <v>348</v>
      </c>
      <c r="CO33" s="254">
        <f t="shared" si="0"/>
        <v>5.8820932788647369E-2</v>
      </c>
      <c r="CP33" s="254">
        <f t="shared" si="1"/>
        <v>7.2800000000000004E-2</v>
      </c>
      <c r="CQ33" s="254">
        <f t="shared" si="2"/>
        <v>4.8599999999999997E-2</v>
      </c>
      <c r="CT33" s="258" t="s">
        <v>442</v>
      </c>
      <c r="CU33" s="258" t="s">
        <v>304</v>
      </c>
      <c r="CV33" s="259">
        <v>14800000</v>
      </c>
      <c r="CW33" s="259">
        <v>257000</v>
      </c>
      <c r="CX33" s="258">
        <v>57.59</v>
      </c>
      <c r="CY33" s="258" t="s">
        <v>422</v>
      </c>
      <c r="CZ33" s="167">
        <v>2E-16</v>
      </c>
      <c r="DA33" s="81" t="s">
        <v>389</v>
      </c>
      <c r="DB33" s="260" t="s">
        <v>467</v>
      </c>
      <c r="DC33" s="264" t="s">
        <v>336</v>
      </c>
      <c r="DD33" s="261" t="s">
        <v>323</v>
      </c>
      <c r="DE33" s="262">
        <f>CV48</f>
        <v>219</v>
      </c>
      <c r="DF33" s="260" t="s">
        <v>322</v>
      </c>
    </row>
    <row r="34" spans="1:110" ht="15" customHeight="1" thickTop="1" thickBot="1" x14ac:dyDescent="0.3">
      <c r="A34" s="73">
        <v>1</v>
      </c>
      <c r="B34" s="74">
        <f>B7*3.5</f>
        <v>336</v>
      </c>
      <c r="C34" s="73"/>
      <c r="D34" s="73" t="s">
        <v>42</v>
      </c>
      <c r="E34" s="308">
        <v>21</v>
      </c>
      <c r="F34" s="308"/>
      <c r="G34" s="76">
        <f>VLOOKUP(D34,A6:B22,2,0)</f>
        <v>96</v>
      </c>
      <c r="K34" s="81"/>
      <c r="L34" s="81"/>
      <c r="M34" s="81"/>
      <c r="P34" s="81"/>
      <c r="Q34" s="81">
        <f>G4*Y37</f>
        <v>15.180999999999997</v>
      </c>
      <c r="W34" s="226"/>
      <c r="X34" s="226"/>
      <c r="Y34" s="227" t="s">
        <v>437</v>
      </c>
      <c r="Z34" s="227">
        <v>2.8</v>
      </c>
      <c r="AA34" s="227" t="s">
        <v>5</v>
      </c>
      <c r="AB34" s="226"/>
      <c r="AC34" s="226"/>
      <c r="AD34" s="226"/>
      <c r="AE34" s="14"/>
      <c r="AF34" s="14"/>
      <c r="AG34" s="14"/>
      <c r="AL34" s="159" t="s">
        <v>319</v>
      </c>
      <c r="AM34" s="81" t="s">
        <v>320</v>
      </c>
      <c r="AN34" s="81" t="s">
        <v>348</v>
      </c>
      <c r="AO34" s="81">
        <f>AO27*0.3</f>
        <v>5.8820932788647369E-2</v>
      </c>
      <c r="AP34" s="81" t="s">
        <v>322</v>
      </c>
      <c r="AQ34" s="81" t="s">
        <v>349</v>
      </c>
      <c r="AU34" s="168" t="s">
        <v>319</v>
      </c>
      <c r="AV34" s="168" t="s">
        <v>320</v>
      </c>
      <c r="AW34" s="168" t="s">
        <v>348</v>
      </c>
      <c r="AX34" s="169" t="s">
        <v>323</v>
      </c>
      <c r="AY34" s="162">
        <f t="shared" si="14"/>
        <v>5.8820932788647369E-2</v>
      </c>
      <c r="AZ34" s="168" t="s">
        <v>322</v>
      </c>
      <c r="BB34" s="81" t="s">
        <v>295</v>
      </c>
      <c r="BC34" s="167">
        <v>1310</v>
      </c>
      <c r="BD34" s="167">
        <v>8.17</v>
      </c>
      <c r="BE34" s="81">
        <v>160.79</v>
      </c>
      <c r="BF34" s="81" t="s">
        <v>388</v>
      </c>
      <c r="BI34" s="175" t="s">
        <v>319</v>
      </c>
      <c r="BJ34" s="175" t="s">
        <v>320</v>
      </c>
      <c r="BK34" s="175" t="s">
        <v>348</v>
      </c>
      <c r="BL34" s="175" t="s">
        <v>323</v>
      </c>
      <c r="BM34" s="174">
        <f>BC67</f>
        <v>7.2800000000000004E-2</v>
      </c>
      <c r="BN34" s="175" t="s">
        <v>322</v>
      </c>
      <c r="BP34" s="81" t="s">
        <v>295</v>
      </c>
      <c r="BQ34" s="167">
        <v>457</v>
      </c>
      <c r="BR34" s="167">
        <v>3.7</v>
      </c>
      <c r="BS34" s="81">
        <v>123.52</v>
      </c>
      <c r="BT34" s="81" t="s">
        <v>422</v>
      </c>
      <c r="BU34" s="167">
        <v>2E-16</v>
      </c>
      <c r="BV34" s="81" t="s">
        <v>389</v>
      </c>
      <c r="BX34" s="178" t="s">
        <v>319</v>
      </c>
      <c r="BY34" s="178" t="s">
        <v>320</v>
      </c>
      <c r="BZ34" s="178" t="s">
        <v>346</v>
      </c>
      <c r="CA34" s="178" t="s">
        <v>323</v>
      </c>
      <c r="CB34" s="177">
        <f>BQ60</f>
        <v>17100000</v>
      </c>
      <c r="CC34" s="178" t="s">
        <v>322</v>
      </c>
      <c r="CN34" s="81" t="s">
        <v>350</v>
      </c>
      <c r="CO34" s="254">
        <f t="shared" si="0"/>
        <v>0.71376529035254355</v>
      </c>
      <c r="CP34" s="254">
        <f t="shared" si="1"/>
        <v>0.41799999999999998</v>
      </c>
      <c r="CQ34" s="254">
        <f t="shared" si="2"/>
        <v>0.63200000000000001</v>
      </c>
      <c r="CT34" s="258" t="s">
        <v>442</v>
      </c>
      <c r="CU34" s="258" t="s">
        <v>399</v>
      </c>
      <c r="CV34" s="259">
        <v>3530000</v>
      </c>
      <c r="CW34" s="259">
        <v>54900</v>
      </c>
      <c r="CX34" s="258">
        <v>64.2</v>
      </c>
      <c r="CY34" s="258" t="s">
        <v>422</v>
      </c>
      <c r="CZ34" s="167">
        <v>2E-16</v>
      </c>
      <c r="DA34" s="81" t="s">
        <v>389</v>
      </c>
      <c r="DB34" s="260" t="s">
        <v>467</v>
      </c>
      <c r="DC34" s="265" t="s">
        <v>337</v>
      </c>
      <c r="DD34" s="261" t="s">
        <v>323</v>
      </c>
      <c r="DE34" s="262">
        <f>CV49</f>
        <v>461</v>
      </c>
      <c r="DF34" s="260" t="s">
        <v>322</v>
      </c>
    </row>
    <row r="35" spans="1:110" ht="15" customHeight="1" thickTop="1" thickBot="1" x14ac:dyDescent="0.3">
      <c r="A35" s="73">
        <v>2</v>
      </c>
      <c r="B35" s="74">
        <f>B4-B34</f>
        <v>173.60000000000002</v>
      </c>
      <c r="C35" s="73"/>
      <c r="D35" s="73" t="s">
        <v>116</v>
      </c>
      <c r="E35" s="77">
        <v>16</v>
      </c>
      <c r="F35" s="77"/>
      <c r="G35" s="76">
        <f>VLOOKUP(D35,A7:B23,2,0)</f>
        <v>89.300000000000011</v>
      </c>
      <c r="K35" s="81"/>
      <c r="L35" s="81"/>
      <c r="M35" s="81" t="s">
        <v>114</v>
      </c>
      <c r="N35" s="153">
        <f>SUM(Q6:Q9,Q15,Q17:Q20,Q25)</f>
        <v>79.303005295700046</v>
      </c>
      <c r="O35" s="153"/>
      <c r="P35" s="81"/>
      <c r="Q35" s="81"/>
      <c r="W35" s="228" t="s">
        <v>115</v>
      </c>
      <c r="X35" s="229"/>
      <c r="Y35" s="230" t="s">
        <v>21</v>
      </c>
      <c r="Z35" s="243">
        <v>2</v>
      </c>
      <c r="AA35" s="229" t="s">
        <v>5</v>
      </c>
      <c r="AB35" s="229"/>
      <c r="AC35" s="229" t="s">
        <v>22</v>
      </c>
      <c r="AD35" s="232">
        <f>SUM(AD36:AD37)</f>
        <v>0</v>
      </c>
      <c r="AE35" s="14" t="s">
        <v>23</v>
      </c>
      <c r="AF35" s="14">
        <f>SUM(AD37:AD38)</f>
        <v>0</v>
      </c>
      <c r="AG35" s="14"/>
      <c r="AL35" s="159" t="s">
        <v>319</v>
      </c>
      <c r="AM35" s="81" t="s">
        <v>320</v>
      </c>
      <c r="AN35" s="81" t="s">
        <v>350</v>
      </c>
      <c r="AO35" s="81">
        <f>AO28*0.3+0.7</f>
        <v>0.71376529035254355</v>
      </c>
      <c r="AP35" s="81" t="s">
        <v>322</v>
      </c>
      <c r="AQ35" s="81" t="s">
        <v>351</v>
      </c>
      <c r="AU35" s="168" t="s">
        <v>319</v>
      </c>
      <c r="AV35" s="168" t="s">
        <v>320</v>
      </c>
      <c r="AW35" s="168" t="s">
        <v>350</v>
      </c>
      <c r="AX35" s="169" t="s">
        <v>323</v>
      </c>
      <c r="AY35" s="162">
        <f t="shared" si="14"/>
        <v>0.71376529035254355</v>
      </c>
      <c r="AZ35" s="168" t="s">
        <v>322</v>
      </c>
      <c r="BB35" s="81" t="s">
        <v>120</v>
      </c>
      <c r="BC35" s="167">
        <v>253</v>
      </c>
      <c r="BD35" s="167">
        <v>0.97099999999999997</v>
      </c>
      <c r="BE35" s="81">
        <v>260.89</v>
      </c>
      <c r="BF35" s="81" t="s">
        <v>388</v>
      </c>
      <c r="BI35" s="175" t="s">
        <v>319</v>
      </c>
      <c r="BJ35" s="175" t="s">
        <v>320</v>
      </c>
      <c r="BK35" s="175" t="s">
        <v>350</v>
      </c>
      <c r="BL35" s="175" t="s">
        <v>323</v>
      </c>
      <c r="BM35" s="174">
        <f>BC68</f>
        <v>0.41799999999999998</v>
      </c>
      <c r="BN35" s="175" t="s">
        <v>322</v>
      </c>
      <c r="BP35" s="81" t="s">
        <v>120</v>
      </c>
      <c r="BQ35" s="167">
        <v>272</v>
      </c>
      <c r="BR35" s="167">
        <v>18.2</v>
      </c>
      <c r="BS35" s="81">
        <v>14.96</v>
      </c>
      <c r="BT35" s="81" t="s">
        <v>422</v>
      </c>
      <c r="BU35" s="167">
        <v>2E-16</v>
      </c>
      <c r="BV35" s="81" t="s">
        <v>389</v>
      </c>
      <c r="BX35" s="178" t="s">
        <v>319</v>
      </c>
      <c r="BY35" s="178" t="s">
        <v>320</v>
      </c>
      <c r="BZ35" s="178" t="s">
        <v>347</v>
      </c>
      <c r="CA35" s="178" t="s">
        <v>323</v>
      </c>
      <c r="CB35" s="177">
        <f>BQ65</f>
        <v>0.23</v>
      </c>
      <c r="CC35" s="178" t="s">
        <v>322</v>
      </c>
      <c r="CO35" s="255"/>
      <c r="CP35" s="255"/>
      <c r="CQ35" s="255"/>
      <c r="CT35" s="258" t="s">
        <v>442</v>
      </c>
      <c r="CU35" s="258" t="s">
        <v>301</v>
      </c>
      <c r="CV35" s="259">
        <v>31700000</v>
      </c>
      <c r="CW35" s="259">
        <v>1080000</v>
      </c>
      <c r="CX35" s="258">
        <v>29.18</v>
      </c>
      <c r="CY35" s="258" t="s">
        <v>422</v>
      </c>
      <c r="CZ35" s="167">
        <v>2E-16</v>
      </c>
      <c r="DA35" s="81" t="s">
        <v>389</v>
      </c>
      <c r="DB35" s="260" t="s">
        <v>467</v>
      </c>
      <c r="DC35" s="265" t="s">
        <v>338</v>
      </c>
      <c r="DD35" s="261" t="s">
        <v>323</v>
      </c>
      <c r="DE35" s="262">
        <f>CV50</f>
        <v>272</v>
      </c>
      <c r="DF35" s="260" t="s">
        <v>322</v>
      </c>
    </row>
    <row r="36" spans="1:110" ht="15" customHeight="1" thickTop="1" thickBot="1" x14ac:dyDescent="0.3">
      <c r="A36" s="73">
        <v>3</v>
      </c>
      <c r="B36" s="74">
        <f>G36*2</f>
        <v>0</v>
      </c>
      <c r="C36" s="73"/>
      <c r="D36" s="73" t="s">
        <v>118</v>
      </c>
      <c r="E36" s="309" t="s">
        <v>119</v>
      </c>
      <c r="F36" s="309"/>
      <c r="G36" s="76">
        <f>B17</f>
        <v>0</v>
      </c>
      <c r="K36" s="81"/>
      <c r="L36" s="81"/>
      <c r="M36" s="81" t="s">
        <v>117</v>
      </c>
      <c r="N36" s="153">
        <f>SUM(Q10:Q13,Q21:Q24)</f>
        <v>64.599999999999994</v>
      </c>
      <c r="P36" s="81"/>
      <c r="Q36" s="81"/>
      <c r="W36" s="239"/>
      <c r="X36" s="240" t="s">
        <v>16</v>
      </c>
      <c r="Y36" s="240">
        <v>1.361</v>
      </c>
      <c r="Z36" s="240" t="s">
        <v>5</v>
      </c>
      <c r="AA36" s="240"/>
      <c r="AB36" s="240" t="s">
        <v>506</v>
      </c>
      <c r="AC36" s="240">
        <f>(Z35-(1-AC37)*Y36)/AC37</f>
        <v>3.9169999999999998</v>
      </c>
      <c r="AD36" s="244"/>
      <c r="AE36" s="14"/>
      <c r="AF36" s="14"/>
      <c r="AG36" s="14"/>
      <c r="AP36" s="81" t="s">
        <v>322</v>
      </c>
      <c r="AU36" s="168"/>
      <c r="AV36" s="168"/>
      <c r="AW36" s="168"/>
      <c r="AX36" s="169"/>
      <c r="AZ36" s="168"/>
      <c r="BB36" s="81" t="s">
        <v>412</v>
      </c>
      <c r="BC36" s="167">
        <v>-5.43</v>
      </c>
      <c r="BD36" s="167">
        <v>2.2100000000000002E-2</v>
      </c>
      <c r="BE36" s="81">
        <v>-245.28</v>
      </c>
      <c r="BF36" s="81" t="s">
        <v>388</v>
      </c>
      <c r="BI36" s="175"/>
      <c r="BJ36" s="175"/>
      <c r="BK36" s="175"/>
      <c r="BL36" s="175"/>
      <c r="BM36" s="174"/>
      <c r="BN36" s="175"/>
      <c r="BP36" s="81" t="s">
        <v>412</v>
      </c>
      <c r="BQ36" s="167">
        <v>-5.48</v>
      </c>
      <c r="BR36" s="167">
        <v>7.46E-2</v>
      </c>
      <c r="BS36" s="81">
        <v>-73.489999999999995</v>
      </c>
      <c r="BT36" s="81" t="s">
        <v>422</v>
      </c>
      <c r="BU36" s="167">
        <v>2E-16</v>
      </c>
      <c r="BV36" s="81" t="s">
        <v>389</v>
      </c>
      <c r="BX36" s="178" t="s">
        <v>319</v>
      </c>
      <c r="BY36" s="178" t="s">
        <v>320</v>
      </c>
      <c r="BZ36" s="178" t="s">
        <v>348</v>
      </c>
      <c r="CA36" s="178" t="s">
        <v>323</v>
      </c>
      <c r="CB36" s="177">
        <f>BQ66</f>
        <v>4.8599999999999997E-2</v>
      </c>
      <c r="CC36" s="178" t="s">
        <v>322</v>
      </c>
      <c r="CN36" s="81" t="s">
        <v>352</v>
      </c>
      <c r="CO36" s="257">
        <f t="shared" si="0"/>
        <v>320.05010193913483</v>
      </c>
      <c r="CP36" s="257">
        <f t="shared" si="1"/>
        <v>568</v>
      </c>
      <c r="CQ36" s="257">
        <f t="shared" si="2"/>
        <v>219</v>
      </c>
      <c r="CT36" s="258" t="s">
        <v>442</v>
      </c>
      <c r="CU36" s="258" t="s">
        <v>303</v>
      </c>
      <c r="CV36" s="259">
        <v>25000000</v>
      </c>
      <c r="CW36" s="259">
        <v>250000</v>
      </c>
      <c r="CX36" s="258">
        <v>99.96</v>
      </c>
      <c r="CY36" s="258" t="s">
        <v>422</v>
      </c>
      <c r="CZ36" s="167">
        <v>2E-16</v>
      </c>
      <c r="DA36" s="81" t="s">
        <v>389</v>
      </c>
      <c r="DB36" s="260" t="s">
        <v>467</v>
      </c>
      <c r="DC36" s="266" t="s">
        <v>340</v>
      </c>
      <c r="DD36" s="261" t="s">
        <v>323</v>
      </c>
      <c r="DE36" s="262">
        <f>CV59</f>
        <v>76.2</v>
      </c>
      <c r="DF36" s="260" t="s">
        <v>322</v>
      </c>
    </row>
    <row r="37" spans="1:110" ht="15" customHeight="1" thickTop="1" thickBot="1" x14ac:dyDescent="0.3">
      <c r="K37" s="81"/>
      <c r="L37" s="81"/>
      <c r="M37" s="81" t="s">
        <v>120</v>
      </c>
      <c r="N37" s="153">
        <f>'Verwarming Tabula'!B60</f>
        <v>138.03320000000002</v>
      </c>
      <c r="P37" s="81"/>
      <c r="Q37" s="81"/>
      <c r="W37" s="205"/>
      <c r="X37" s="187" t="s">
        <v>121</v>
      </c>
      <c r="Y37" s="187">
        <v>0.47</v>
      </c>
      <c r="Z37" s="187"/>
      <c r="AA37" s="187"/>
      <c r="AB37" s="187" t="s">
        <v>507</v>
      </c>
      <c r="AC37" s="187">
        <v>0.25</v>
      </c>
      <c r="AD37" s="210"/>
      <c r="AE37" s="149" t="s">
        <v>279</v>
      </c>
      <c r="AF37" s="14"/>
      <c r="AG37" s="14"/>
      <c r="AL37" s="159" t="s">
        <v>319</v>
      </c>
      <c r="AM37" s="81" t="s">
        <v>320</v>
      </c>
      <c r="AN37" s="81" t="s">
        <v>352</v>
      </c>
      <c r="AO37" s="81">
        <f>SUM(N17:N20)*(1/(SUM(AC18:AC19)*0.5+1/8))+N25*(1/(SUM(AC9:AC10)*0.5+1/8))</f>
        <v>320.05010193913483</v>
      </c>
      <c r="AP37" s="81" t="s">
        <v>322</v>
      </c>
      <c r="AQ37" s="81" t="s">
        <v>353</v>
      </c>
      <c r="AU37" s="168" t="s">
        <v>319</v>
      </c>
      <c r="AV37" s="168" t="s">
        <v>320</v>
      </c>
      <c r="AW37" s="168" t="s">
        <v>352</v>
      </c>
      <c r="AX37" s="169" t="s">
        <v>323</v>
      </c>
      <c r="AY37" s="162">
        <f>AO37</f>
        <v>320.05010193913483</v>
      </c>
      <c r="AZ37" s="168" t="s">
        <v>322</v>
      </c>
      <c r="BB37" s="81" t="s">
        <v>413</v>
      </c>
      <c r="BC37" s="167">
        <v>-6.85</v>
      </c>
      <c r="BD37" s="167">
        <v>1.8800000000000001E-2</v>
      </c>
      <c r="BE37" s="81">
        <v>-364.7</v>
      </c>
      <c r="BF37" s="81" t="s">
        <v>388</v>
      </c>
      <c r="BI37" s="175" t="s">
        <v>319</v>
      </c>
      <c r="BJ37" s="175" t="s">
        <v>320</v>
      </c>
      <c r="BK37" s="175" t="s">
        <v>352</v>
      </c>
      <c r="BL37" s="175" t="s">
        <v>323</v>
      </c>
      <c r="BM37" s="174">
        <f>BC70</f>
        <v>568</v>
      </c>
      <c r="BN37" s="175" t="s">
        <v>322</v>
      </c>
      <c r="BP37" s="81" t="s">
        <v>413</v>
      </c>
      <c r="BQ37" s="167">
        <v>-6.06</v>
      </c>
      <c r="BR37" s="167">
        <v>4.41E-2</v>
      </c>
      <c r="BS37" s="81">
        <v>-137.35</v>
      </c>
      <c r="BT37" s="81" t="s">
        <v>422</v>
      </c>
      <c r="BU37" s="167">
        <v>2E-16</v>
      </c>
      <c r="BV37" s="81" t="s">
        <v>389</v>
      </c>
      <c r="BX37" s="178" t="s">
        <v>319</v>
      </c>
      <c r="BY37" s="178" t="s">
        <v>320</v>
      </c>
      <c r="BZ37" s="178" t="s">
        <v>350</v>
      </c>
      <c r="CA37" s="178" t="s">
        <v>323</v>
      </c>
      <c r="CB37" s="177">
        <f>BQ67</f>
        <v>0.63200000000000001</v>
      </c>
      <c r="CC37" s="178" t="s">
        <v>322</v>
      </c>
      <c r="CN37" s="81" t="s">
        <v>354</v>
      </c>
      <c r="CO37" s="257">
        <f t="shared" si="0"/>
        <v>479.30550788414729</v>
      </c>
      <c r="CP37" s="257">
        <f t="shared" si="1"/>
        <v>238</v>
      </c>
      <c r="CQ37" s="257">
        <f t="shared" si="2"/>
        <v>85.9</v>
      </c>
      <c r="CT37" s="258" t="s">
        <v>442</v>
      </c>
      <c r="CU37" s="258" t="s">
        <v>400</v>
      </c>
      <c r="CV37" s="259">
        <v>-5.76</v>
      </c>
      <c r="CW37" s="259">
        <v>6.0600000000000001E-2</v>
      </c>
      <c r="CX37" s="258">
        <v>-95.1</v>
      </c>
      <c r="CY37" s="258" t="s">
        <v>422</v>
      </c>
      <c r="CZ37" s="167">
        <v>2E-16</v>
      </c>
      <c r="DA37" s="81" t="s">
        <v>389</v>
      </c>
      <c r="DB37" s="260" t="s">
        <v>467</v>
      </c>
      <c r="DC37" s="266" t="s">
        <v>339</v>
      </c>
      <c r="DD37" s="261" t="s">
        <v>323</v>
      </c>
      <c r="DE37" s="262">
        <f>1/CV56</f>
        <v>324.6753246753247</v>
      </c>
      <c r="DF37" s="260" t="s">
        <v>322</v>
      </c>
    </row>
    <row r="38" spans="1:110" ht="15" customHeight="1" thickTop="1" thickBot="1" x14ac:dyDescent="0.3">
      <c r="B38" s="153"/>
      <c r="K38" s="81"/>
      <c r="L38" s="81"/>
      <c r="M38" s="81"/>
      <c r="N38" s="153"/>
      <c r="P38" s="81"/>
      <c r="Q38" s="81"/>
      <c r="W38" s="226"/>
      <c r="X38" s="226"/>
      <c r="Y38" s="226"/>
      <c r="Z38" s="226"/>
      <c r="AA38" s="226"/>
      <c r="AB38" s="226"/>
      <c r="AC38" s="226"/>
      <c r="AD38" s="226"/>
      <c r="AE38" s="14"/>
      <c r="AF38" s="14"/>
      <c r="AG38" s="14"/>
      <c r="AL38" s="159" t="s">
        <v>319</v>
      </c>
      <c r="AM38" s="81" t="s">
        <v>320</v>
      </c>
      <c r="AN38" s="81" t="s">
        <v>354</v>
      </c>
      <c r="AO38" s="81">
        <f>4*Z21*N28</f>
        <v>479.30550788414729</v>
      </c>
      <c r="AP38" s="81" t="s">
        <v>322</v>
      </c>
      <c r="AQ38" s="167">
        <v>85.692350000000005</v>
      </c>
      <c r="AU38" s="168" t="s">
        <v>319</v>
      </c>
      <c r="AV38" s="168" t="s">
        <v>320</v>
      </c>
      <c r="AW38" s="168" t="s">
        <v>354</v>
      </c>
      <c r="AX38" s="169" t="s">
        <v>323</v>
      </c>
      <c r="AY38" s="162">
        <f>AO38</f>
        <v>479.30550788414729</v>
      </c>
      <c r="AZ38" s="168" t="s">
        <v>322</v>
      </c>
      <c r="BB38" s="81" t="s">
        <v>414</v>
      </c>
      <c r="BC38" s="167">
        <v>-8.6300000000000008</v>
      </c>
      <c r="BD38" s="167">
        <v>5.8999999999999997E-2</v>
      </c>
      <c r="BE38" s="81">
        <v>-146.31</v>
      </c>
      <c r="BF38" s="81" t="s">
        <v>388</v>
      </c>
      <c r="BI38" s="175" t="s">
        <v>319</v>
      </c>
      <c r="BJ38" s="175" t="s">
        <v>320</v>
      </c>
      <c r="BK38" s="175" t="s">
        <v>354</v>
      </c>
      <c r="BL38" s="175" t="s">
        <v>323</v>
      </c>
      <c r="BM38" s="174">
        <f>BC71</f>
        <v>238</v>
      </c>
      <c r="BN38" s="175" t="s">
        <v>322</v>
      </c>
      <c r="BP38" s="81" t="s">
        <v>414</v>
      </c>
      <c r="BQ38" s="167">
        <v>-6.9</v>
      </c>
      <c r="BR38" s="167">
        <v>0.127</v>
      </c>
      <c r="BS38" s="81">
        <v>-54.4</v>
      </c>
      <c r="BT38" s="81" t="s">
        <v>422</v>
      </c>
      <c r="BU38" s="167">
        <v>2E-16</v>
      </c>
      <c r="BV38" s="81" t="s">
        <v>389</v>
      </c>
      <c r="BX38" s="178"/>
      <c r="BY38" s="178"/>
      <c r="BZ38" s="178"/>
      <c r="CA38" s="178"/>
      <c r="CB38" s="177"/>
      <c r="CC38" s="178"/>
      <c r="CN38" s="81" t="s">
        <v>355</v>
      </c>
      <c r="CO38" s="257">
        <f t="shared" si="0"/>
        <v>76.432346725274726</v>
      </c>
      <c r="CP38" s="257">
        <f t="shared" si="1"/>
        <v>58</v>
      </c>
      <c r="CQ38" s="257">
        <f t="shared" si="2"/>
        <v>49.4</v>
      </c>
      <c r="CT38" s="258" t="s">
        <v>442</v>
      </c>
      <c r="CU38" s="258" t="s">
        <v>401</v>
      </c>
      <c r="CV38" s="259">
        <v>-14.2</v>
      </c>
      <c r="CW38" s="259">
        <v>51.7</v>
      </c>
      <c r="CX38" s="258">
        <v>-0.28000000000000003</v>
      </c>
      <c r="CY38" s="258">
        <v>0.78300000000000003</v>
      </c>
      <c r="DB38" s="260" t="s">
        <v>467</v>
      </c>
      <c r="DC38" s="263" t="s">
        <v>331</v>
      </c>
      <c r="DD38" s="261" t="s">
        <v>323</v>
      </c>
      <c r="DE38" s="262">
        <f>CV42</f>
        <v>6.9599999999999995E-2</v>
      </c>
      <c r="DF38" s="260" t="s">
        <v>322</v>
      </c>
    </row>
    <row r="39" spans="1:110" ht="15" customHeight="1" thickTop="1" thickBot="1" x14ac:dyDescent="0.3">
      <c r="K39" s="81"/>
      <c r="L39" s="81"/>
      <c r="M39" s="81" t="s">
        <v>122</v>
      </c>
      <c r="N39" s="153">
        <f>B4*1.204*1012*5/1000000</f>
        <v>3.1046055040000002</v>
      </c>
      <c r="O39" s="81" t="s">
        <v>123</v>
      </c>
      <c r="Q39" s="81"/>
      <c r="W39" s="226"/>
      <c r="X39" s="226"/>
      <c r="Y39" s="227" t="s">
        <v>4</v>
      </c>
      <c r="Z39" s="227">
        <v>0.85</v>
      </c>
      <c r="AA39" s="227" t="s">
        <v>5</v>
      </c>
      <c r="AB39" s="226"/>
      <c r="AC39" s="226"/>
      <c r="AD39" s="226"/>
      <c r="AE39" s="14"/>
      <c r="AF39" s="14"/>
      <c r="AG39" s="14"/>
      <c r="AL39" s="159" t="s">
        <v>319</v>
      </c>
      <c r="AM39" s="81" t="s">
        <v>320</v>
      </c>
      <c r="AN39" s="81" t="s">
        <v>355</v>
      </c>
      <c r="AO39" s="153">
        <f>'Verwarming Tabula 2zone'!B139+SUM(Q21:Q24)</f>
        <v>76.432346725274726</v>
      </c>
      <c r="AP39" s="81" t="s">
        <v>322</v>
      </c>
      <c r="AQ39" s="81" t="s">
        <v>356</v>
      </c>
      <c r="AU39" s="168" t="s">
        <v>319</v>
      </c>
      <c r="AV39" s="168" t="s">
        <v>320</v>
      </c>
      <c r="AW39" s="168" t="s">
        <v>355</v>
      </c>
      <c r="AX39" s="169" t="s">
        <v>323</v>
      </c>
      <c r="AY39" s="162">
        <f>AO39</f>
        <v>76.432346725274726</v>
      </c>
      <c r="AZ39" s="168" t="s">
        <v>322</v>
      </c>
      <c r="BB39" s="81" t="s">
        <v>415</v>
      </c>
      <c r="BC39" s="167">
        <v>-6.14</v>
      </c>
      <c r="BD39" s="167">
        <v>2.1399999999999999E-2</v>
      </c>
      <c r="BE39" s="81">
        <v>-287.01</v>
      </c>
      <c r="BF39" s="81" t="s">
        <v>388</v>
      </c>
      <c r="BI39" s="175" t="s">
        <v>319</v>
      </c>
      <c r="BJ39" s="175" t="s">
        <v>320</v>
      </c>
      <c r="BK39" s="175" t="s">
        <v>355</v>
      </c>
      <c r="BL39" s="175" t="s">
        <v>323</v>
      </c>
      <c r="BM39" s="174">
        <f>BC72</f>
        <v>58</v>
      </c>
      <c r="BN39" s="175" t="s">
        <v>322</v>
      </c>
      <c r="BP39" s="81" t="s">
        <v>415</v>
      </c>
      <c r="BQ39" s="167">
        <v>-6.05</v>
      </c>
      <c r="BR39" s="167">
        <v>2.2700000000000001E-2</v>
      </c>
      <c r="BS39" s="81">
        <v>-266.10000000000002</v>
      </c>
      <c r="BT39" s="81" t="s">
        <v>422</v>
      </c>
      <c r="BU39" s="167">
        <v>2E-16</v>
      </c>
      <c r="BV39" s="81" t="s">
        <v>389</v>
      </c>
      <c r="BX39" s="178" t="s">
        <v>319</v>
      </c>
      <c r="BY39" s="178" t="s">
        <v>320</v>
      </c>
      <c r="BZ39" s="178" t="s">
        <v>352</v>
      </c>
      <c r="CA39" s="178" t="s">
        <v>323</v>
      </c>
      <c r="CB39" s="177">
        <f>BQ69</f>
        <v>219</v>
      </c>
      <c r="CC39" s="178" t="s">
        <v>322</v>
      </c>
      <c r="CN39" s="81" t="s">
        <v>357</v>
      </c>
      <c r="CO39" s="257">
        <f t="shared" si="0"/>
        <v>56.999066000720859</v>
      </c>
      <c r="CP39" s="257">
        <f t="shared" si="1"/>
        <v>215.51724137931035</v>
      </c>
      <c r="CQ39" s="257">
        <f t="shared" si="2"/>
        <v>350.87719298245611</v>
      </c>
      <c r="CT39" s="258" t="s">
        <v>442</v>
      </c>
      <c r="CU39" s="258" t="s">
        <v>402</v>
      </c>
      <c r="CV39" s="259">
        <v>-10.4</v>
      </c>
      <c r="CW39" s="259">
        <v>41.4</v>
      </c>
      <c r="CX39" s="258">
        <v>-0.25</v>
      </c>
      <c r="CY39" s="258">
        <v>0.80100000000000005</v>
      </c>
      <c r="DB39" s="260" t="s">
        <v>467</v>
      </c>
      <c r="DC39" s="264" t="s">
        <v>332</v>
      </c>
      <c r="DD39" s="261" t="s">
        <v>323</v>
      </c>
      <c r="DE39" s="262">
        <f>CV43</f>
        <v>0.13600000000000001</v>
      </c>
      <c r="DF39" s="260" t="s">
        <v>322</v>
      </c>
    </row>
    <row r="40" spans="1:110" ht="15" customHeight="1" thickTop="1" thickBot="1" x14ac:dyDescent="0.3">
      <c r="A40" s="81" t="s">
        <v>280</v>
      </c>
      <c r="K40" s="81"/>
      <c r="L40" s="81"/>
      <c r="M40" s="81" t="s">
        <v>124</v>
      </c>
      <c r="N40" s="153">
        <f>SUM(R6:R9,R15)/1000000</f>
        <v>31.342399091203454</v>
      </c>
      <c r="O40" s="81" t="s">
        <v>125</v>
      </c>
      <c r="P40" s="153">
        <f>SUM(T6:T9,T15)/1000000</f>
        <v>15.206901581219645</v>
      </c>
      <c r="Q40" s="81"/>
      <c r="W40" s="228" t="s">
        <v>63</v>
      </c>
      <c r="X40" s="229"/>
      <c r="Y40" s="230" t="s">
        <v>21</v>
      </c>
      <c r="Z40" s="231">
        <f>1/(1/10+SUM(AC42:AC46))</f>
        <v>0.3056768558951965</v>
      </c>
      <c r="AA40" s="229" t="s">
        <v>5</v>
      </c>
      <c r="AB40" s="229"/>
      <c r="AC40" s="229" t="s">
        <v>22</v>
      </c>
      <c r="AD40" s="232">
        <f>SUM(AD42:AD46)</f>
        <v>378867.5</v>
      </c>
      <c r="AE40" s="14" t="s">
        <v>23</v>
      </c>
      <c r="AF40" s="14">
        <f>SUM(AD42:AD43)</f>
        <v>110960</v>
      </c>
      <c r="AG40" s="14"/>
      <c r="AL40" s="159" t="s">
        <v>319</v>
      </c>
      <c r="AM40" s="81" t="s">
        <v>320</v>
      </c>
      <c r="AN40" s="81" t="s">
        <v>357</v>
      </c>
      <c r="AO40" s="81">
        <f>SUM(N17:N20)*1/(SUM(AC15:AC17)+0.5*SUM(AC18:AC19)+1/23)+N25*1/(SUM(AC7:AC9)+0.5*SUM(AC10)+1/23)</f>
        <v>56.999066000720859</v>
      </c>
      <c r="AP40" s="81" t="s">
        <v>322</v>
      </c>
      <c r="AQ40" s="81">
        <f>1/0.01634389</f>
        <v>61.184944343115376</v>
      </c>
      <c r="AU40" s="168" t="s">
        <v>319</v>
      </c>
      <c r="AV40" s="168" t="s">
        <v>320</v>
      </c>
      <c r="AW40" s="168" t="s">
        <v>357</v>
      </c>
      <c r="AX40" s="169" t="s">
        <v>323</v>
      </c>
      <c r="AY40" s="162">
        <f>AO40</f>
        <v>56.999066000720859</v>
      </c>
      <c r="AZ40" s="168" t="s">
        <v>322</v>
      </c>
      <c r="BB40" s="81" t="s">
        <v>416</v>
      </c>
      <c r="BC40" s="167">
        <v>-7.59</v>
      </c>
      <c r="BD40" s="167">
        <v>2.3199999999999998E-2</v>
      </c>
      <c r="BE40" s="81">
        <v>-327.07</v>
      </c>
      <c r="BF40" s="81" t="s">
        <v>388</v>
      </c>
      <c r="BI40" s="175" t="s">
        <v>319</v>
      </c>
      <c r="BJ40" s="175" t="s">
        <v>320</v>
      </c>
      <c r="BK40" s="175" t="s">
        <v>357</v>
      </c>
      <c r="BL40" s="175" t="s">
        <v>323</v>
      </c>
      <c r="BM40" s="174">
        <f>1/BC77</f>
        <v>215.51724137931035</v>
      </c>
      <c r="BN40" s="175" t="s">
        <v>322</v>
      </c>
      <c r="BP40" s="81" t="s">
        <v>416</v>
      </c>
      <c r="BQ40" s="167">
        <v>-6.56</v>
      </c>
      <c r="BR40" s="167">
        <v>3.3300000000000003E-2</v>
      </c>
      <c r="BS40" s="81">
        <v>-196.87</v>
      </c>
      <c r="BT40" s="81" t="s">
        <v>422</v>
      </c>
      <c r="BU40" s="167">
        <v>2E-16</v>
      </c>
      <c r="BV40" s="81" t="s">
        <v>389</v>
      </c>
      <c r="BX40" s="178" t="s">
        <v>319</v>
      </c>
      <c r="BY40" s="178" t="s">
        <v>320</v>
      </c>
      <c r="BZ40" s="178" t="s">
        <v>354</v>
      </c>
      <c r="CA40" s="178" t="s">
        <v>323</v>
      </c>
      <c r="CB40" s="177">
        <f>BQ70</f>
        <v>85.9</v>
      </c>
      <c r="CC40" s="178" t="s">
        <v>322</v>
      </c>
      <c r="CO40" s="255"/>
      <c r="CP40" s="255"/>
      <c r="CQ40" s="255"/>
      <c r="CT40" s="258" t="s">
        <v>442</v>
      </c>
      <c r="CU40" s="258" t="s">
        <v>403</v>
      </c>
      <c r="CV40" s="259">
        <v>-14.8</v>
      </c>
      <c r="CW40" s="259">
        <v>22.8</v>
      </c>
      <c r="CX40" s="258">
        <v>-0.65</v>
      </c>
      <c r="CY40" s="258">
        <v>0.51700000000000002</v>
      </c>
      <c r="DB40" s="260" t="s">
        <v>467</v>
      </c>
      <c r="DC40" s="264" t="s">
        <v>333</v>
      </c>
      <c r="DD40" s="261" t="s">
        <v>323</v>
      </c>
      <c r="DE40" s="262">
        <f>CV44</f>
        <v>0.77200000000000002</v>
      </c>
      <c r="DF40" s="260" t="s">
        <v>322</v>
      </c>
    </row>
    <row r="41" spans="1:110" ht="15" customHeight="1" thickTop="1" thickBot="1" x14ac:dyDescent="0.3">
      <c r="A41" s="150" t="s">
        <v>281</v>
      </c>
      <c r="K41" s="81"/>
      <c r="L41" s="81"/>
      <c r="M41" s="81" t="s">
        <v>126</v>
      </c>
      <c r="N41" s="153">
        <f>SUM(R26:R27)/1000000</f>
        <v>55.48624048300055</v>
      </c>
      <c r="O41" s="81" t="s">
        <v>125</v>
      </c>
      <c r="P41" s="153">
        <f>SUM(T26:T27)/1000000</f>
        <v>55.48624048300055</v>
      </c>
      <c r="Q41" s="81"/>
      <c r="W41" s="233"/>
      <c r="X41" s="234" t="s">
        <v>27</v>
      </c>
      <c r="Y41" s="234" t="s">
        <v>28</v>
      </c>
      <c r="Z41" s="234" t="s">
        <v>29</v>
      </c>
      <c r="AA41" s="234" t="s">
        <v>30</v>
      </c>
      <c r="AB41" s="234" t="s">
        <v>31</v>
      </c>
      <c r="AC41" s="234" t="s">
        <v>32</v>
      </c>
      <c r="AD41" s="235" t="s">
        <v>33</v>
      </c>
      <c r="AE41" s="14"/>
      <c r="AF41" s="14"/>
      <c r="AG41" s="14"/>
      <c r="AP41" s="81" t="s">
        <v>322</v>
      </c>
      <c r="AU41" s="168"/>
      <c r="AV41" s="168"/>
      <c r="AW41" s="168"/>
      <c r="AX41" s="169"/>
      <c r="AZ41" s="168"/>
      <c r="BB41" s="81" t="s">
        <v>417</v>
      </c>
      <c r="BC41" s="167">
        <v>4.5999999999999999E-3</v>
      </c>
      <c r="BD41" s="167">
        <v>2.5000000000000001E-5</v>
      </c>
      <c r="BE41" s="81">
        <v>184.29</v>
      </c>
      <c r="BF41" s="81" t="s">
        <v>388</v>
      </c>
      <c r="BI41" s="175"/>
      <c r="BJ41" s="175"/>
      <c r="BK41" s="175"/>
      <c r="BL41" s="175"/>
      <c r="BM41" s="174"/>
      <c r="BN41" s="175"/>
      <c r="BP41" s="81" t="s">
        <v>417</v>
      </c>
      <c r="BQ41" s="167">
        <v>3.0599999999999998E-3</v>
      </c>
      <c r="BR41" s="167">
        <v>6.4700000000000001E-5</v>
      </c>
      <c r="BS41" s="81">
        <v>47.35</v>
      </c>
      <c r="BT41" s="81" t="s">
        <v>422</v>
      </c>
      <c r="BU41" s="167">
        <v>2E-16</v>
      </c>
      <c r="BV41" s="81" t="s">
        <v>389</v>
      </c>
      <c r="BX41" s="178" t="s">
        <v>319</v>
      </c>
      <c r="BY41" s="178" t="s">
        <v>320</v>
      </c>
      <c r="BZ41" s="178" t="s">
        <v>355</v>
      </c>
      <c r="CA41" s="178" t="s">
        <v>323</v>
      </c>
      <c r="CB41" s="177">
        <f>BQ71</f>
        <v>49.4</v>
      </c>
      <c r="CC41" s="178" t="s">
        <v>322</v>
      </c>
      <c r="CN41" s="81" t="s">
        <v>358</v>
      </c>
      <c r="CO41" s="254">
        <f t="shared" si="0"/>
        <v>0.2552684741863181</v>
      </c>
      <c r="CP41" s="254">
        <f t="shared" si="1"/>
        <v>9.35E-2</v>
      </c>
      <c r="CQ41" s="254">
        <f t="shared" si="2"/>
        <v>0.11799999999999999</v>
      </c>
      <c r="CT41" s="258" t="s">
        <v>442</v>
      </c>
      <c r="CU41" s="258" t="s">
        <v>404</v>
      </c>
      <c r="CV41" s="259">
        <v>-12.9</v>
      </c>
      <c r="CW41" s="259">
        <v>17</v>
      </c>
      <c r="CX41" s="258">
        <v>-0.76</v>
      </c>
      <c r="CY41" s="258">
        <v>0.44900000000000001</v>
      </c>
      <c r="DB41" s="260" t="s">
        <v>467</v>
      </c>
      <c r="DC41" s="261" t="s">
        <v>334</v>
      </c>
      <c r="DD41" s="261" t="s">
        <v>323</v>
      </c>
      <c r="DE41" s="262">
        <f>CV45</f>
        <v>7.1300000000000002E-2</v>
      </c>
      <c r="DF41" s="260" t="s">
        <v>322</v>
      </c>
    </row>
    <row r="42" spans="1:110" ht="15" customHeight="1" thickTop="1" thickBot="1" x14ac:dyDescent="0.3">
      <c r="A42" s="81" t="s">
        <v>282</v>
      </c>
      <c r="C42" s="81">
        <f>0.55</f>
        <v>0.55000000000000004</v>
      </c>
      <c r="K42" s="81"/>
      <c r="L42" s="81"/>
      <c r="M42" s="81" t="s">
        <v>127</v>
      </c>
      <c r="N42" s="153">
        <f>R14/1000000</f>
        <v>36.371279999999999</v>
      </c>
      <c r="P42" s="153">
        <f>T14/1000000</f>
        <v>10.65216</v>
      </c>
      <c r="Q42" s="81"/>
      <c r="W42" s="239"/>
      <c r="X42" s="240" t="s">
        <v>128</v>
      </c>
      <c r="Y42" s="240">
        <v>0.02</v>
      </c>
      <c r="Z42" s="240">
        <v>1.4</v>
      </c>
      <c r="AA42" s="240">
        <v>2100</v>
      </c>
      <c r="AB42" s="240">
        <v>840</v>
      </c>
      <c r="AC42" s="241">
        <f>Y42/Z42</f>
        <v>1.4285714285714287E-2</v>
      </c>
      <c r="AD42" s="242">
        <f>Y42*AA42*AB42</f>
        <v>35280</v>
      </c>
      <c r="AE42" s="14" t="s">
        <v>104</v>
      </c>
      <c r="AF42" s="14"/>
      <c r="AG42" s="14"/>
      <c r="AL42" s="159" t="s">
        <v>319</v>
      </c>
      <c r="AM42" s="81" t="s">
        <v>320</v>
      </c>
      <c r="AN42" s="81" t="s">
        <v>358</v>
      </c>
      <c r="AO42" s="81">
        <f>SUM(N26)/SUM(N6:N14,N26:N27)</f>
        <v>0.2552684741863181</v>
      </c>
      <c r="AP42" s="81" t="s">
        <v>322</v>
      </c>
      <c r="AQ42" s="81" t="s">
        <v>359</v>
      </c>
      <c r="AU42" s="168" t="s">
        <v>319</v>
      </c>
      <c r="AV42" s="168" t="s">
        <v>320</v>
      </c>
      <c r="AW42" s="168" t="s">
        <v>358</v>
      </c>
      <c r="AX42" s="169" t="s">
        <v>323</v>
      </c>
      <c r="AY42" s="162">
        <f>AO42</f>
        <v>0.2552684741863181</v>
      </c>
      <c r="AZ42" s="168" t="s">
        <v>322</v>
      </c>
      <c r="BB42" s="81" t="s">
        <v>418</v>
      </c>
      <c r="BC42" s="167">
        <v>393</v>
      </c>
      <c r="BD42" s="167">
        <v>4.21</v>
      </c>
      <c r="BE42" s="81">
        <v>93.48</v>
      </c>
      <c r="BF42" s="81" t="s">
        <v>388</v>
      </c>
      <c r="BI42" s="175" t="s">
        <v>319</v>
      </c>
      <c r="BJ42" s="175" t="s">
        <v>320</v>
      </c>
      <c r="BK42" s="175" t="s">
        <v>358</v>
      </c>
      <c r="BL42" s="175" t="s">
        <v>323</v>
      </c>
      <c r="BM42" s="174">
        <f>BC15</f>
        <v>9.35E-2</v>
      </c>
      <c r="BN42" s="175" t="s">
        <v>322</v>
      </c>
      <c r="BP42" s="81" t="s">
        <v>418</v>
      </c>
      <c r="BQ42" s="167">
        <v>113</v>
      </c>
      <c r="BR42" s="167">
        <v>2.08</v>
      </c>
      <c r="BS42" s="81">
        <v>54.6</v>
      </c>
      <c r="BT42" s="81" t="s">
        <v>422</v>
      </c>
      <c r="BU42" s="167">
        <v>2E-16</v>
      </c>
      <c r="BV42" s="81" t="s">
        <v>389</v>
      </c>
      <c r="BX42" s="178" t="s">
        <v>319</v>
      </c>
      <c r="BY42" s="178" t="s">
        <v>320</v>
      </c>
      <c r="BZ42" s="178" t="s">
        <v>357</v>
      </c>
      <c r="CA42" s="178" t="s">
        <v>323</v>
      </c>
      <c r="CB42" s="177">
        <f>1/BQ76</f>
        <v>350.87719298245611</v>
      </c>
      <c r="CC42" s="178" t="s">
        <v>322</v>
      </c>
      <c r="CN42" s="81" t="s">
        <v>360</v>
      </c>
      <c r="CO42" s="254">
        <f t="shared" si="0"/>
        <v>0.25371319473315546</v>
      </c>
      <c r="CP42" s="254">
        <f t="shared" si="1"/>
        <v>0.19800000000000001</v>
      </c>
      <c r="CQ42" s="254">
        <f t="shared" si="2"/>
        <v>0.28299999999999997</v>
      </c>
      <c r="CT42" s="258" t="s">
        <v>442</v>
      </c>
      <c r="CU42" s="258" t="s">
        <v>405</v>
      </c>
      <c r="CV42" s="259">
        <v>6.9599999999999995E-2</v>
      </c>
      <c r="CW42" s="259">
        <v>7.6499999999999995E-4</v>
      </c>
      <c r="CX42" s="258">
        <v>91.05</v>
      </c>
      <c r="CY42" s="258" t="s">
        <v>422</v>
      </c>
      <c r="CZ42" s="167">
        <v>2E-16</v>
      </c>
      <c r="DA42" s="81" t="s">
        <v>389</v>
      </c>
      <c r="DB42" s="260" t="s">
        <v>467</v>
      </c>
      <c r="DC42" s="261" t="s">
        <v>428</v>
      </c>
      <c r="DD42" s="261" t="s">
        <v>323</v>
      </c>
      <c r="DE42" s="262">
        <f>CV46</f>
        <v>4.3700000000000003E-2</v>
      </c>
      <c r="DF42" s="260" t="s">
        <v>322</v>
      </c>
    </row>
    <row r="43" spans="1:110" ht="15" customHeight="1" thickTop="1" thickBot="1" x14ac:dyDescent="0.3">
      <c r="A43" s="81" t="s">
        <v>283</v>
      </c>
      <c r="C43" s="81">
        <f>B7/B6</f>
        <v>0.51807879114948729</v>
      </c>
      <c r="D43" s="81" t="s">
        <v>284</v>
      </c>
      <c r="K43" s="81"/>
      <c r="L43" s="81"/>
      <c r="M43" s="81"/>
      <c r="P43" s="81"/>
      <c r="Q43" s="81"/>
      <c r="W43" s="188"/>
      <c r="X43" s="189" t="s">
        <v>129</v>
      </c>
      <c r="Y43" s="189">
        <v>0.08</v>
      </c>
      <c r="Z43" s="189">
        <v>0.6</v>
      </c>
      <c r="AA43" s="189">
        <v>1100</v>
      </c>
      <c r="AB43" s="189">
        <v>860</v>
      </c>
      <c r="AC43" s="236">
        <f>Y43/Z43</f>
        <v>0.13333333333333333</v>
      </c>
      <c r="AD43" s="190">
        <f>Y43*AA43*AB43</f>
        <v>75680</v>
      </c>
      <c r="AE43" s="14"/>
      <c r="AF43" s="14"/>
      <c r="AG43" s="14"/>
      <c r="AL43" s="159" t="s">
        <v>319</v>
      </c>
      <c r="AM43" s="81" t="s">
        <v>320</v>
      </c>
      <c r="AN43" s="81" t="s">
        <v>360</v>
      </c>
      <c r="AO43" s="81">
        <f>SUM(N26)/SUM(N$17:N$25,N$28,N$26)</f>
        <v>0.25371319473315546</v>
      </c>
      <c r="AP43" s="81" t="s">
        <v>322</v>
      </c>
      <c r="AQ43" s="81" t="s">
        <v>361</v>
      </c>
      <c r="AU43" s="168" t="s">
        <v>319</v>
      </c>
      <c r="AV43" s="168" t="s">
        <v>320</v>
      </c>
      <c r="AW43" s="168" t="s">
        <v>360</v>
      </c>
      <c r="AX43" s="169" t="s">
        <v>323</v>
      </c>
      <c r="AY43" s="162">
        <f t="shared" ref="AY43:AY50" si="15">AO43</f>
        <v>0.25371319473315546</v>
      </c>
      <c r="AZ43" s="168" t="s">
        <v>322</v>
      </c>
      <c r="BB43" s="81" t="s">
        <v>419</v>
      </c>
      <c r="BC43" s="167">
        <v>141</v>
      </c>
      <c r="BD43" s="167">
        <v>4.72</v>
      </c>
      <c r="BE43" s="81">
        <v>29.84</v>
      </c>
      <c r="BF43" s="81" t="s">
        <v>388</v>
      </c>
      <c r="BI43" s="175" t="s">
        <v>319</v>
      </c>
      <c r="BJ43" s="175" t="s">
        <v>320</v>
      </c>
      <c r="BK43" s="175" t="s">
        <v>360</v>
      </c>
      <c r="BL43" s="175" t="s">
        <v>323</v>
      </c>
      <c r="BM43" s="174">
        <f>BC57</f>
        <v>0.19800000000000001</v>
      </c>
      <c r="BN43" s="175" t="s">
        <v>322</v>
      </c>
      <c r="BP43" s="81" t="s">
        <v>419</v>
      </c>
      <c r="BQ43" s="167">
        <v>4990</v>
      </c>
      <c r="BR43" s="167">
        <v>2330</v>
      </c>
      <c r="BS43" s="81">
        <v>2.14</v>
      </c>
      <c r="BT43" s="81">
        <v>3.27E-2</v>
      </c>
      <c r="BU43" s="81" t="s">
        <v>434</v>
      </c>
      <c r="BX43" s="178"/>
      <c r="BY43" s="178"/>
      <c r="BZ43" s="178"/>
      <c r="CA43" s="178"/>
      <c r="CB43" s="177"/>
      <c r="CC43" s="178"/>
      <c r="CN43" s="81" t="s">
        <v>362</v>
      </c>
      <c r="CO43" s="256">
        <f t="shared" si="0"/>
        <v>20420677.500000004</v>
      </c>
      <c r="CP43" s="256">
        <f t="shared" si="1"/>
        <v>8270000</v>
      </c>
      <c r="CQ43" s="256">
        <f t="shared" si="2"/>
        <v>19200000</v>
      </c>
      <c r="CT43" s="258" t="s">
        <v>442</v>
      </c>
      <c r="CU43" s="258" t="s">
        <v>406</v>
      </c>
      <c r="CV43" s="259">
        <v>0.13600000000000001</v>
      </c>
      <c r="CW43" s="259">
        <v>8.9300000000000002E-4</v>
      </c>
      <c r="CX43" s="258">
        <v>151.97</v>
      </c>
      <c r="CY43" s="258" t="s">
        <v>422</v>
      </c>
      <c r="CZ43" s="167">
        <v>2E-16</v>
      </c>
      <c r="DA43" s="81" t="s">
        <v>389</v>
      </c>
      <c r="DD43" s="261"/>
    </row>
    <row r="44" spans="1:110" ht="15" customHeight="1" thickTop="1" thickBot="1" x14ac:dyDescent="0.3">
      <c r="A44" s="81" t="s">
        <v>287</v>
      </c>
      <c r="C44" s="81">
        <v>0.7</v>
      </c>
      <c r="E44" s="79"/>
      <c r="K44" s="81"/>
      <c r="L44" s="81"/>
      <c r="M44" s="81"/>
      <c r="P44" s="81"/>
      <c r="Q44" s="81"/>
      <c r="W44" s="188"/>
      <c r="X44" s="189" t="s">
        <v>285</v>
      </c>
      <c r="Y44" s="270">
        <v>1.4999999999999999E-2</v>
      </c>
      <c r="Z44" s="189">
        <v>3.5999999999999997E-2</v>
      </c>
      <c r="AA44" s="189">
        <v>30</v>
      </c>
      <c r="AB44" s="189">
        <v>1470</v>
      </c>
      <c r="AC44" s="236">
        <f>Y44/Z44</f>
        <v>0.41666666666666669</v>
      </c>
      <c r="AD44" s="190">
        <f>Y44*AA44*AB44</f>
        <v>661.49999999999989</v>
      </c>
      <c r="AE44" s="149" t="s">
        <v>286</v>
      </c>
      <c r="AF44" s="14"/>
      <c r="AG44" s="14"/>
      <c r="AL44" s="159" t="s">
        <v>319</v>
      </c>
      <c r="AM44" s="81" t="s">
        <v>320</v>
      </c>
      <c r="AN44" s="81" t="s">
        <v>362</v>
      </c>
      <c r="AO44" s="81">
        <f>T26/2</f>
        <v>20420677.500000004</v>
      </c>
      <c r="AP44" s="81" t="s">
        <v>322</v>
      </c>
      <c r="AQ44" s="81" t="s">
        <v>363</v>
      </c>
      <c r="AU44" s="168" t="s">
        <v>319</v>
      </c>
      <c r="AV44" s="168" t="s">
        <v>320</v>
      </c>
      <c r="AW44" s="168" t="s">
        <v>362</v>
      </c>
      <c r="AX44" s="169" t="s">
        <v>323</v>
      </c>
      <c r="AY44" s="162">
        <f t="shared" si="15"/>
        <v>20420677.500000004</v>
      </c>
      <c r="AZ44" s="168" t="s">
        <v>322</v>
      </c>
      <c r="BB44" s="81" t="s">
        <v>420</v>
      </c>
      <c r="BC44" s="167">
        <v>81.900000000000006</v>
      </c>
      <c r="BD44" s="167">
        <v>0.45900000000000002</v>
      </c>
      <c r="BE44" s="81">
        <v>178.48</v>
      </c>
      <c r="BF44" s="81" t="s">
        <v>388</v>
      </c>
      <c r="BI44" s="175" t="s">
        <v>319</v>
      </c>
      <c r="BJ44" s="175" t="s">
        <v>320</v>
      </c>
      <c r="BK44" s="175" t="s">
        <v>362</v>
      </c>
      <c r="BL44" s="175" t="s">
        <v>323</v>
      </c>
      <c r="BM44" s="174">
        <f>BC87</f>
        <v>8270000</v>
      </c>
      <c r="BN44" s="175" t="s">
        <v>322</v>
      </c>
      <c r="BP44" s="81" t="s">
        <v>420</v>
      </c>
      <c r="BQ44" s="167">
        <v>75.900000000000006</v>
      </c>
      <c r="BR44" s="167">
        <v>3.39</v>
      </c>
      <c r="BS44" s="81">
        <v>22.42</v>
      </c>
      <c r="BT44" s="81" t="s">
        <v>422</v>
      </c>
      <c r="BU44" s="167">
        <v>2E-16</v>
      </c>
      <c r="BV44" s="81" t="s">
        <v>389</v>
      </c>
      <c r="BX44" s="178" t="s">
        <v>319</v>
      </c>
      <c r="BY44" s="178" t="s">
        <v>320</v>
      </c>
      <c r="BZ44" s="178" t="s">
        <v>358</v>
      </c>
      <c r="CA44" s="178" t="s">
        <v>323</v>
      </c>
      <c r="CB44" s="177">
        <f>BQ15</f>
        <v>0.11799999999999999</v>
      </c>
      <c r="CC44" s="178" t="s">
        <v>322</v>
      </c>
      <c r="CN44" s="81" t="s">
        <v>364</v>
      </c>
      <c r="CO44" s="256">
        <f t="shared" si="0"/>
        <v>20420677.500000004</v>
      </c>
      <c r="CP44" s="256">
        <f t="shared" si="1"/>
        <v>25000000</v>
      </c>
      <c r="CQ44" s="256">
        <f t="shared" si="2"/>
        <v>65100000</v>
      </c>
      <c r="CT44" s="258" t="s">
        <v>442</v>
      </c>
      <c r="CU44" s="258" t="s">
        <v>407</v>
      </c>
      <c r="CV44" s="259">
        <v>0.77200000000000002</v>
      </c>
      <c r="CW44" s="259">
        <v>5.1200000000000004E-3</v>
      </c>
      <c r="CX44" s="258">
        <v>150.93</v>
      </c>
      <c r="CY44" s="258" t="s">
        <v>422</v>
      </c>
      <c r="CZ44" s="167">
        <v>2E-16</v>
      </c>
      <c r="DA44" s="81" t="s">
        <v>389</v>
      </c>
      <c r="DB44" s="260" t="s">
        <v>467</v>
      </c>
      <c r="DC44" s="266" t="s">
        <v>489</v>
      </c>
      <c r="DD44" s="261" t="s">
        <v>323</v>
      </c>
      <c r="DE44" s="262">
        <f>CV68</f>
        <v>0.20200000000000001</v>
      </c>
      <c r="DF44" s="260" t="s">
        <v>322</v>
      </c>
    </row>
    <row r="45" spans="1:110" ht="15" customHeight="1" thickTop="1" thickBot="1" x14ac:dyDescent="0.3">
      <c r="A45" s="81" t="s">
        <v>288</v>
      </c>
      <c r="C45" s="81">
        <v>0.5</v>
      </c>
      <c r="E45" s="79"/>
      <c r="K45" s="81"/>
      <c r="L45" s="81"/>
      <c r="M45" s="81"/>
      <c r="P45" s="81"/>
      <c r="Q45" s="81"/>
      <c r="W45" s="188"/>
      <c r="X45" s="189" t="s">
        <v>131</v>
      </c>
      <c r="Y45" s="189">
        <v>0.15</v>
      </c>
      <c r="Z45" s="189">
        <v>1.4</v>
      </c>
      <c r="AA45" s="189">
        <v>2100</v>
      </c>
      <c r="AB45" s="189">
        <v>840</v>
      </c>
      <c r="AC45" s="236">
        <f>Y45/Z45</f>
        <v>0.10714285714285715</v>
      </c>
      <c r="AD45" s="190">
        <f>Y45*AA45*AB45</f>
        <v>264600</v>
      </c>
      <c r="AE45" s="14"/>
      <c r="AF45" s="14"/>
      <c r="AG45" s="14"/>
      <c r="AL45" s="159" t="s">
        <v>319</v>
      </c>
      <c r="AM45" s="81" t="s">
        <v>320</v>
      </c>
      <c r="AN45" s="81" t="s">
        <v>364</v>
      </c>
      <c r="AO45" s="81">
        <f>T26/2</f>
        <v>20420677.500000004</v>
      </c>
      <c r="AP45" s="81" t="s">
        <v>322</v>
      </c>
      <c r="AQ45" s="81" t="s">
        <v>365</v>
      </c>
      <c r="AU45" s="168" t="s">
        <v>319</v>
      </c>
      <c r="AV45" s="168" t="s">
        <v>320</v>
      </c>
      <c r="AW45" s="168" t="s">
        <v>364</v>
      </c>
      <c r="AX45" s="169" t="s">
        <v>323</v>
      </c>
      <c r="AY45" s="162">
        <f t="shared" si="15"/>
        <v>20420677.500000004</v>
      </c>
      <c r="AZ45" s="168" t="s">
        <v>322</v>
      </c>
      <c r="BI45" s="175" t="s">
        <v>319</v>
      </c>
      <c r="BJ45" s="175" t="s">
        <v>320</v>
      </c>
      <c r="BK45" s="175" t="s">
        <v>364</v>
      </c>
      <c r="BL45" s="175" t="s">
        <v>323</v>
      </c>
      <c r="BM45" s="174">
        <f>BC88</f>
        <v>25000000</v>
      </c>
      <c r="BN45" s="175" t="s">
        <v>322</v>
      </c>
      <c r="BX45" s="178" t="s">
        <v>319</v>
      </c>
      <c r="BY45" s="178" t="s">
        <v>320</v>
      </c>
      <c r="BZ45" s="178" t="s">
        <v>360</v>
      </c>
      <c r="CA45" s="178" t="s">
        <v>323</v>
      </c>
      <c r="CB45" s="177">
        <f>BQ56</f>
        <v>0.28299999999999997</v>
      </c>
      <c r="CC45" s="178" t="s">
        <v>322</v>
      </c>
      <c r="CN45" s="81" t="s">
        <v>366</v>
      </c>
      <c r="CO45" s="254">
        <f t="shared" si="0"/>
        <v>7.6580542255895431E-2</v>
      </c>
      <c r="CP45" s="254">
        <f t="shared" si="1"/>
        <v>7.3400000000000007E-2</v>
      </c>
      <c r="CQ45" s="254">
        <f t="shared" si="2"/>
        <v>4.4299999999999999E-2</v>
      </c>
      <c r="CT45" s="258" t="s">
        <v>442</v>
      </c>
      <c r="CU45" s="258" t="s">
        <v>408</v>
      </c>
      <c r="CV45" s="259">
        <v>7.1300000000000002E-2</v>
      </c>
      <c r="CW45" s="259">
        <v>4.6000000000000001E-4</v>
      </c>
      <c r="CX45" s="258">
        <v>154.97999999999999</v>
      </c>
      <c r="CY45" s="258" t="s">
        <v>422</v>
      </c>
      <c r="CZ45" s="167">
        <v>2E-16</v>
      </c>
      <c r="DA45" s="81" t="s">
        <v>389</v>
      </c>
      <c r="DB45" s="260" t="s">
        <v>467</v>
      </c>
      <c r="DC45" s="266" t="s">
        <v>490</v>
      </c>
      <c r="DD45" s="261" t="s">
        <v>323</v>
      </c>
      <c r="DE45" s="262">
        <f t="shared" ref="DE45:DE59" si="16">CV69</f>
        <v>6.2900000000000003E-7</v>
      </c>
      <c r="DF45" s="260" t="s">
        <v>322</v>
      </c>
    </row>
    <row r="46" spans="1:110" ht="15" customHeight="1" thickTop="1" thickBot="1" x14ac:dyDescent="0.3">
      <c r="K46" s="81"/>
      <c r="L46" s="81"/>
      <c r="M46" s="81"/>
      <c r="P46" s="81"/>
      <c r="Q46" s="81"/>
      <c r="W46" s="205"/>
      <c r="X46" s="187" t="s">
        <v>132</v>
      </c>
      <c r="Y46" s="271">
        <v>0.06</v>
      </c>
      <c r="Z46" s="187">
        <v>2.4E-2</v>
      </c>
      <c r="AA46" s="187">
        <v>30</v>
      </c>
      <c r="AB46" s="187">
        <v>1470</v>
      </c>
      <c r="AC46" s="237">
        <f>Y46/Z46</f>
        <v>2.5</v>
      </c>
      <c r="AD46" s="210">
        <f>Y46*AA46*AB46</f>
        <v>2645.9999999999995</v>
      </c>
      <c r="AE46" s="14"/>
      <c r="AF46" s="14"/>
      <c r="AG46" s="14"/>
      <c r="AL46" s="159" t="s">
        <v>319</v>
      </c>
      <c r="AM46" s="81" t="s">
        <v>320</v>
      </c>
      <c r="AN46" s="81" t="s">
        <v>366</v>
      </c>
      <c r="AO46" s="81">
        <f>AO42*0.3</f>
        <v>7.6580542255895431E-2</v>
      </c>
      <c r="AP46" s="81" t="s">
        <v>322</v>
      </c>
      <c r="AQ46" s="81" t="s">
        <v>367</v>
      </c>
      <c r="AU46" s="168" t="s">
        <v>319</v>
      </c>
      <c r="AV46" s="168" t="s">
        <v>320</v>
      </c>
      <c r="AW46" s="168" t="s">
        <v>366</v>
      </c>
      <c r="AX46" s="169" t="s">
        <v>323</v>
      </c>
      <c r="AY46" s="162">
        <f t="shared" si="15"/>
        <v>7.6580542255895431E-2</v>
      </c>
      <c r="AZ46" s="168" t="s">
        <v>322</v>
      </c>
      <c r="BI46" s="175" t="s">
        <v>319</v>
      </c>
      <c r="BJ46" s="175" t="s">
        <v>320</v>
      </c>
      <c r="BK46" s="175" t="s">
        <v>366</v>
      </c>
      <c r="BL46" s="175" t="s">
        <v>323</v>
      </c>
      <c r="BM46" s="174">
        <f>BC31</f>
        <v>7.3400000000000007E-2</v>
      </c>
      <c r="BN46" s="175" t="s">
        <v>322</v>
      </c>
      <c r="BP46" s="81" t="s">
        <v>433</v>
      </c>
      <c r="BQ46" s="81" t="s">
        <v>421</v>
      </c>
      <c r="BX46" s="178" t="s">
        <v>319</v>
      </c>
      <c r="BY46" s="178" t="s">
        <v>320</v>
      </c>
      <c r="BZ46" s="178" t="s">
        <v>362</v>
      </c>
      <c r="CA46" s="178" t="s">
        <v>323</v>
      </c>
      <c r="CB46" s="177">
        <f>BQ87</f>
        <v>19200000</v>
      </c>
      <c r="CC46" s="178" t="s">
        <v>322</v>
      </c>
      <c r="CN46" s="81" t="s">
        <v>368</v>
      </c>
      <c r="CO46" s="254">
        <f t="shared" si="0"/>
        <v>7.6113958419946628E-2</v>
      </c>
      <c r="CP46" s="254">
        <f t="shared" si="1"/>
        <v>0.126</v>
      </c>
      <c r="CQ46" s="254">
        <f t="shared" si="2"/>
        <v>7.3200000000000001E-2</v>
      </c>
      <c r="CT46" s="258" t="s">
        <v>442</v>
      </c>
      <c r="CU46" s="258" t="s">
        <v>409</v>
      </c>
      <c r="CV46" s="259">
        <v>4.3700000000000003E-2</v>
      </c>
      <c r="CW46" s="259">
        <v>2.8400000000000002E-4</v>
      </c>
      <c r="CX46" s="258">
        <v>154.13999999999999</v>
      </c>
      <c r="CY46" s="258" t="s">
        <v>422</v>
      </c>
      <c r="CZ46" s="167">
        <v>2E-16</v>
      </c>
      <c r="DA46" s="81" t="s">
        <v>389</v>
      </c>
      <c r="DB46" s="260" t="s">
        <v>467</v>
      </c>
      <c r="DC46" s="266" t="s">
        <v>491</v>
      </c>
      <c r="DD46" s="261" t="s">
        <v>323</v>
      </c>
      <c r="DE46" s="262">
        <f t="shared" si="16"/>
        <v>0.77700000000000002</v>
      </c>
      <c r="DF46" s="260" t="s">
        <v>322</v>
      </c>
    </row>
    <row r="47" spans="1:110" ht="15" customHeight="1" thickTop="1" thickBot="1" x14ac:dyDescent="0.3">
      <c r="B47" s="153"/>
      <c r="K47" s="81"/>
      <c r="L47" s="81"/>
      <c r="M47" s="81"/>
      <c r="P47" s="81"/>
      <c r="Q47" s="81"/>
      <c r="W47" s="189"/>
      <c r="X47" s="189"/>
      <c r="Y47" s="189"/>
      <c r="Z47" s="189"/>
      <c r="AA47" s="189"/>
      <c r="AB47" s="189"/>
      <c r="AC47" s="236"/>
      <c r="AD47" s="189"/>
      <c r="AE47" s="14"/>
      <c r="AF47" s="14"/>
      <c r="AG47" s="14"/>
      <c r="AL47" s="159" t="s">
        <v>319</v>
      </c>
      <c r="AM47" s="81" t="s">
        <v>320</v>
      </c>
      <c r="AN47" s="81" t="s">
        <v>368</v>
      </c>
      <c r="AO47" s="81">
        <f>AO43*0.3</f>
        <v>7.6113958419946628E-2</v>
      </c>
      <c r="AP47" s="81" t="s">
        <v>322</v>
      </c>
      <c r="AQ47" s="81" t="s">
        <v>369</v>
      </c>
      <c r="AU47" s="168" t="s">
        <v>319</v>
      </c>
      <c r="AV47" s="168" t="s">
        <v>320</v>
      </c>
      <c r="AW47" s="168" t="s">
        <v>368</v>
      </c>
      <c r="AX47" s="169" t="s">
        <v>323</v>
      </c>
      <c r="AY47" s="162">
        <f t="shared" si="15"/>
        <v>7.6113958419946628E-2</v>
      </c>
      <c r="AZ47" s="168" t="s">
        <v>322</v>
      </c>
      <c r="BC47" s="172" t="s">
        <v>421</v>
      </c>
      <c r="BI47" s="175" t="s">
        <v>319</v>
      </c>
      <c r="BJ47" s="175" t="s">
        <v>320</v>
      </c>
      <c r="BK47" s="175" t="s">
        <v>368</v>
      </c>
      <c r="BL47" s="175" t="s">
        <v>323</v>
      </c>
      <c r="BM47" s="174">
        <f>BC69</f>
        <v>0.126</v>
      </c>
      <c r="BN47" s="175" t="s">
        <v>322</v>
      </c>
      <c r="BP47" s="81" t="s">
        <v>380</v>
      </c>
      <c r="BX47" s="178" t="s">
        <v>319</v>
      </c>
      <c r="BY47" s="178" t="s">
        <v>320</v>
      </c>
      <c r="BZ47" s="178" t="s">
        <v>364</v>
      </c>
      <c r="CA47" s="178" t="s">
        <v>323</v>
      </c>
      <c r="CB47" s="177">
        <f>BQ89</f>
        <v>65100000</v>
      </c>
      <c r="CC47" s="178" t="s">
        <v>322</v>
      </c>
      <c r="CN47" s="81" t="s">
        <v>370</v>
      </c>
      <c r="CO47" s="257">
        <f t="shared" si="0"/>
        <v>532.62958579881661</v>
      </c>
      <c r="CP47" s="257">
        <f t="shared" si="1"/>
        <v>502</v>
      </c>
      <c r="CQ47" s="257">
        <f t="shared" si="2"/>
        <v>198</v>
      </c>
      <c r="CT47" s="258" t="s">
        <v>442</v>
      </c>
      <c r="CU47" s="258" t="s">
        <v>410</v>
      </c>
      <c r="CV47" s="259">
        <v>279</v>
      </c>
      <c r="CW47" s="259">
        <v>2.52</v>
      </c>
      <c r="CX47" s="258">
        <v>110.69</v>
      </c>
      <c r="CY47" s="258" t="s">
        <v>422</v>
      </c>
      <c r="CZ47" s="167">
        <v>2E-16</v>
      </c>
      <c r="DA47" s="81" t="s">
        <v>389</v>
      </c>
      <c r="DB47" s="260" t="s">
        <v>467</v>
      </c>
      <c r="DC47" s="266" t="s">
        <v>492</v>
      </c>
      <c r="DD47" s="261" t="s">
        <v>323</v>
      </c>
      <c r="DE47" s="262">
        <f t="shared" si="16"/>
        <v>0.65400000000000003</v>
      </c>
      <c r="DF47" s="260" t="s">
        <v>322</v>
      </c>
    </row>
    <row r="48" spans="1:110" ht="15" customHeight="1" thickTop="1" thickBot="1" x14ac:dyDescent="0.3">
      <c r="B48" s="153"/>
      <c r="K48" s="81"/>
      <c r="L48" s="81"/>
      <c r="M48" s="81"/>
      <c r="P48" s="81"/>
      <c r="Q48" s="81"/>
      <c r="W48" s="226"/>
      <c r="X48" s="226"/>
      <c r="Y48" s="245" t="s">
        <v>4</v>
      </c>
      <c r="Z48" s="245">
        <v>4</v>
      </c>
      <c r="AA48" s="245" t="s">
        <v>5</v>
      </c>
      <c r="AB48" s="226"/>
      <c r="AC48" s="226"/>
      <c r="AD48" s="226"/>
      <c r="AE48" s="14"/>
      <c r="AF48" s="14"/>
      <c r="AG48" s="14"/>
      <c r="AL48" s="159" t="s">
        <v>319</v>
      </c>
      <c r="AM48" s="81" t="s">
        <v>320</v>
      </c>
      <c r="AN48" s="81" t="s">
        <v>370</v>
      </c>
      <c r="AO48" s="81">
        <f>Z27*4*N26</f>
        <v>532.62958579881661</v>
      </c>
      <c r="AP48" s="81" t="s">
        <v>322</v>
      </c>
      <c r="AQ48" s="81" t="s">
        <v>371</v>
      </c>
      <c r="AU48" s="168" t="s">
        <v>319</v>
      </c>
      <c r="AV48" s="168" t="s">
        <v>320</v>
      </c>
      <c r="AW48" s="168" t="s">
        <v>370</v>
      </c>
      <c r="AX48" s="169" t="s">
        <v>323</v>
      </c>
      <c r="AY48" s="162">
        <f t="shared" si="15"/>
        <v>532.62958579881661</v>
      </c>
      <c r="AZ48" s="168" t="s">
        <v>322</v>
      </c>
      <c r="BB48" s="81" t="s">
        <v>380</v>
      </c>
      <c r="BI48" s="175" t="s">
        <v>319</v>
      </c>
      <c r="BJ48" s="175" t="s">
        <v>320</v>
      </c>
      <c r="BK48" s="175" t="s">
        <v>370</v>
      </c>
      <c r="BL48" s="175" t="s">
        <v>323</v>
      </c>
      <c r="BM48" s="174">
        <f>BC95</f>
        <v>502</v>
      </c>
      <c r="BN48" s="175" t="s">
        <v>322</v>
      </c>
      <c r="BP48" s="81" t="s">
        <v>381</v>
      </c>
      <c r="BQ48" s="81" t="s">
        <v>382</v>
      </c>
      <c r="BR48" s="81" t="s">
        <v>383</v>
      </c>
      <c r="BS48" s="81" t="s">
        <v>384</v>
      </c>
      <c r="BT48" s="81" t="s">
        <v>385</v>
      </c>
      <c r="BU48" s="81" t="s">
        <v>386</v>
      </c>
      <c r="BX48" s="178" t="s">
        <v>319</v>
      </c>
      <c r="BY48" s="178" t="s">
        <v>320</v>
      </c>
      <c r="BZ48" s="178" t="s">
        <v>366</v>
      </c>
      <c r="CA48" s="178" t="s">
        <v>323</v>
      </c>
      <c r="CB48" s="177">
        <f>BQ31</f>
        <v>4.4299999999999999E-2</v>
      </c>
      <c r="CC48" s="178" t="s">
        <v>322</v>
      </c>
      <c r="CN48" s="81" t="s">
        <v>372</v>
      </c>
      <c r="CO48" s="257">
        <f t="shared" si="0"/>
        <v>266.3147928994083</v>
      </c>
      <c r="CP48" s="257">
        <f t="shared" si="1"/>
        <v>393</v>
      </c>
      <c r="CQ48" s="257">
        <f t="shared" si="2"/>
        <v>3.48E-4</v>
      </c>
      <c r="CT48" s="258" t="s">
        <v>442</v>
      </c>
      <c r="CU48" s="258" t="s">
        <v>411</v>
      </c>
      <c r="CV48" s="259">
        <v>219</v>
      </c>
      <c r="CW48" s="259">
        <v>1.3</v>
      </c>
      <c r="CX48" s="258">
        <v>168.77</v>
      </c>
      <c r="CY48" s="258" t="s">
        <v>422</v>
      </c>
      <c r="CZ48" s="167">
        <v>2E-16</v>
      </c>
      <c r="DA48" s="81" t="s">
        <v>389</v>
      </c>
      <c r="DB48" s="260" t="s">
        <v>467</v>
      </c>
      <c r="DC48" s="266" t="s">
        <v>493</v>
      </c>
      <c r="DD48" s="261" t="s">
        <v>323</v>
      </c>
      <c r="DE48" s="262">
        <f t="shared" si="16"/>
        <v>0.23499999999999999</v>
      </c>
      <c r="DF48" s="260" t="s">
        <v>322</v>
      </c>
    </row>
    <row r="49" spans="2:110" ht="15" customHeight="1" thickTop="1" thickBot="1" x14ac:dyDescent="0.3">
      <c r="B49" s="153"/>
      <c r="K49" s="81"/>
      <c r="L49" s="81"/>
      <c r="M49" s="81"/>
      <c r="P49" s="81"/>
      <c r="Q49" s="81"/>
      <c r="W49" s="246" t="s">
        <v>68</v>
      </c>
      <c r="X49" s="247"/>
      <c r="Y49" s="248" t="s">
        <v>21</v>
      </c>
      <c r="Z49" s="249">
        <v>4</v>
      </c>
      <c r="AA49" s="247" t="s">
        <v>5</v>
      </c>
      <c r="AB49" s="247"/>
      <c r="AC49" s="247" t="s">
        <v>22</v>
      </c>
      <c r="AD49" s="250">
        <f>0.04*550*1660</f>
        <v>36520</v>
      </c>
      <c r="AE49" s="14" t="s">
        <v>23</v>
      </c>
      <c r="AF49" s="14">
        <f>SUM(AD51:AD52)</f>
        <v>181020.00000000003</v>
      </c>
      <c r="AG49" s="14"/>
      <c r="AL49" s="159" t="s">
        <v>319</v>
      </c>
      <c r="AM49" s="81" t="s">
        <v>320</v>
      </c>
      <c r="AN49" s="81" t="s">
        <v>372</v>
      </c>
      <c r="AO49" s="81">
        <f>AO50/2</f>
        <v>266.3147928994083</v>
      </c>
      <c r="AP49" s="81" t="s">
        <v>322</v>
      </c>
      <c r="AQ49" s="81" t="s">
        <v>373</v>
      </c>
      <c r="AU49" s="168" t="s">
        <v>319</v>
      </c>
      <c r="AV49" s="168" t="s">
        <v>320</v>
      </c>
      <c r="AW49" s="168" t="s">
        <v>372</v>
      </c>
      <c r="AX49" s="169" t="s">
        <v>323</v>
      </c>
      <c r="AY49" s="162">
        <f t="shared" si="15"/>
        <v>266.3147928994083</v>
      </c>
      <c r="AZ49" s="168" t="s">
        <v>322</v>
      </c>
      <c r="BB49" s="81" t="s">
        <v>381</v>
      </c>
      <c r="BC49" s="81" t="s">
        <v>382</v>
      </c>
      <c r="BD49" s="81" t="s">
        <v>383</v>
      </c>
      <c r="BE49" s="81" t="s">
        <v>384</v>
      </c>
      <c r="BF49" s="81" t="s">
        <v>385</v>
      </c>
      <c r="BG49" s="81" t="s">
        <v>386</v>
      </c>
      <c r="BI49" s="175" t="s">
        <v>319</v>
      </c>
      <c r="BJ49" s="175" t="s">
        <v>320</v>
      </c>
      <c r="BK49" s="175" t="s">
        <v>372</v>
      </c>
      <c r="BL49" s="175" t="s">
        <v>323</v>
      </c>
      <c r="BM49" s="174">
        <f>BC96</f>
        <v>393</v>
      </c>
      <c r="BN49" s="175" t="s">
        <v>322</v>
      </c>
      <c r="BP49" s="81" t="s">
        <v>387</v>
      </c>
      <c r="BQ49" s="167">
        <v>289</v>
      </c>
      <c r="BR49" s="167">
        <v>0.27</v>
      </c>
      <c r="BS49" s="81">
        <v>1069.93</v>
      </c>
      <c r="BT49" s="81" t="s">
        <v>422</v>
      </c>
      <c r="BU49" s="167">
        <v>2E-16</v>
      </c>
      <c r="BV49" s="81" t="s">
        <v>389</v>
      </c>
      <c r="BX49" s="178" t="s">
        <v>319</v>
      </c>
      <c r="BY49" s="178" t="s">
        <v>320</v>
      </c>
      <c r="BZ49" s="178" t="s">
        <v>368</v>
      </c>
      <c r="CA49" s="178" t="s">
        <v>323</v>
      </c>
      <c r="CB49" s="177">
        <f>BQ68</f>
        <v>7.3200000000000001E-2</v>
      </c>
      <c r="CC49" s="178" t="s">
        <v>322</v>
      </c>
      <c r="CN49" s="81" t="s">
        <v>374</v>
      </c>
      <c r="CO49" s="257">
        <f t="shared" si="0"/>
        <v>532.62958579881661</v>
      </c>
      <c r="CP49" s="257">
        <f t="shared" si="1"/>
        <v>506</v>
      </c>
      <c r="CQ49" s="257">
        <f t="shared" si="2"/>
        <v>221</v>
      </c>
      <c r="CT49" s="258" t="s">
        <v>442</v>
      </c>
      <c r="CU49" s="258" t="s">
        <v>295</v>
      </c>
      <c r="CV49" s="259">
        <v>461</v>
      </c>
      <c r="CW49" s="259">
        <v>2.36</v>
      </c>
      <c r="CX49" s="258">
        <v>194.92</v>
      </c>
      <c r="CY49" s="258" t="s">
        <v>422</v>
      </c>
      <c r="CZ49" s="167">
        <v>2E-16</v>
      </c>
      <c r="DA49" s="81" t="s">
        <v>389</v>
      </c>
      <c r="DB49" s="260" t="s">
        <v>467</v>
      </c>
      <c r="DC49" s="266" t="s">
        <v>494</v>
      </c>
      <c r="DD49" s="261" t="s">
        <v>323</v>
      </c>
      <c r="DE49" s="262">
        <f t="shared" si="16"/>
        <v>0.309</v>
      </c>
      <c r="DF49" s="260" t="s">
        <v>322</v>
      </c>
    </row>
    <row r="50" spans="2:110" ht="15" customHeight="1" thickTop="1" thickBot="1" x14ac:dyDescent="0.3">
      <c r="K50" s="81"/>
      <c r="L50" s="81"/>
      <c r="M50" s="81"/>
      <c r="P50" s="81"/>
      <c r="Q50" s="81"/>
      <c r="W50" s="251"/>
      <c r="X50" s="252" t="s">
        <v>16</v>
      </c>
      <c r="Y50" s="252">
        <v>4</v>
      </c>
      <c r="Z50" s="252" t="s">
        <v>5</v>
      </c>
      <c r="AA50" s="252"/>
      <c r="AB50" s="252" t="s">
        <v>313</v>
      </c>
      <c r="AC50" s="252">
        <f>0.11*(1/Z49-1/23-1/8)</f>
        <v>8.9673913043478264E-3</v>
      </c>
      <c r="AD50" s="253"/>
      <c r="AE50" s="14"/>
      <c r="AF50" s="14"/>
      <c r="AG50" s="14"/>
      <c r="AL50" s="159" t="s">
        <v>319</v>
      </c>
      <c r="AM50" s="81" t="s">
        <v>320</v>
      </c>
      <c r="AN50" s="81" t="s">
        <v>374</v>
      </c>
      <c r="AO50" s="81">
        <f>AO48</f>
        <v>532.62958579881661</v>
      </c>
      <c r="AP50" s="81" t="s">
        <v>322</v>
      </c>
      <c r="AQ50" s="81" t="s">
        <v>375</v>
      </c>
      <c r="AU50" s="168" t="s">
        <v>319</v>
      </c>
      <c r="AV50" s="168" t="s">
        <v>320</v>
      </c>
      <c r="AW50" s="168" t="s">
        <v>374</v>
      </c>
      <c r="AX50" s="169" t="s">
        <v>323</v>
      </c>
      <c r="AY50" s="162">
        <f t="shared" si="15"/>
        <v>532.62958579881661</v>
      </c>
      <c r="AZ50" s="168" t="s">
        <v>322</v>
      </c>
      <c r="BB50" s="81" t="s">
        <v>387</v>
      </c>
      <c r="BC50" s="167">
        <v>291</v>
      </c>
      <c r="BD50" s="167">
        <v>5.11E-2</v>
      </c>
      <c r="BE50" s="81">
        <v>5694.69</v>
      </c>
      <c r="BF50" s="81" t="s">
        <v>422</v>
      </c>
      <c r="BG50" s="167">
        <v>2E-16</v>
      </c>
      <c r="BH50" s="81" t="s">
        <v>389</v>
      </c>
      <c r="BI50" s="175" t="s">
        <v>319</v>
      </c>
      <c r="BJ50" s="175" t="s">
        <v>320</v>
      </c>
      <c r="BK50" s="175" t="s">
        <v>374</v>
      </c>
      <c r="BL50" s="175" t="s">
        <v>323</v>
      </c>
      <c r="BM50" s="174">
        <f>BC97</f>
        <v>506</v>
      </c>
      <c r="BN50" s="175" t="s">
        <v>322</v>
      </c>
      <c r="BP50" s="81" t="s">
        <v>390</v>
      </c>
      <c r="BQ50" s="167">
        <v>285</v>
      </c>
      <c r="BR50" s="167">
        <v>0.32700000000000001</v>
      </c>
      <c r="BS50" s="81">
        <v>872.45</v>
      </c>
      <c r="BT50" s="81" t="s">
        <v>422</v>
      </c>
      <c r="BU50" s="167">
        <v>2E-16</v>
      </c>
      <c r="BV50" s="81" t="s">
        <v>389</v>
      </c>
      <c r="BX50" s="178" t="s">
        <v>319</v>
      </c>
      <c r="BY50" s="178" t="s">
        <v>320</v>
      </c>
      <c r="BZ50" s="178" t="s">
        <v>370</v>
      </c>
      <c r="CA50" s="178" t="s">
        <v>323</v>
      </c>
      <c r="CB50" s="177">
        <f>BQ94</f>
        <v>198</v>
      </c>
      <c r="CC50" s="178" t="s">
        <v>322</v>
      </c>
      <c r="CT50" s="258" t="s">
        <v>442</v>
      </c>
      <c r="CU50" s="258" t="s">
        <v>120</v>
      </c>
      <c r="CV50" s="259">
        <v>272</v>
      </c>
      <c r="CW50" s="259">
        <v>2.13</v>
      </c>
      <c r="CX50" s="258">
        <v>127.81</v>
      </c>
      <c r="CY50" s="258" t="s">
        <v>422</v>
      </c>
      <c r="CZ50" s="167">
        <v>2E-16</v>
      </c>
      <c r="DA50" s="81" t="s">
        <v>389</v>
      </c>
      <c r="DB50" s="260" t="s">
        <v>467</v>
      </c>
      <c r="DC50" s="266" t="s">
        <v>495</v>
      </c>
      <c r="DD50" s="261" t="s">
        <v>323</v>
      </c>
      <c r="DE50" s="262">
        <f t="shared" si="16"/>
        <v>0.17599999999999999</v>
      </c>
      <c r="DF50" s="260" t="s">
        <v>322</v>
      </c>
    </row>
    <row r="51" spans="2:110" ht="15" customHeight="1" thickTop="1" thickBot="1" x14ac:dyDescent="0.3">
      <c r="K51" s="81"/>
      <c r="L51" s="81"/>
      <c r="M51" s="81"/>
      <c r="P51" s="81"/>
      <c r="Q51" s="81"/>
      <c r="W51" s="226"/>
      <c r="X51" s="226"/>
      <c r="Y51" s="227"/>
      <c r="Z51" s="227"/>
      <c r="AA51" s="227"/>
      <c r="AB51" s="226"/>
      <c r="AC51" s="226"/>
      <c r="AD51" s="226"/>
      <c r="AE51" s="14"/>
      <c r="AF51" s="14"/>
      <c r="AG51" s="14"/>
      <c r="BB51" s="81" t="s">
        <v>390</v>
      </c>
      <c r="BC51" s="167">
        <v>289</v>
      </c>
      <c r="BD51" s="167">
        <v>0.17199999999999999</v>
      </c>
      <c r="BE51" s="81">
        <v>1674.64</v>
      </c>
      <c r="BF51" s="81" t="s">
        <v>422</v>
      </c>
      <c r="BG51" s="167">
        <v>2E-16</v>
      </c>
      <c r="BH51" s="81" t="s">
        <v>389</v>
      </c>
      <c r="BP51" s="81" t="s">
        <v>391</v>
      </c>
      <c r="BQ51" s="167">
        <v>291</v>
      </c>
      <c r="BR51" s="167">
        <v>0.14000000000000001</v>
      </c>
      <c r="BS51" s="81">
        <v>2086.0700000000002</v>
      </c>
      <c r="BT51" s="81" t="s">
        <v>422</v>
      </c>
      <c r="BU51" s="167">
        <v>2E-16</v>
      </c>
      <c r="BV51" s="81" t="s">
        <v>389</v>
      </c>
      <c r="BX51" s="178" t="s">
        <v>319</v>
      </c>
      <c r="BY51" s="178" t="s">
        <v>320</v>
      </c>
      <c r="BZ51" s="178" t="s">
        <v>372</v>
      </c>
      <c r="CA51" s="178" t="s">
        <v>323</v>
      </c>
      <c r="CB51" s="177">
        <f>BQ95</f>
        <v>3.48E-4</v>
      </c>
      <c r="CC51" s="178" t="s">
        <v>322</v>
      </c>
      <c r="CT51" s="258" t="s">
        <v>442</v>
      </c>
      <c r="CU51" s="258" t="s">
        <v>412</v>
      </c>
      <c r="CV51" s="259">
        <v>-5.48</v>
      </c>
      <c r="CW51" s="259">
        <v>2.1600000000000001E-2</v>
      </c>
      <c r="CX51" s="258">
        <v>-253.35</v>
      </c>
      <c r="CY51" s="258" t="s">
        <v>422</v>
      </c>
      <c r="CZ51" s="167">
        <v>2E-16</v>
      </c>
      <c r="DA51" s="81" t="s">
        <v>389</v>
      </c>
      <c r="DB51" s="260" t="s">
        <v>467</v>
      </c>
      <c r="DC51" s="266" t="s">
        <v>496</v>
      </c>
      <c r="DD51" s="261" t="s">
        <v>323</v>
      </c>
      <c r="DE51" s="262">
        <f t="shared" si="16"/>
        <v>0.13</v>
      </c>
      <c r="DF51" s="260" t="s">
        <v>322</v>
      </c>
    </row>
    <row r="52" spans="2:110" thickTop="1" thickBot="1" x14ac:dyDescent="0.3">
      <c r="W52" s="274" t="s">
        <v>517</v>
      </c>
      <c r="X52" s="275"/>
      <c r="Y52" s="276" t="s">
        <v>21</v>
      </c>
      <c r="Z52" s="277">
        <f>(1/(1/8+SUM(AC54:AC56)+1/8))</f>
        <v>1.8430034129692836</v>
      </c>
      <c r="AA52" s="275" t="s">
        <v>5</v>
      </c>
      <c r="AB52" s="275"/>
      <c r="AC52" s="275" t="s">
        <v>22</v>
      </c>
      <c r="AD52" s="278">
        <f>SUM(AD54:AD58)</f>
        <v>181020.00000000003</v>
      </c>
      <c r="BB52" s="81" t="s">
        <v>391</v>
      </c>
      <c r="BC52" s="167">
        <v>293</v>
      </c>
      <c r="BD52" s="167">
        <v>2.9399999999999999E-2</v>
      </c>
      <c r="BE52" s="81">
        <v>9948.2000000000007</v>
      </c>
      <c r="BF52" s="81" t="s">
        <v>422</v>
      </c>
      <c r="BG52" s="167">
        <v>2E-16</v>
      </c>
      <c r="BH52" s="81" t="s">
        <v>389</v>
      </c>
      <c r="BP52" s="81" t="s">
        <v>392</v>
      </c>
      <c r="BQ52" s="167">
        <v>293</v>
      </c>
      <c r="BR52" s="167">
        <v>0.214</v>
      </c>
      <c r="BS52" s="81">
        <v>1373.31</v>
      </c>
      <c r="BT52" s="81" t="s">
        <v>422</v>
      </c>
      <c r="BU52" s="167">
        <v>2E-16</v>
      </c>
      <c r="BV52" s="81" t="s">
        <v>389</v>
      </c>
      <c r="BX52" s="178" t="s">
        <v>319</v>
      </c>
      <c r="BY52" s="178" t="s">
        <v>320</v>
      </c>
      <c r="BZ52" s="178" t="s">
        <v>374</v>
      </c>
      <c r="CA52" s="178" t="s">
        <v>323</v>
      </c>
      <c r="CB52" s="177">
        <f>BQ96</f>
        <v>221</v>
      </c>
      <c r="CC52" s="178" t="s">
        <v>322</v>
      </c>
      <c r="CT52" s="258" t="s">
        <v>442</v>
      </c>
      <c r="CU52" s="258" t="s">
        <v>413</v>
      </c>
      <c r="CV52" s="259">
        <v>-6.05</v>
      </c>
      <c r="CW52" s="259">
        <v>2.3199999999999998E-2</v>
      </c>
      <c r="CX52" s="258">
        <v>-261.05</v>
      </c>
      <c r="CY52" s="258" t="s">
        <v>422</v>
      </c>
      <c r="CZ52" s="167">
        <v>2E-16</v>
      </c>
      <c r="DA52" s="81" t="s">
        <v>389</v>
      </c>
      <c r="DB52" s="260" t="s">
        <v>467</v>
      </c>
      <c r="DC52" s="266" t="s">
        <v>497</v>
      </c>
      <c r="DD52" s="261" t="s">
        <v>323</v>
      </c>
      <c r="DE52" s="262">
        <f t="shared" si="16"/>
        <v>0.253</v>
      </c>
      <c r="DF52" s="260" t="s">
        <v>322</v>
      </c>
    </row>
    <row r="53" spans="2:110" thickTop="1" thickBot="1" x14ac:dyDescent="0.3">
      <c r="W53" s="279"/>
      <c r="X53" s="234" t="s">
        <v>27</v>
      </c>
      <c r="Y53" s="234" t="s">
        <v>28</v>
      </c>
      <c r="Z53" s="234" t="s">
        <v>29</v>
      </c>
      <c r="AA53" s="234" t="s">
        <v>30</v>
      </c>
      <c r="AB53" s="234" t="s">
        <v>31</v>
      </c>
      <c r="AC53" s="234" t="s">
        <v>32</v>
      </c>
      <c r="AD53" s="280" t="s">
        <v>33</v>
      </c>
      <c r="BB53" s="81" t="s">
        <v>392</v>
      </c>
      <c r="BC53" s="167">
        <v>294</v>
      </c>
      <c r="BD53" s="167">
        <v>4.8099999999999997E-2</v>
      </c>
      <c r="BE53" s="81">
        <v>6117.24</v>
      </c>
      <c r="BF53" s="81" t="s">
        <v>422</v>
      </c>
      <c r="BG53" s="167">
        <v>2E-16</v>
      </c>
      <c r="BH53" s="81" t="s">
        <v>389</v>
      </c>
      <c r="BP53" s="81" t="s">
        <v>394</v>
      </c>
      <c r="BQ53" s="167">
        <v>0.46800000000000003</v>
      </c>
      <c r="BR53" s="167">
        <v>1.24E-2</v>
      </c>
      <c r="BS53" s="81">
        <v>37.76</v>
      </c>
      <c r="BT53" s="81" t="s">
        <v>422</v>
      </c>
      <c r="BU53" s="167">
        <v>2E-16</v>
      </c>
      <c r="BV53" s="81" t="s">
        <v>389</v>
      </c>
      <c r="CT53" s="258" t="s">
        <v>442</v>
      </c>
      <c r="CU53" s="258" t="s">
        <v>414</v>
      </c>
      <c r="CV53" s="259">
        <v>-7.01</v>
      </c>
      <c r="CW53" s="259">
        <v>3.3599999999999998E-2</v>
      </c>
      <c r="CX53" s="258">
        <v>-208.86</v>
      </c>
      <c r="CY53" s="258" t="s">
        <v>422</v>
      </c>
      <c r="CZ53" s="167">
        <v>2E-16</v>
      </c>
      <c r="DA53" s="81" t="s">
        <v>389</v>
      </c>
      <c r="DB53" s="260" t="s">
        <v>467</v>
      </c>
      <c r="DC53" s="266" t="s">
        <v>498</v>
      </c>
      <c r="DD53" s="261" t="s">
        <v>323</v>
      </c>
      <c r="DE53" s="262">
        <f t="shared" si="16"/>
        <v>4.2300000000000004E-12</v>
      </c>
      <c r="DF53" s="260" t="s">
        <v>322</v>
      </c>
    </row>
    <row r="54" spans="2:110" thickTop="1" thickBot="1" x14ac:dyDescent="0.3">
      <c r="W54" s="281"/>
      <c r="X54" s="189" t="s">
        <v>90</v>
      </c>
      <c r="Y54" s="189">
        <v>0.02</v>
      </c>
      <c r="Z54" s="189">
        <v>0.6</v>
      </c>
      <c r="AA54" s="189">
        <v>975</v>
      </c>
      <c r="AB54" s="189">
        <v>840</v>
      </c>
      <c r="AC54" s="236">
        <f>Y54/Z54</f>
        <v>3.3333333333333333E-2</v>
      </c>
      <c r="AD54" s="282">
        <f>Y54*AA54*AB54</f>
        <v>16380</v>
      </c>
      <c r="AN54" s="170" t="s">
        <v>376</v>
      </c>
      <c r="AO54" s="170">
        <f>SUM(AO42,AO4:AO7)</f>
        <v>1</v>
      </c>
      <c r="AP54" s="170"/>
      <c r="BB54" s="81" t="s">
        <v>394</v>
      </c>
      <c r="BC54" s="167">
        <v>0.44900000000000001</v>
      </c>
      <c r="BD54" s="167">
        <v>1.77E-2</v>
      </c>
      <c r="BE54" s="81">
        <v>25.4</v>
      </c>
      <c r="BF54" s="81" t="s">
        <v>422</v>
      </c>
      <c r="BG54" s="167">
        <v>2E-16</v>
      </c>
      <c r="BH54" s="81" t="s">
        <v>389</v>
      </c>
      <c r="BP54" s="81" t="s">
        <v>395</v>
      </c>
      <c r="BQ54" s="167">
        <v>0.14099999999999999</v>
      </c>
      <c r="BR54" s="167">
        <v>2.1800000000000001E-3</v>
      </c>
      <c r="BS54" s="81">
        <v>64.91</v>
      </c>
      <c r="BT54" s="81" t="s">
        <v>422</v>
      </c>
      <c r="BU54" s="167">
        <v>2E-16</v>
      </c>
      <c r="BV54" s="81" t="s">
        <v>389</v>
      </c>
      <c r="CT54" s="258" t="s">
        <v>442</v>
      </c>
      <c r="CU54" s="258" t="s">
        <v>415</v>
      </c>
      <c r="CV54" s="259">
        <v>-6.2</v>
      </c>
      <c r="CW54" s="259">
        <v>2.3300000000000001E-2</v>
      </c>
      <c r="CX54" s="258">
        <v>-266.51</v>
      </c>
      <c r="CY54" s="258" t="s">
        <v>422</v>
      </c>
      <c r="CZ54" s="167">
        <v>2E-16</v>
      </c>
      <c r="DA54" s="81" t="s">
        <v>389</v>
      </c>
      <c r="DB54" s="260" t="s">
        <v>467</v>
      </c>
      <c r="DC54" s="266" t="s">
        <v>499</v>
      </c>
      <c r="DD54" s="261" t="s">
        <v>323</v>
      </c>
      <c r="DE54" s="262">
        <f t="shared" si="16"/>
        <v>2.4899999999999999E-2</v>
      </c>
      <c r="DF54" s="260" t="s">
        <v>322</v>
      </c>
    </row>
    <row r="55" spans="2:110" thickTop="1" thickBot="1" x14ac:dyDescent="0.3">
      <c r="W55" s="281"/>
      <c r="X55" s="199" t="s">
        <v>275</v>
      </c>
      <c r="Y55" s="189">
        <v>0.14000000000000001</v>
      </c>
      <c r="Z55" s="189">
        <v>0.54</v>
      </c>
      <c r="AA55" s="189">
        <v>1400</v>
      </c>
      <c r="AB55" s="199">
        <v>840</v>
      </c>
      <c r="AC55" s="236">
        <f>Y55/Z55</f>
        <v>0.25925925925925924</v>
      </c>
      <c r="AD55" s="190">
        <f>Y55*AA55*AB55</f>
        <v>164640.00000000003</v>
      </c>
      <c r="AN55" s="170" t="s">
        <v>376</v>
      </c>
      <c r="AO55" s="170">
        <f>SUM(AO43,AO26:AO28)</f>
        <v>1</v>
      </c>
      <c r="AP55" s="170"/>
      <c r="BB55" s="81" t="s">
        <v>395</v>
      </c>
      <c r="BC55" s="167">
        <v>0.111</v>
      </c>
      <c r="BD55" s="167">
        <v>1.1199999999999999E-3</v>
      </c>
      <c r="BE55" s="81">
        <v>99.15</v>
      </c>
      <c r="BF55" s="81" t="s">
        <v>422</v>
      </c>
      <c r="BG55" s="167">
        <v>2E-16</v>
      </c>
      <c r="BH55" s="81" t="s">
        <v>389</v>
      </c>
      <c r="BP55" s="81" t="s">
        <v>396</v>
      </c>
      <c r="BQ55" s="167">
        <v>0.108</v>
      </c>
      <c r="BR55" s="167">
        <v>2.07E-2</v>
      </c>
      <c r="BS55" s="81">
        <v>5.23</v>
      </c>
      <c r="BT55" s="167">
        <v>1.8E-7</v>
      </c>
      <c r="BU55" s="81" t="s">
        <v>389</v>
      </c>
      <c r="CT55" s="258" t="s">
        <v>442</v>
      </c>
      <c r="CU55" s="258" t="s">
        <v>416</v>
      </c>
      <c r="CV55" s="259">
        <v>-6.69</v>
      </c>
      <c r="CW55" s="259">
        <v>2.6800000000000001E-2</v>
      </c>
      <c r="CX55" s="258">
        <v>-249.6</v>
      </c>
      <c r="CY55" s="258" t="s">
        <v>422</v>
      </c>
      <c r="CZ55" s="167">
        <v>2E-16</v>
      </c>
      <c r="DA55" s="81" t="s">
        <v>389</v>
      </c>
      <c r="DB55" s="260" t="s">
        <v>467</v>
      </c>
      <c r="DC55" s="266" t="s">
        <v>500</v>
      </c>
      <c r="DD55" s="261" t="s">
        <v>323</v>
      </c>
      <c r="DE55" s="262">
        <f t="shared" si="16"/>
        <v>0.114</v>
      </c>
      <c r="DF55" s="260" t="s">
        <v>322</v>
      </c>
    </row>
    <row r="56" spans="2:110" thickTop="1" thickBot="1" x14ac:dyDescent="0.3">
      <c r="W56" s="283"/>
      <c r="X56" s="284" t="s">
        <v>273</v>
      </c>
      <c r="Y56" s="285">
        <v>0</v>
      </c>
      <c r="Z56" s="285">
        <v>3.5999999999999997E-2</v>
      </c>
      <c r="AA56" s="285">
        <v>26</v>
      </c>
      <c r="AB56" s="285">
        <v>1470</v>
      </c>
      <c r="AC56" s="286">
        <f>Y56/Z56</f>
        <v>0</v>
      </c>
      <c r="AD56" s="287">
        <f>Y56*AA56*AB56</f>
        <v>0</v>
      </c>
      <c r="AN56" s="170" t="s">
        <v>377</v>
      </c>
      <c r="AO56" s="170">
        <f>SUM(AO46,AO14:AO17)</f>
        <v>0.99999999999999989</v>
      </c>
      <c r="AP56" s="170"/>
      <c r="BB56" s="81" t="s">
        <v>396</v>
      </c>
      <c r="BC56" s="167">
        <v>0.255</v>
      </c>
      <c r="BD56" s="167">
        <v>1.8100000000000002E-2</v>
      </c>
      <c r="BE56" s="81">
        <v>14.05</v>
      </c>
      <c r="BF56" s="81" t="s">
        <v>422</v>
      </c>
      <c r="BG56" s="167">
        <v>2E-16</v>
      </c>
      <c r="BH56" s="81" t="s">
        <v>389</v>
      </c>
      <c r="BP56" s="81" t="s">
        <v>397</v>
      </c>
      <c r="BQ56" s="167">
        <v>0.28299999999999997</v>
      </c>
      <c r="BR56" s="167">
        <v>6.1999999999999998E-3</v>
      </c>
      <c r="BS56" s="81">
        <v>45.61</v>
      </c>
      <c r="BT56" s="81" t="s">
        <v>422</v>
      </c>
      <c r="BU56" s="167">
        <v>2E-16</v>
      </c>
      <c r="BV56" s="81" t="s">
        <v>389</v>
      </c>
      <c r="CT56" s="258" t="s">
        <v>442</v>
      </c>
      <c r="CU56" s="258" t="s">
        <v>417</v>
      </c>
      <c r="CV56" s="259">
        <v>3.0799999999999998E-3</v>
      </c>
      <c r="CW56" s="259">
        <v>5.7800000000000002E-5</v>
      </c>
      <c r="CX56" s="258">
        <v>53.37</v>
      </c>
      <c r="CY56" s="258" t="s">
        <v>422</v>
      </c>
      <c r="CZ56" s="167">
        <v>2E-16</v>
      </c>
      <c r="DA56" s="81" t="s">
        <v>389</v>
      </c>
      <c r="DB56" s="260" t="s">
        <v>467</v>
      </c>
      <c r="DC56" s="266" t="s">
        <v>501</v>
      </c>
      <c r="DD56" s="261" t="s">
        <v>323</v>
      </c>
      <c r="DE56" s="262">
        <f t="shared" si="16"/>
        <v>0.52500000000000002</v>
      </c>
      <c r="DF56" s="260" t="s">
        <v>322</v>
      </c>
    </row>
    <row r="57" spans="2:110" thickTop="1" thickBot="1" x14ac:dyDescent="0.3">
      <c r="AN57" s="170" t="s">
        <v>377</v>
      </c>
      <c r="AO57" s="170">
        <f>SUM(AO47,AO33:AO35)</f>
        <v>1</v>
      </c>
      <c r="AP57" s="170"/>
      <c r="BB57" s="81" t="s">
        <v>397</v>
      </c>
      <c r="BC57" s="167">
        <v>0.19800000000000001</v>
      </c>
      <c r="BD57" s="167">
        <v>3.8500000000000001E-3</v>
      </c>
      <c r="BE57" s="81">
        <v>51.44</v>
      </c>
      <c r="BF57" s="81" t="s">
        <v>422</v>
      </c>
      <c r="BG57" s="167">
        <v>2E-16</v>
      </c>
      <c r="BH57" s="81" t="s">
        <v>389</v>
      </c>
      <c r="BP57" s="81" t="s">
        <v>308</v>
      </c>
      <c r="BQ57" s="167">
        <v>990000000</v>
      </c>
      <c r="BR57" s="167">
        <v>65000000</v>
      </c>
      <c r="BS57" s="81">
        <v>15.24</v>
      </c>
      <c r="BT57" s="81" t="s">
        <v>422</v>
      </c>
      <c r="BU57" s="167">
        <v>2E-16</v>
      </c>
      <c r="BV57" s="81" t="s">
        <v>389</v>
      </c>
      <c r="CT57" s="258" t="s">
        <v>442</v>
      </c>
      <c r="CU57" s="258" t="s">
        <v>418</v>
      </c>
      <c r="CV57" s="259">
        <v>116</v>
      </c>
      <c r="CW57" s="259">
        <v>0.83099999999999996</v>
      </c>
      <c r="CX57" s="258">
        <v>139.01</v>
      </c>
      <c r="CY57" s="258" t="s">
        <v>422</v>
      </c>
      <c r="CZ57" s="167">
        <v>2E-16</v>
      </c>
      <c r="DA57" s="81" t="s">
        <v>389</v>
      </c>
      <c r="DB57" s="260" t="s">
        <v>467</v>
      </c>
      <c r="DC57" s="266" t="s">
        <v>502</v>
      </c>
      <c r="DD57" s="261" t="s">
        <v>323</v>
      </c>
      <c r="DE57" s="262">
        <f t="shared" si="16"/>
        <v>1</v>
      </c>
      <c r="DF57" s="260" t="s">
        <v>322</v>
      </c>
    </row>
    <row r="58" spans="2:110" thickTop="1" thickBot="1" x14ac:dyDescent="0.3">
      <c r="BB58" s="81" t="s">
        <v>308</v>
      </c>
      <c r="BC58" s="167">
        <v>29000000</v>
      </c>
      <c r="BD58" s="167">
        <v>522000</v>
      </c>
      <c r="BE58" s="81">
        <v>55.58</v>
      </c>
      <c r="BF58" s="81" t="s">
        <v>422</v>
      </c>
      <c r="BG58" s="167">
        <v>2E-16</v>
      </c>
      <c r="BH58" s="81" t="s">
        <v>389</v>
      </c>
      <c r="BP58" s="81" t="s">
        <v>399</v>
      </c>
      <c r="BQ58" s="167">
        <v>752000</v>
      </c>
      <c r="BR58" s="167">
        <v>20000</v>
      </c>
      <c r="BS58" s="81">
        <v>37.6</v>
      </c>
      <c r="BT58" s="81" t="s">
        <v>422</v>
      </c>
      <c r="BU58" s="167">
        <v>2E-16</v>
      </c>
      <c r="BV58" s="81" t="s">
        <v>389</v>
      </c>
      <c r="CT58" s="258" t="s">
        <v>442</v>
      </c>
      <c r="CU58" s="258" t="s">
        <v>419</v>
      </c>
      <c r="CV58" s="259">
        <v>5410</v>
      </c>
      <c r="CW58" s="259">
        <v>722</v>
      </c>
      <c r="CX58" s="258">
        <v>7.5</v>
      </c>
      <c r="CY58" s="259">
        <v>7.4999999999999996E-14</v>
      </c>
      <c r="CZ58" s="81" t="s">
        <v>389</v>
      </c>
      <c r="DB58" s="260" t="s">
        <v>467</v>
      </c>
      <c r="DC58" s="266" t="s">
        <v>503</v>
      </c>
      <c r="DD58" s="261" t="s">
        <v>323</v>
      </c>
      <c r="DE58" s="262">
        <f t="shared" si="16"/>
        <v>0.309</v>
      </c>
      <c r="DF58" s="260" t="s">
        <v>322</v>
      </c>
    </row>
    <row r="59" spans="2:110" thickTop="1" thickBot="1" x14ac:dyDescent="0.3">
      <c r="BB59" s="81" t="s">
        <v>399</v>
      </c>
      <c r="BC59" s="167">
        <v>858000</v>
      </c>
      <c r="BD59" s="167">
        <v>4620</v>
      </c>
      <c r="BE59" s="81">
        <v>185.74</v>
      </c>
      <c r="BF59" s="81" t="s">
        <v>422</v>
      </c>
      <c r="BG59" s="167">
        <v>2E-16</v>
      </c>
      <c r="BH59" s="81" t="s">
        <v>389</v>
      </c>
      <c r="BP59" s="81" t="s">
        <v>301</v>
      </c>
      <c r="BQ59" s="167">
        <v>8650000</v>
      </c>
      <c r="BR59" s="167">
        <v>780000</v>
      </c>
      <c r="BS59" s="81">
        <v>11.09</v>
      </c>
      <c r="BT59" s="81" t="s">
        <v>422</v>
      </c>
      <c r="BU59" s="167">
        <v>2E-16</v>
      </c>
      <c r="BV59" s="81" t="s">
        <v>389</v>
      </c>
      <c r="CT59" s="258" t="s">
        <v>442</v>
      </c>
      <c r="CU59" s="258" t="s">
        <v>420</v>
      </c>
      <c r="CV59" s="259">
        <v>76.2</v>
      </c>
      <c r="CW59" s="259">
        <v>1.42</v>
      </c>
      <c r="CX59" s="258">
        <v>53.52</v>
      </c>
      <c r="CY59" s="258" t="s">
        <v>422</v>
      </c>
      <c r="CZ59" s="167">
        <v>2E-16</v>
      </c>
      <c r="DA59" s="81" t="s">
        <v>389</v>
      </c>
      <c r="DB59" s="260" t="s">
        <v>467</v>
      </c>
      <c r="DC59" s="266" t="s">
        <v>504</v>
      </c>
      <c r="DD59" s="261" t="s">
        <v>323</v>
      </c>
      <c r="DE59" s="262">
        <f t="shared" si="16"/>
        <v>0.25900000000000001</v>
      </c>
      <c r="DF59" s="260" t="s">
        <v>322</v>
      </c>
    </row>
    <row r="60" spans="2:110" thickTop="1" thickBot="1" x14ac:dyDescent="0.3">
      <c r="BB60" s="81" t="s">
        <v>301</v>
      </c>
      <c r="BC60" s="167">
        <v>2990000</v>
      </c>
      <c r="BD60" s="167">
        <v>49000</v>
      </c>
      <c r="BE60" s="81">
        <v>61.12</v>
      </c>
      <c r="BF60" s="81" t="s">
        <v>422</v>
      </c>
      <c r="BG60" s="167">
        <v>2E-16</v>
      </c>
      <c r="BH60" s="81" t="s">
        <v>389</v>
      </c>
      <c r="BP60" s="81" t="s">
        <v>303</v>
      </c>
      <c r="BQ60" s="167">
        <v>17100000</v>
      </c>
      <c r="BR60" s="167">
        <v>4790000</v>
      </c>
      <c r="BS60" s="81">
        <v>3.56</v>
      </c>
      <c r="BT60" s="81">
        <v>3.6999999999999999E-4</v>
      </c>
      <c r="BU60" s="81" t="s">
        <v>389</v>
      </c>
      <c r="DC60" s="266"/>
      <c r="DD60" s="261"/>
      <c r="DE60" s="262"/>
    </row>
    <row r="61" spans="2:110" thickTop="1" thickBot="1" x14ac:dyDescent="0.3">
      <c r="BB61" s="81" t="s">
        <v>303</v>
      </c>
      <c r="BC61" s="167">
        <v>5280000</v>
      </c>
      <c r="BD61" s="167">
        <v>21200</v>
      </c>
      <c r="BE61" s="81">
        <v>249</v>
      </c>
      <c r="BF61" s="81" t="s">
        <v>422</v>
      </c>
      <c r="BG61" s="167">
        <v>2E-16</v>
      </c>
      <c r="BH61" s="81" t="s">
        <v>389</v>
      </c>
      <c r="BP61" s="81" t="s">
        <v>400</v>
      </c>
      <c r="BQ61" s="167">
        <v>-20.100000000000001</v>
      </c>
      <c r="BR61" s="167">
        <v>467</v>
      </c>
      <c r="BS61" s="81">
        <v>-0.04</v>
      </c>
      <c r="BT61" s="81">
        <v>0.96562999999999999</v>
      </c>
      <c r="CT61" s="258" t="s">
        <v>442</v>
      </c>
      <c r="CU61" s="258" t="s">
        <v>433</v>
      </c>
      <c r="CV61" s="258" t="s">
        <v>460</v>
      </c>
      <c r="DB61" s="260" t="s">
        <v>467</v>
      </c>
      <c r="DC61" s="266" t="s">
        <v>344</v>
      </c>
      <c r="DD61" s="261" t="s">
        <v>323</v>
      </c>
      <c r="DE61" s="262">
        <f>CV85</f>
        <v>766000</v>
      </c>
      <c r="DF61" s="260" t="s">
        <v>322</v>
      </c>
    </row>
    <row r="62" spans="2:110" thickTop="1" thickBot="1" x14ac:dyDescent="0.3">
      <c r="BB62" s="81" t="s">
        <v>400</v>
      </c>
      <c r="BC62" s="167">
        <v>-24.7</v>
      </c>
      <c r="BD62" s="167">
        <v>0.50900000000000001</v>
      </c>
      <c r="BE62" s="81">
        <v>-48.59</v>
      </c>
      <c r="BF62" s="81" t="s">
        <v>422</v>
      </c>
      <c r="BG62" s="167">
        <v>2E-16</v>
      </c>
      <c r="BH62" s="81" t="s">
        <v>389</v>
      </c>
      <c r="BP62" s="81" t="s">
        <v>401</v>
      </c>
      <c r="BQ62" s="167">
        <v>-13.2</v>
      </c>
      <c r="BR62" s="167">
        <v>543</v>
      </c>
      <c r="BS62" s="81">
        <v>-0.02</v>
      </c>
      <c r="BT62" s="81">
        <v>0.98057000000000005</v>
      </c>
      <c r="CT62" s="258" t="s">
        <v>442</v>
      </c>
      <c r="CU62" s="258" t="s">
        <v>380</v>
      </c>
      <c r="DB62" s="260" t="s">
        <v>467</v>
      </c>
      <c r="DC62" s="266" t="s">
        <v>345</v>
      </c>
      <c r="DD62" s="261" t="s">
        <v>323</v>
      </c>
      <c r="DE62" s="262">
        <f>CV86</f>
        <v>8780000</v>
      </c>
      <c r="DF62" s="260" t="s">
        <v>322</v>
      </c>
    </row>
    <row r="63" spans="2:110" thickTop="1" thickBot="1" x14ac:dyDescent="0.3">
      <c r="BB63" s="81" t="s">
        <v>401</v>
      </c>
      <c r="BC63" s="167">
        <v>-11.8</v>
      </c>
      <c r="BD63" s="167">
        <v>10.6</v>
      </c>
      <c r="BE63" s="81">
        <v>-1.1200000000000001</v>
      </c>
      <c r="BF63" s="81">
        <v>0.26</v>
      </c>
      <c r="BP63" s="81" t="s">
        <v>402</v>
      </c>
      <c r="BQ63" s="167">
        <v>-13.4</v>
      </c>
      <c r="BR63" s="167">
        <v>316</v>
      </c>
      <c r="BS63" s="81">
        <v>-0.04</v>
      </c>
      <c r="BT63" s="81">
        <v>0.96606999999999998</v>
      </c>
      <c r="CT63" s="258" t="s">
        <v>442</v>
      </c>
      <c r="CU63" s="258" t="s">
        <v>381</v>
      </c>
      <c r="CV63" s="258" t="s">
        <v>382</v>
      </c>
      <c r="CW63" s="258" t="s">
        <v>383</v>
      </c>
      <c r="CX63" s="258" t="s">
        <v>384</v>
      </c>
      <c r="CY63" s="258" t="s">
        <v>385</v>
      </c>
      <c r="CZ63" s="81" t="s">
        <v>386</v>
      </c>
      <c r="DB63" s="260" t="s">
        <v>467</v>
      </c>
      <c r="DC63" s="266" t="s">
        <v>346</v>
      </c>
      <c r="DD63" s="261" t="s">
        <v>323</v>
      </c>
      <c r="DE63" s="262">
        <f>CV87</f>
        <v>15100000</v>
      </c>
      <c r="DF63" s="260" t="s">
        <v>322</v>
      </c>
    </row>
    <row r="64" spans="2:110" thickTop="1" thickBot="1" x14ac:dyDescent="0.3">
      <c r="BB64" s="81" t="s">
        <v>402</v>
      </c>
      <c r="BC64" s="167">
        <v>-18.3</v>
      </c>
      <c r="BD64" s="167">
        <v>2.2400000000000002</v>
      </c>
      <c r="BE64" s="81">
        <v>-8.19</v>
      </c>
      <c r="BF64" s="167">
        <v>4.4E-16</v>
      </c>
      <c r="BG64" s="81" t="s">
        <v>389</v>
      </c>
      <c r="BP64" s="81" t="s">
        <v>403</v>
      </c>
      <c r="BQ64" s="167">
        <v>-14.3</v>
      </c>
      <c r="BR64" s="167">
        <v>664</v>
      </c>
      <c r="BS64" s="81">
        <v>-0.02</v>
      </c>
      <c r="BT64" s="81">
        <v>0.98280999999999996</v>
      </c>
      <c r="CT64" s="258" t="s">
        <v>442</v>
      </c>
      <c r="CU64" s="258" t="s">
        <v>387</v>
      </c>
      <c r="CV64" s="259">
        <v>289</v>
      </c>
      <c r="CW64" s="259">
        <v>0.28199999999999997</v>
      </c>
      <c r="CX64" s="258">
        <v>1026.26</v>
      </c>
      <c r="CY64" s="258" t="s">
        <v>422</v>
      </c>
      <c r="CZ64" s="167">
        <v>2E-16</v>
      </c>
      <c r="DA64" s="81" t="s">
        <v>389</v>
      </c>
      <c r="DD64" s="261"/>
    </row>
    <row r="65" spans="54:110" thickTop="1" thickBot="1" x14ac:dyDescent="0.3">
      <c r="BB65" s="81" t="s">
        <v>403</v>
      </c>
      <c r="BC65" s="167">
        <v>-16.100000000000001</v>
      </c>
      <c r="BD65" s="167">
        <v>1.95</v>
      </c>
      <c r="BE65" s="81">
        <v>-8.25</v>
      </c>
      <c r="BF65" s="167">
        <v>2.2E-16</v>
      </c>
      <c r="BG65" s="81" t="s">
        <v>389</v>
      </c>
      <c r="BP65" s="81" t="s">
        <v>405</v>
      </c>
      <c r="BQ65" s="167">
        <v>0.23</v>
      </c>
      <c r="BR65" s="167">
        <v>2.3800000000000002E-3</v>
      </c>
      <c r="BS65" s="81">
        <v>96.68</v>
      </c>
      <c r="BT65" s="81" t="s">
        <v>422</v>
      </c>
      <c r="BU65" s="167">
        <v>2E-16</v>
      </c>
      <c r="BV65" s="81" t="s">
        <v>389</v>
      </c>
      <c r="CT65" s="258" t="s">
        <v>442</v>
      </c>
      <c r="CU65" s="258" t="s">
        <v>390</v>
      </c>
      <c r="CV65" s="259">
        <v>285</v>
      </c>
      <c r="CW65" s="259">
        <v>0.33100000000000002</v>
      </c>
      <c r="CX65" s="258">
        <v>860.44</v>
      </c>
      <c r="CY65" s="258" t="s">
        <v>422</v>
      </c>
      <c r="CZ65" s="167">
        <v>2E-16</v>
      </c>
      <c r="DA65" s="81" t="s">
        <v>389</v>
      </c>
      <c r="DB65" s="260" t="s">
        <v>467</v>
      </c>
      <c r="DC65" s="266" t="s">
        <v>347</v>
      </c>
      <c r="DD65" s="261" t="s">
        <v>323</v>
      </c>
      <c r="DE65" s="262">
        <f>CV92</f>
        <v>0.23100000000000001</v>
      </c>
      <c r="DF65" s="260" t="s">
        <v>322</v>
      </c>
    </row>
    <row r="66" spans="54:110" thickTop="1" thickBot="1" x14ac:dyDescent="0.3">
      <c r="BB66" s="81" t="s">
        <v>405</v>
      </c>
      <c r="BC66" s="167">
        <v>0.38</v>
      </c>
      <c r="BD66" s="167">
        <v>5.0499999999999998E-3</v>
      </c>
      <c r="BE66" s="81">
        <v>75.36</v>
      </c>
      <c r="BF66" s="81" t="s">
        <v>422</v>
      </c>
      <c r="BG66" s="167">
        <v>2E-16</v>
      </c>
      <c r="BH66" s="81" t="s">
        <v>389</v>
      </c>
      <c r="BP66" s="81" t="s">
        <v>406</v>
      </c>
      <c r="BQ66" s="167">
        <v>4.8599999999999997E-2</v>
      </c>
      <c r="BR66" s="167">
        <v>4.2499999999999998E-4</v>
      </c>
      <c r="BS66" s="81">
        <v>114.51</v>
      </c>
      <c r="BT66" s="81" t="s">
        <v>422</v>
      </c>
      <c r="BU66" s="167">
        <v>2E-16</v>
      </c>
      <c r="BV66" s="81" t="s">
        <v>389</v>
      </c>
      <c r="CT66" s="258" t="s">
        <v>442</v>
      </c>
      <c r="CU66" s="258" t="s">
        <v>391</v>
      </c>
      <c r="CV66" s="259">
        <v>291</v>
      </c>
      <c r="CW66" s="259">
        <v>0.13600000000000001</v>
      </c>
      <c r="CX66" s="258">
        <v>2140.7800000000002</v>
      </c>
      <c r="CY66" s="258" t="s">
        <v>422</v>
      </c>
      <c r="CZ66" s="167">
        <v>2E-16</v>
      </c>
      <c r="DA66" s="81" t="s">
        <v>389</v>
      </c>
      <c r="DB66" s="260" t="s">
        <v>467</v>
      </c>
      <c r="DC66" s="266" t="s">
        <v>348</v>
      </c>
      <c r="DD66" s="261" t="s">
        <v>323</v>
      </c>
      <c r="DE66" s="262">
        <f>CV93</f>
        <v>4.8500000000000001E-2</v>
      </c>
      <c r="DF66" s="260" t="s">
        <v>322</v>
      </c>
    </row>
    <row r="67" spans="54:110" thickTop="1" thickBot="1" x14ac:dyDescent="0.3">
      <c r="BB67" s="81" t="s">
        <v>406</v>
      </c>
      <c r="BC67" s="167">
        <v>7.2800000000000004E-2</v>
      </c>
      <c r="BD67" s="167">
        <v>4.1599999999999997E-4</v>
      </c>
      <c r="BE67" s="81">
        <v>175.16</v>
      </c>
      <c r="BF67" s="81" t="s">
        <v>422</v>
      </c>
      <c r="BG67" s="167">
        <v>2E-16</v>
      </c>
      <c r="BH67" s="81" t="s">
        <v>389</v>
      </c>
      <c r="BP67" s="81" t="s">
        <v>407</v>
      </c>
      <c r="BQ67" s="167">
        <v>0.63200000000000001</v>
      </c>
      <c r="BR67" s="167">
        <v>1.03E-2</v>
      </c>
      <c r="BS67" s="81">
        <v>61.45</v>
      </c>
      <c r="BT67" s="81" t="s">
        <v>422</v>
      </c>
      <c r="BU67" s="167">
        <v>2E-16</v>
      </c>
      <c r="BV67" s="81" t="s">
        <v>389</v>
      </c>
      <c r="CT67" s="258" t="s">
        <v>442</v>
      </c>
      <c r="CU67" s="258" t="s">
        <v>392</v>
      </c>
      <c r="CV67" s="259">
        <v>293</v>
      </c>
      <c r="CW67" s="259">
        <v>0.21199999999999999</v>
      </c>
      <c r="CX67" s="258">
        <v>1381.05</v>
      </c>
      <c r="CY67" s="258" t="s">
        <v>422</v>
      </c>
      <c r="CZ67" s="167">
        <v>2E-16</v>
      </c>
      <c r="DA67" s="81" t="s">
        <v>389</v>
      </c>
      <c r="DB67" s="260" t="s">
        <v>467</v>
      </c>
      <c r="DC67" s="266" t="s">
        <v>350</v>
      </c>
      <c r="DD67" s="261" t="s">
        <v>323</v>
      </c>
      <c r="DE67" s="262">
        <f>CV94</f>
        <v>0.64</v>
      </c>
      <c r="DF67" s="260" t="s">
        <v>322</v>
      </c>
    </row>
    <row r="68" spans="54:110" thickTop="1" thickBot="1" x14ac:dyDescent="0.3">
      <c r="BB68" s="81" t="s">
        <v>407</v>
      </c>
      <c r="BC68" s="167">
        <v>0.41799999999999998</v>
      </c>
      <c r="BD68" s="167">
        <v>5.2300000000000003E-3</v>
      </c>
      <c r="BE68" s="81">
        <v>79.87</v>
      </c>
      <c r="BF68" s="81" t="s">
        <v>422</v>
      </c>
      <c r="BG68" s="167">
        <v>2E-16</v>
      </c>
      <c r="BH68" s="81" t="s">
        <v>389</v>
      </c>
      <c r="BP68" s="81" t="s">
        <v>408</v>
      </c>
      <c r="BQ68" s="167">
        <v>7.3200000000000001E-2</v>
      </c>
      <c r="BR68" s="167">
        <v>1.1100000000000001E-3</v>
      </c>
      <c r="BS68" s="81">
        <v>65.86</v>
      </c>
      <c r="BT68" s="81" t="s">
        <v>422</v>
      </c>
      <c r="BU68" s="167">
        <v>2E-16</v>
      </c>
      <c r="BV68" s="81" t="s">
        <v>389</v>
      </c>
      <c r="CT68" s="258" t="s">
        <v>442</v>
      </c>
      <c r="CU68" s="258" t="s">
        <v>444</v>
      </c>
      <c r="CV68" s="259">
        <v>0.20200000000000001</v>
      </c>
      <c r="CW68" s="259">
        <v>7.9100000000000004E-2</v>
      </c>
      <c r="CX68" s="258">
        <v>2.56</v>
      </c>
      <c r="CY68" s="258">
        <v>1.0619999999999999E-2</v>
      </c>
      <c r="CZ68" s="81" t="s">
        <v>434</v>
      </c>
      <c r="DB68" s="260" t="s">
        <v>467</v>
      </c>
      <c r="DC68" s="266" t="s">
        <v>429</v>
      </c>
      <c r="DD68" s="261" t="s">
        <v>323</v>
      </c>
      <c r="DE68" s="262">
        <f>CV95</f>
        <v>7.3200000000000001E-2</v>
      </c>
      <c r="DF68" s="260" t="s">
        <v>322</v>
      </c>
    </row>
    <row r="69" spans="54:110" thickTop="1" thickBot="1" x14ac:dyDescent="0.3">
      <c r="BB69" s="81" t="s">
        <v>408</v>
      </c>
      <c r="BC69" s="167">
        <v>0.126</v>
      </c>
      <c r="BD69" s="167">
        <v>1.1999999999999999E-3</v>
      </c>
      <c r="BE69" s="81">
        <v>104.99</v>
      </c>
      <c r="BF69" s="81" t="s">
        <v>422</v>
      </c>
      <c r="BG69" s="167">
        <v>2E-16</v>
      </c>
      <c r="BH69" s="81" t="s">
        <v>389</v>
      </c>
      <c r="BP69" s="81" t="s">
        <v>410</v>
      </c>
      <c r="BQ69" s="167">
        <v>219</v>
      </c>
      <c r="BR69" s="167">
        <v>4.1900000000000004</v>
      </c>
      <c r="BS69" s="81">
        <v>52.26</v>
      </c>
      <c r="BT69" s="81" t="s">
        <v>422</v>
      </c>
      <c r="BU69" s="167">
        <v>2E-16</v>
      </c>
      <c r="BV69" s="81" t="s">
        <v>389</v>
      </c>
      <c r="CT69" s="258" t="s">
        <v>442</v>
      </c>
      <c r="CU69" s="258" t="s">
        <v>341</v>
      </c>
      <c r="CV69" s="259">
        <v>6.2900000000000003E-7</v>
      </c>
      <c r="CW69" s="259">
        <v>4.5200000000000001E-5</v>
      </c>
      <c r="CX69" s="258">
        <v>0.01</v>
      </c>
      <c r="CY69" s="258">
        <v>0.98889000000000005</v>
      </c>
      <c r="DD69" s="261"/>
    </row>
    <row r="70" spans="54:110" thickTop="1" thickBot="1" x14ac:dyDescent="0.3">
      <c r="BB70" s="81" t="s">
        <v>410</v>
      </c>
      <c r="BC70" s="167">
        <v>568</v>
      </c>
      <c r="BD70" s="167">
        <v>16.100000000000001</v>
      </c>
      <c r="BE70" s="81">
        <v>35.270000000000003</v>
      </c>
      <c r="BF70" s="81" t="s">
        <v>422</v>
      </c>
      <c r="BG70" s="167">
        <v>2E-16</v>
      </c>
      <c r="BH70" s="81" t="s">
        <v>389</v>
      </c>
      <c r="BP70" s="81" t="s">
        <v>295</v>
      </c>
      <c r="BQ70" s="167">
        <v>85.9</v>
      </c>
      <c r="BR70" s="167">
        <v>0.65300000000000002</v>
      </c>
      <c r="BS70" s="81">
        <v>131.52000000000001</v>
      </c>
      <c r="BT70" s="81" t="s">
        <v>422</v>
      </c>
      <c r="BU70" s="167">
        <v>2E-16</v>
      </c>
      <c r="BV70" s="81" t="s">
        <v>389</v>
      </c>
      <c r="CT70" s="258" t="s">
        <v>442</v>
      </c>
      <c r="CU70" s="258" t="s">
        <v>445</v>
      </c>
      <c r="CV70" s="259">
        <v>0.77700000000000002</v>
      </c>
      <c r="CW70" s="259">
        <v>4.0300000000000002E-2</v>
      </c>
      <c r="CX70" s="258">
        <v>19.27</v>
      </c>
      <c r="CY70" s="258" t="s">
        <v>422</v>
      </c>
      <c r="CZ70" s="167">
        <v>2E-16</v>
      </c>
      <c r="DA70" s="81" t="s">
        <v>389</v>
      </c>
      <c r="DB70" s="260" t="s">
        <v>467</v>
      </c>
      <c r="DC70" s="266" t="s">
        <v>352</v>
      </c>
      <c r="DD70" s="261" t="s">
        <v>323</v>
      </c>
      <c r="DE70" s="262">
        <f>CV96</f>
        <v>218</v>
      </c>
      <c r="DF70" s="260" t="s">
        <v>322</v>
      </c>
    </row>
    <row r="71" spans="54:110" thickTop="1" thickBot="1" x14ac:dyDescent="0.3">
      <c r="BB71" s="81" t="s">
        <v>295</v>
      </c>
      <c r="BC71" s="167">
        <v>238</v>
      </c>
      <c r="BD71" s="167">
        <v>1.01</v>
      </c>
      <c r="BE71" s="81">
        <v>236.64</v>
      </c>
      <c r="BF71" s="81" t="s">
        <v>422</v>
      </c>
      <c r="BG71" s="167">
        <v>2E-16</v>
      </c>
      <c r="BH71" s="81" t="s">
        <v>389</v>
      </c>
      <c r="BP71" s="81" t="s">
        <v>120</v>
      </c>
      <c r="BQ71" s="167">
        <v>49.4</v>
      </c>
      <c r="BR71" s="167">
        <v>1.8</v>
      </c>
      <c r="BS71" s="81">
        <v>27.51</v>
      </c>
      <c r="BT71" s="81" t="s">
        <v>422</v>
      </c>
      <c r="BU71" s="167">
        <v>2E-16</v>
      </c>
      <c r="BV71" s="81" t="s">
        <v>389</v>
      </c>
      <c r="CT71" s="258" t="s">
        <v>442</v>
      </c>
      <c r="CU71" s="258" t="s">
        <v>446</v>
      </c>
      <c r="CV71" s="259">
        <v>0.65400000000000003</v>
      </c>
      <c r="CW71" s="259">
        <v>6.2899999999999998E-2</v>
      </c>
      <c r="CX71" s="258">
        <v>10.39</v>
      </c>
      <c r="CY71" s="258" t="s">
        <v>422</v>
      </c>
      <c r="CZ71" s="167">
        <v>2E-16</v>
      </c>
      <c r="DA71" s="81" t="s">
        <v>389</v>
      </c>
      <c r="DB71" s="260" t="s">
        <v>467</v>
      </c>
      <c r="DC71" s="266" t="s">
        <v>354</v>
      </c>
      <c r="DD71" s="261" t="s">
        <v>323</v>
      </c>
      <c r="DE71" s="262">
        <f>CV97</f>
        <v>86.2</v>
      </c>
      <c r="DF71" s="260" t="s">
        <v>322</v>
      </c>
    </row>
    <row r="72" spans="54:110" thickTop="1" thickBot="1" x14ac:dyDescent="0.3">
      <c r="BB72" s="81" t="s">
        <v>120</v>
      </c>
      <c r="BC72" s="167">
        <v>58</v>
      </c>
      <c r="BD72" s="167">
        <v>0.107</v>
      </c>
      <c r="BE72" s="81">
        <v>543.78</v>
      </c>
      <c r="BF72" s="81" t="s">
        <v>422</v>
      </c>
      <c r="BG72" s="167">
        <v>2E-16</v>
      </c>
      <c r="BH72" s="81" t="s">
        <v>389</v>
      </c>
      <c r="BP72" s="81" t="s">
        <v>412</v>
      </c>
      <c r="BQ72" s="167">
        <v>-4.6100000000000003</v>
      </c>
      <c r="BR72" s="167">
        <v>2.1399999999999999E-2</v>
      </c>
      <c r="BS72" s="81">
        <v>-215.25</v>
      </c>
      <c r="BT72" s="81" t="s">
        <v>422</v>
      </c>
      <c r="BU72" s="167">
        <v>2E-16</v>
      </c>
      <c r="BV72" s="81" t="s">
        <v>389</v>
      </c>
      <c r="CT72" s="258" t="s">
        <v>442</v>
      </c>
      <c r="CU72" s="258" t="s">
        <v>447</v>
      </c>
      <c r="CV72" s="259">
        <v>0.23499999999999999</v>
      </c>
      <c r="CW72" s="259">
        <v>1.24E-2</v>
      </c>
      <c r="CX72" s="258">
        <v>18.96</v>
      </c>
      <c r="CY72" s="258" t="s">
        <v>422</v>
      </c>
      <c r="CZ72" s="167">
        <v>2E-16</v>
      </c>
      <c r="DA72" s="81" t="s">
        <v>389</v>
      </c>
      <c r="DB72" s="260" t="s">
        <v>467</v>
      </c>
      <c r="DC72" s="266" t="s">
        <v>355</v>
      </c>
      <c r="DD72" s="261" t="s">
        <v>323</v>
      </c>
      <c r="DE72" s="262">
        <f>CV98</f>
        <v>51.1</v>
      </c>
      <c r="DF72" s="260" t="s">
        <v>322</v>
      </c>
    </row>
    <row r="73" spans="54:110" thickTop="1" thickBot="1" x14ac:dyDescent="0.3">
      <c r="BB73" s="81" t="s">
        <v>412</v>
      </c>
      <c r="BC73" s="167">
        <v>-15.3</v>
      </c>
      <c r="BD73" s="167">
        <v>0.30099999999999999</v>
      </c>
      <c r="BE73" s="81">
        <v>-50.74</v>
      </c>
      <c r="BF73" s="81" t="s">
        <v>422</v>
      </c>
      <c r="BG73" s="167">
        <v>2E-16</v>
      </c>
      <c r="BH73" s="81" t="s">
        <v>389</v>
      </c>
      <c r="BP73" s="81" t="s">
        <v>413</v>
      </c>
      <c r="BQ73" s="167">
        <v>-4.8499999999999996</v>
      </c>
      <c r="BR73" s="167">
        <v>2.2599999999999999E-2</v>
      </c>
      <c r="BS73" s="81">
        <v>-214.32</v>
      </c>
      <c r="BT73" s="81" t="s">
        <v>422</v>
      </c>
      <c r="BU73" s="167">
        <v>2E-16</v>
      </c>
      <c r="BV73" s="81" t="s">
        <v>389</v>
      </c>
      <c r="CT73" s="258" t="s">
        <v>442</v>
      </c>
      <c r="CU73" s="258" t="s">
        <v>342</v>
      </c>
      <c r="CV73" s="259">
        <v>0.309</v>
      </c>
      <c r="CW73" s="259">
        <v>4.1300000000000003E-2</v>
      </c>
      <c r="CX73" s="258">
        <v>7.48</v>
      </c>
      <c r="CY73" s="259">
        <v>9.1000000000000004E-14</v>
      </c>
      <c r="CZ73" s="81" t="s">
        <v>389</v>
      </c>
      <c r="DB73" s="260" t="s">
        <v>467</v>
      </c>
      <c r="DC73" s="266" t="s">
        <v>357</v>
      </c>
      <c r="DD73" s="261" t="s">
        <v>323</v>
      </c>
      <c r="DE73" s="262">
        <f>1/CV103</f>
        <v>353.35689045936397</v>
      </c>
      <c r="DF73" s="260" t="s">
        <v>322</v>
      </c>
    </row>
    <row r="74" spans="54:110" thickTop="1" thickBot="1" x14ac:dyDescent="0.3">
      <c r="BB74" s="81" t="s">
        <v>413</v>
      </c>
      <c r="BC74" s="167">
        <v>-5.4</v>
      </c>
      <c r="BD74" s="167">
        <v>2.6700000000000002E-2</v>
      </c>
      <c r="BE74" s="81">
        <v>-202.07</v>
      </c>
      <c r="BF74" s="81" t="s">
        <v>422</v>
      </c>
      <c r="BG74" s="167">
        <v>2E-16</v>
      </c>
      <c r="BH74" s="81" t="s">
        <v>389</v>
      </c>
      <c r="BP74" s="81" t="s">
        <v>414</v>
      </c>
      <c r="BQ74" s="167">
        <v>-5.68</v>
      </c>
      <c r="BR74" s="167">
        <v>2.2200000000000001E-2</v>
      </c>
      <c r="BS74" s="81">
        <v>-255.8</v>
      </c>
      <c r="BT74" s="81" t="s">
        <v>422</v>
      </c>
      <c r="BU74" s="167">
        <v>2E-16</v>
      </c>
      <c r="BV74" s="81" t="s">
        <v>389</v>
      </c>
      <c r="CT74" s="258" t="s">
        <v>442</v>
      </c>
      <c r="CU74" s="258" t="s">
        <v>448</v>
      </c>
      <c r="CV74" s="259">
        <v>0.17599999999999999</v>
      </c>
      <c r="CW74" s="259">
        <v>7.1799999999999998E-3</v>
      </c>
      <c r="CX74" s="258">
        <v>24.43</v>
      </c>
      <c r="CY74" s="258" t="s">
        <v>422</v>
      </c>
      <c r="CZ74" s="167">
        <v>2E-16</v>
      </c>
      <c r="DA74" s="81" t="s">
        <v>389</v>
      </c>
      <c r="DD74" s="261"/>
    </row>
    <row r="75" spans="54:110" thickTop="1" thickBot="1" x14ac:dyDescent="0.3">
      <c r="BB75" s="81" t="s">
        <v>414</v>
      </c>
      <c r="BC75" s="167">
        <v>-7.38</v>
      </c>
      <c r="BD75" s="167">
        <v>2.1499999999999998E-2</v>
      </c>
      <c r="BE75" s="81">
        <v>-343.38</v>
      </c>
      <c r="BF75" s="81" t="s">
        <v>422</v>
      </c>
      <c r="BG75" s="167">
        <v>2E-16</v>
      </c>
      <c r="BH75" s="81" t="s">
        <v>389</v>
      </c>
      <c r="BP75" s="81" t="s">
        <v>415</v>
      </c>
      <c r="BQ75" s="167">
        <v>-5.31</v>
      </c>
      <c r="BR75" s="167">
        <v>2.2599999999999999E-2</v>
      </c>
      <c r="BS75" s="81">
        <v>-234.52</v>
      </c>
      <c r="BT75" s="81" t="s">
        <v>422</v>
      </c>
      <c r="BU75" s="167">
        <v>2E-16</v>
      </c>
      <c r="BV75" s="81" t="s">
        <v>389</v>
      </c>
      <c r="CT75" s="258" t="s">
        <v>442</v>
      </c>
      <c r="CU75" s="258" t="s">
        <v>449</v>
      </c>
      <c r="CV75" s="259">
        <v>0.13</v>
      </c>
      <c r="CW75" s="259">
        <v>1.12E-2</v>
      </c>
      <c r="CX75" s="258">
        <v>11.62</v>
      </c>
      <c r="CY75" s="258" t="s">
        <v>422</v>
      </c>
      <c r="CZ75" s="167">
        <v>2E-16</v>
      </c>
      <c r="DA75" s="81" t="s">
        <v>389</v>
      </c>
      <c r="DB75" s="260" t="s">
        <v>467</v>
      </c>
      <c r="DC75" s="266" t="s">
        <v>424</v>
      </c>
      <c r="DD75" s="261" t="s">
        <v>323</v>
      </c>
      <c r="DE75" s="262">
        <f>CV116</f>
        <v>19200000</v>
      </c>
      <c r="DF75" s="260" t="s">
        <v>322</v>
      </c>
    </row>
    <row r="76" spans="54:110" thickTop="1" thickBot="1" x14ac:dyDescent="0.3">
      <c r="BB76" s="81" t="s">
        <v>415</v>
      </c>
      <c r="BC76" s="167">
        <v>-6.87</v>
      </c>
      <c r="BD76" s="167">
        <v>1.9699999999999999E-2</v>
      </c>
      <c r="BE76" s="81">
        <v>-347.91</v>
      </c>
      <c r="BF76" s="81" t="s">
        <v>422</v>
      </c>
      <c r="BG76" s="167">
        <v>2E-16</v>
      </c>
      <c r="BH76" s="81" t="s">
        <v>389</v>
      </c>
      <c r="BP76" s="81" t="s">
        <v>417</v>
      </c>
      <c r="BQ76" s="167">
        <v>2.8500000000000001E-3</v>
      </c>
      <c r="BR76" s="167">
        <v>7.6799999999999997E-5</v>
      </c>
      <c r="BS76" s="81">
        <v>37.07</v>
      </c>
      <c r="BT76" s="81" t="s">
        <v>422</v>
      </c>
      <c r="BU76" s="167">
        <v>2E-16</v>
      </c>
      <c r="BV76" s="81" t="s">
        <v>389</v>
      </c>
      <c r="CT76" s="258" t="s">
        <v>442</v>
      </c>
      <c r="CU76" s="258" t="s">
        <v>450</v>
      </c>
      <c r="CV76" s="259">
        <v>0.253</v>
      </c>
      <c r="CW76" s="259">
        <v>0.158</v>
      </c>
      <c r="CX76" s="258">
        <v>1.6</v>
      </c>
      <c r="CY76" s="258">
        <v>0.1087</v>
      </c>
      <c r="DB76" s="260" t="s">
        <v>467</v>
      </c>
      <c r="DC76" s="266" t="s">
        <v>364</v>
      </c>
      <c r="DD76" s="261" t="s">
        <v>323</v>
      </c>
      <c r="DE76" s="262">
        <f>CV117</f>
        <v>65100000</v>
      </c>
      <c r="DF76" s="260" t="s">
        <v>322</v>
      </c>
    </row>
    <row r="77" spans="54:110" thickTop="1" thickBot="1" x14ac:dyDescent="0.3">
      <c r="BB77" s="81" t="s">
        <v>417</v>
      </c>
      <c r="BC77" s="167">
        <v>4.64E-3</v>
      </c>
      <c r="BD77" s="167">
        <v>2.4600000000000002E-5</v>
      </c>
      <c r="BE77" s="81">
        <v>188.79</v>
      </c>
      <c r="BF77" s="81" t="s">
        <v>422</v>
      </c>
      <c r="BG77" s="167">
        <v>2E-16</v>
      </c>
      <c r="BH77" s="81" t="s">
        <v>389</v>
      </c>
      <c r="BP77" s="81" t="s">
        <v>418</v>
      </c>
      <c r="BQ77" s="167">
        <v>170</v>
      </c>
      <c r="BR77" s="167">
        <v>1.77</v>
      </c>
      <c r="BS77" s="81">
        <v>96.07</v>
      </c>
      <c r="BT77" s="81" t="s">
        <v>422</v>
      </c>
      <c r="BU77" s="167">
        <v>2E-16</v>
      </c>
      <c r="BV77" s="81" t="s">
        <v>389</v>
      </c>
      <c r="CT77" s="258" t="s">
        <v>442</v>
      </c>
      <c r="CU77" s="258" t="s">
        <v>343</v>
      </c>
      <c r="CV77" s="259">
        <v>4.2300000000000004E-12</v>
      </c>
      <c r="CW77" s="259">
        <v>4.0999999999999998E-10</v>
      </c>
      <c r="CX77" s="258">
        <v>0.01</v>
      </c>
      <c r="CY77" s="258">
        <v>0.99177999999999999</v>
      </c>
      <c r="DB77" s="260" t="s">
        <v>467</v>
      </c>
      <c r="DC77" s="266" t="s">
        <v>370</v>
      </c>
      <c r="DD77" s="261" t="s">
        <v>323</v>
      </c>
      <c r="DE77" s="262">
        <f>CV122</f>
        <v>198</v>
      </c>
      <c r="DF77" s="260" t="s">
        <v>322</v>
      </c>
    </row>
    <row r="78" spans="54:110" thickTop="1" thickBot="1" x14ac:dyDescent="0.3">
      <c r="BB78" s="81" t="s">
        <v>418</v>
      </c>
      <c r="BC78" s="167">
        <v>492</v>
      </c>
      <c r="BD78" s="167">
        <v>2.67</v>
      </c>
      <c r="BE78" s="81">
        <v>184.53</v>
      </c>
      <c r="BF78" s="81" t="s">
        <v>422</v>
      </c>
      <c r="BG78" s="167">
        <v>2E-16</v>
      </c>
      <c r="BH78" s="81" t="s">
        <v>389</v>
      </c>
      <c r="BP78" s="81" t="s">
        <v>419</v>
      </c>
      <c r="BQ78" s="167">
        <v>1380</v>
      </c>
      <c r="BR78" s="167">
        <v>946</v>
      </c>
      <c r="BS78" s="81">
        <v>1.46</v>
      </c>
      <c r="BT78" s="81">
        <v>0.14507999999999999</v>
      </c>
      <c r="CT78" s="258" t="s">
        <v>442</v>
      </c>
      <c r="CU78" s="258" t="s">
        <v>451</v>
      </c>
      <c r="CV78" s="259">
        <v>2.4899999999999999E-2</v>
      </c>
      <c r="CW78" s="259">
        <v>8.9399999999999993E-2</v>
      </c>
      <c r="CX78" s="258">
        <v>0.28000000000000003</v>
      </c>
      <c r="CY78" s="258">
        <v>0.78047</v>
      </c>
      <c r="DB78" s="260" t="s">
        <v>467</v>
      </c>
      <c r="DC78" s="266" t="s">
        <v>372</v>
      </c>
      <c r="DD78" s="261" t="s">
        <v>323</v>
      </c>
      <c r="DE78" s="262">
        <f>CV123</f>
        <v>3.48E-4</v>
      </c>
      <c r="DF78" s="260" t="s">
        <v>322</v>
      </c>
    </row>
    <row r="79" spans="54:110" thickTop="1" thickBot="1" x14ac:dyDescent="0.3">
      <c r="BB79" s="81" t="s">
        <v>419</v>
      </c>
      <c r="BC79" s="167">
        <v>210</v>
      </c>
      <c r="BD79" s="167">
        <v>7.91</v>
      </c>
      <c r="BE79" s="81">
        <v>26.58</v>
      </c>
      <c r="BF79" s="81" t="s">
        <v>422</v>
      </c>
      <c r="BG79" s="167">
        <v>2E-16</v>
      </c>
      <c r="BH79" s="81" t="s">
        <v>389</v>
      </c>
      <c r="CT79" s="258" t="s">
        <v>442</v>
      </c>
      <c r="CU79" s="258" t="s">
        <v>452</v>
      </c>
      <c r="CV79" s="259">
        <v>0.114</v>
      </c>
      <c r="CW79" s="259">
        <v>0.14199999999999999</v>
      </c>
      <c r="CX79" s="258">
        <v>0.8</v>
      </c>
      <c r="CY79" s="258">
        <v>0.42087999999999998</v>
      </c>
      <c r="DB79" s="260" t="s">
        <v>467</v>
      </c>
      <c r="DC79" s="266" t="s">
        <v>374</v>
      </c>
      <c r="DD79" s="261" t="s">
        <v>323</v>
      </c>
      <c r="DE79" s="262">
        <f>CV124</f>
        <v>221</v>
      </c>
      <c r="DF79" s="260" t="s">
        <v>322</v>
      </c>
    </row>
    <row r="80" spans="54:110" thickTop="1" thickBot="1" x14ac:dyDescent="0.3">
      <c r="BP80" s="81" t="s">
        <v>433</v>
      </c>
      <c r="BQ80" s="81" t="s">
        <v>435</v>
      </c>
      <c r="CT80" s="258" t="s">
        <v>442</v>
      </c>
      <c r="CU80" s="258" t="s">
        <v>453</v>
      </c>
      <c r="CV80" s="259">
        <v>0.52500000000000002</v>
      </c>
      <c r="CW80" s="259">
        <v>3.5099999999999999E-2</v>
      </c>
      <c r="CX80" s="258">
        <v>14.97</v>
      </c>
      <c r="CY80" s="258" t="s">
        <v>422</v>
      </c>
      <c r="CZ80" s="167">
        <v>2E-16</v>
      </c>
      <c r="DA80" s="81" t="s">
        <v>389</v>
      </c>
    </row>
    <row r="81" spans="54:105" thickTop="1" thickBot="1" x14ac:dyDescent="0.3">
      <c r="BP81" s="81" t="s">
        <v>380</v>
      </c>
      <c r="CT81" s="258" t="s">
        <v>442</v>
      </c>
      <c r="CU81" s="258" t="s">
        <v>454</v>
      </c>
      <c r="CV81" s="259">
        <v>1</v>
      </c>
      <c r="CW81" s="259">
        <v>0.114</v>
      </c>
      <c r="CX81" s="258">
        <v>8.81</v>
      </c>
      <c r="CY81" s="258" t="s">
        <v>422</v>
      </c>
      <c r="CZ81" s="167">
        <v>2E-16</v>
      </c>
      <c r="DA81" s="81" t="s">
        <v>389</v>
      </c>
    </row>
    <row r="82" spans="54:105" thickTop="1" thickBot="1" x14ac:dyDescent="0.3">
      <c r="BC82" s="81" t="s">
        <v>431</v>
      </c>
      <c r="BP82" s="81" t="s">
        <v>381</v>
      </c>
      <c r="BQ82" s="81" t="s">
        <v>382</v>
      </c>
      <c r="BR82" s="81" t="s">
        <v>383</v>
      </c>
      <c r="BS82" s="81" t="s">
        <v>384</v>
      </c>
      <c r="BT82" s="81" t="s">
        <v>385</v>
      </c>
      <c r="BU82" s="81" t="s">
        <v>386</v>
      </c>
      <c r="CT82" s="258" t="s">
        <v>442</v>
      </c>
      <c r="CU82" s="258" t="s">
        <v>455</v>
      </c>
      <c r="CV82" s="259">
        <v>0.309</v>
      </c>
      <c r="CW82" s="259">
        <v>1.9800000000000002E-2</v>
      </c>
      <c r="CX82" s="258">
        <v>15.65</v>
      </c>
      <c r="CY82" s="258" t="s">
        <v>422</v>
      </c>
      <c r="CZ82" s="167">
        <v>2E-16</v>
      </c>
      <c r="DA82" s="81" t="s">
        <v>389</v>
      </c>
    </row>
    <row r="83" spans="54:105" thickTop="1" thickBot="1" x14ac:dyDescent="0.3">
      <c r="BC83" s="167">
        <v>297</v>
      </c>
      <c r="BD83" s="167">
        <v>8.0100000000000005E-2</v>
      </c>
      <c r="BE83" s="81">
        <v>3708.09</v>
      </c>
      <c r="BF83" s="81" t="s">
        <v>388</v>
      </c>
      <c r="BG83" s="81" t="s">
        <v>389</v>
      </c>
      <c r="BP83" s="81" t="s">
        <v>436</v>
      </c>
      <c r="BQ83" s="167">
        <v>290</v>
      </c>
      <c r="BR83" s="167">
        <v>0.36799999999999999</v>
      </c>
      <c r="BS83" s="81">
        <v>790.07</v>
      </c>
      <c r="BT83" s="81" t="s">
        <v>422</v>
      </c>
      <c r="BU83" s="167">
        <v>2E-16</v>
      </c>
      <c r="BV83" s="81" t="s">
        <v>389</v>
      </c>
      <c r="CT83" s="258" t="s">
        <v>442</v>
      </c>
      <c r="CU83" s="258" t="s">
        <v>456</v>
      </c>
      <c r="CV83" s="259">
        <v>0.25900000000000001</v>
      </c>
      <c r="CW83" s="259">
        <v>3.2300000000000002E-2</v>
      </c>
      <c r="CX83" s="258">
        <v>8.02</v>
      </c>
      <c r="CY83" s="259">
        <v>1.3E-15</v>
      </c>
      <c r="CZ83" s="81" t="s">
        <v>389</v>
      </c>
    </row>
    <row r="84" spans="54:105" thickTop="1" thickBot="1" x14ac:dyDescent="0.3">
      <c r="BB84" s="81" t="s">
        <v>423</v>
      </c>
      <c r="BC84" s="167">
        <v>294</v>
      </c>
      <c r="BD84" s="167">
        <v>4.2999999999999997E-2</v>
      </c>
      <c r="BE84" s="81">
        <v>6835.63</v>
      </c>
      <c r="BF84" s="81" t="s">
        <v>388</v>
      </c>
      <c r="BG84" s="81" t="s">
        <v>389</v>
      </c>
      <c r="BP84" s="81" t="s">
        <v>423</v>
      </c>
      <c r="BQ84" s="167">
        <v>292</v>
      </c>
      <c r="BR84" s="167">
        <v>0.36699999999999999</v>
      </c>
      <c r="BS84" s="81">
        <v>796.23</v>
      </c>
      <c r="BT84" s="81" t="s">
        <v>422</v>
      </c>
      <c r="BU84" s="167">
        <v>2E-16</v>
      </c>
      <c r="BV84" s="81" t="s">
        <v>389</v>
      </c>
      <c r="CT84" s="258" t="s">
        <v>442</v>
      </c>
      <c r="CU84" s="258" t="s">
        <v>308</v>
      </c>
      <c r="CV84" s="259">
        <v>990000000</v>
      </c>
      <c r="CW84" s="259">
        <v>160000000</v>
      </c>
      <c r="CX84" s="258">
        <v>6.19</v>
      </c>
      <c r="CY84" s="259">
        <v>6.6E-10</v>
      </c>
      <c r="CZ84" s="81" t="s">
        <v>389</v>
      </c>
    </row>
    <row r="85" spans="54:105" thickTop="1" thickBot="1" x14ac:dyDescent="0.3">
      <c r="BB85" s="81" t="s">
        <v>358</v>
      </c>
      <c r="BC85" s="167">
        <v>0.09</v>
      </c>
      <c r="BD85" s="167">
        <v>1.75E-3</v>
      </c>
      <c r="BE85" s="81">
        <v>51.34</v>
      </c>
      <c r="BF85" s="81" t="s">
        <v>388</v>
      </c>
      <c r="BG85" s="81" t="s">
        <v>389</v>
      </c>
      <c r="BP85" s="81" t="s">
        <v>358</v>
      </c>
      <c r="BQ85" s="167">
        <v>1.24E-7</v>
      </c>
      <c r="BR85" s="167">
        <v>2.21E-6</v>
      </c>
      <c r="BS85" s="81">
        <v>0.06</v>
      </c>
      <c r="BT85" s="81">
        <v>0.96</v>
      </c>
      <c r="CT85" s="258" t="s">
        <v>442</v>
      </c>
      <c r="CU85" s="258" t="s">
        <v>399</v>
      </c>
      <c r="CV85" s="259">
        <v>766000</v>
      </c>
      <c r="CW85" s="259">
        <v>21000</v>
      </c>
      <c r="CX85" s="258">
        <v>36.47</v>
      </c>
      <c r="CY85" s="258" t="s">
        <v>422</v>
      </c>
      <c r="CZ85" s="167">
        <v>2E-16</v>
      </c>
      <c r="DA85" s="81" t="s">
        <v>389</v>
      </c>
    </row>
    <row r="86" spans="54:105" thickTop="1" thickBot="1" x14ac:dyDescent="0.3">
      <c r="BB86" s="81" t="s">
        <v>360</v>
      </c>
      <c r="BC86" s="167">
        <v>0.192</v>
      </c>
      <c r="BD86" s="167">
        <v>3.5400000000000002E-3</v>
      </c>
      <c r="BE86" s="81">
        <v>54.37</v>
      </c>
      <c r="BF86" s="81" t="s">
        <v>388</v>
      </c>
      <c r="BG86" s="81" t="s">
        <v>389</v>
      </c>
      <c r="BP86" s="81" t="s">
        <v>360</v>
      </c>
      <c r="BQ86" s="167">
        <v>4.1799999999999997E-8</v>
      </c>
      <c r="BR86" s="167">
        <v>8.2999999999999999E-7</v>
      </c>
      <c r="BS86" s="81">
        <v>0.05</v>
      </c>
      <c r="BT86" s="81">
        <v>0.96</v>
      </c>
      <c r="CT86" s="258" t="s">
        <v>442</v>
      </c>
      <c r="CU86" s="258" t="s">
        <v>301</v>
      </c>
      <c r="CV86" s="259">
        <v>8780000</v>
      </c>
      <c r="CW86" s="259">
        <v>795000</v>
      </c>
      <c r="CX86" s="258">
        <v>11.04</v>
      </c>
      <c r="CY86" s="258" t="s">
        <v>422</v>
      </c>
      <c r="CZ86" s="167">
        <v>2E-16</v>
      </c>
      <c r="DA86" s="81" t="s">
        <v>389</v>
      </c>
    </row>
    <row r="87" spans="54:105" thickTop="1" thickBot="1" x14ac:dyDescent="0.3">
      <c r="BB87" s="81" t="s">
        <v>424</v>
      </c>
      <c r="BC87" s="167">
        <v>8270000</v>
      </c>
      <c r="BD87" s="167">
        <v>124000</v>
      </c>
      <c r="BE87" s="81">
        <v>66.77</v>
      </c>
      <c r="BF87" s="81" t="s">
        <v>388</v>
      </c>
      <c r="BG87" s="81" t="s">
        <v>389</v>
      </c>
      <c r="BP87" s="81" t="s">
        <v>424</v>
      </c>
      <c r="BQ87" s="167">
        <v>19200000</v>
      </c>
      <c r="BR87" s="167">
        <v>2600000</v>
      </c>
      <c r="BS87" s="81">
        <v>7.38</v>
      </c>
      <c r="BT87" s="167">
        <v>2.0999999999999999E-13</v>
      </c>
      <c r="BU87" s="81" t="s">
        <v>389</v>
      </c>
      <c r="CT87" s="258" t="s">
        <v>442</v>
      </c>
      <c r="CU87" s="258" t="s">
        <v>303</v>
      </c>
      <c r="CV87" s="259">
        <v>15100000</v>
      </c>
      <c r="CW87" s="259">
        <v>4420000</v>
      </c>
      <c r="CX87" s="258">
        <v>3.42</v>
      </c>
      <c r="CY87" s="258">
        <v>6.3000000000000003E-4</v>
      </c>
      <c r="CZ87" s="81" t="s">
        <v>389</v>
      </c>
    </row>
    <row r="88" spans="54:105" thickTop="1" thickBot="1" x14ac:dyDescent="0.3">
      <c r="BB88" s="81" t="s">
        <v>364</v>
      </c>
      <c r="BC88" s="167">
        <v>25000000</v>
      </c>
      <c r="BD88" s="167">
        <v>376000</v>
      </c>
      <c r="BE88" s="81">
        <v>66.52</v>
      </c>
      <c r="BF88" s="81" t="s">
        <v>388</v>
      </c>
      <c r="BG88" s="81" t="s">
        <v>389</v>
      </c>
      <c r="CT88" s="258" t="s">
        <v>442</v>
      </c>
      <c r="CU88" s="258" t="s">
        <v>400</v>
      </c>
      <c r="CV88" s="259">
        <v>-18</v>
      </c>
      <c r="CW88" s="259">
        <v>17.399999999999999</v>
      </c>
      <c r="CX88" s="258">
        <v>-1.03</v>
      </c>
      <c r="CY88" s="258">
        <v>0.30201</v>
      </c>
    </row>
    <row r="89" spans="54:105" thickTop="1" thickBot="1" x14ac:dyDescent="0.3">
      <c r="BB89" s="81" t="s">
        <v>404</v>
      </c>
      <c r="BC89" s="167">
        <v>3.73</v>
      </c>
      <c r="BD89" s="167">
        <v>1.42</v>
      </c>
      <c r="BE89" s="81">
        <v>2.62</v>
      </c>
      <c r="BF89" s="81">
        <v>8.6999999999999994E-3</v>
      </c>
      <c r="BG89" s="81" t="s">
        <v>425</v>
      </c>
      <c r="BP89" s="81" t="s">
        <v>364</v>
      </c>
      <c r="BQ89" s="167">
        <v>65100000</v>
      </c>
      <c r="BR89" s="167">
        <v>33200000</v>
      </c>
      <c r="BS89" s="81">
        <v>1.96</v>
      </c>
      <c r="BT89" s="81">
        <v>0.05</v>
      </c>
      <c r="BU89" s="81" t="s">
        <v>434</v>
      </c>
      <c r="CT89" s="258" t="s">
        <v>442</v>
      </c>
      <c r="CU89" s="258" t="s">
        <v>401</v>
      </c>
      <c r="CV89" s="259">
        <v>-12.5</v>
      </c>
      <c r="CW89" s="259">
        <v>439</v>
      </c>
      <c r="CX89" s="258">
        <v>-0.03</v>
      </c>
      <c r="CY89" s="258">
        <v>0.97736000000000001</v>
      </c>
    </row>
    <row r="90" spans="54:105" thickTop="1" thickBot="1" x14ac:dyDescent="0.3">
      <c r="BB90" s="81" t="s">
        <v>426</v>
      </c>
      <c r="BC90" s="167">
        <v>-13.1</v>
      </c>
      <c r="BD90" s="167">
        <v>7.16</v>
      </c>
      <c r="BE90" s="81">
        <v>-1.83</v>
      </c>
      <c r="BF90" s="81">
        <v>6.7599999999999993E-2</v>
      </c>
      <c r="BG90" s="81" t="s">
        <v>427</v>
      </c>
      <c r="BP90" s="81" t="s">
        <v>404</v>
      </c>
      <c r="BQ90" s="167">
        <v>8.17</v>
      </c>
      <c r="BR90" s="167">
        <v>7.2700000000000001E-2</v>
      </c>
      <c r="BS90" s="81">
        <v>112.45</v>
      </c>
      <c r="BT90" s="81" t="s">
        <v>422</v>
      </c>
      <c r="BU90" s="167">
        <v>2E-16</v>
      </c>
      <c r="BV90" s="81" t="s">
        <v>389</v>
      </c>
      <c r="CT90" s="258" t="s">
        <v>442</v>
      </c>
      <c r="CU90" s="258" t="s">
        <v>402</v>
      </c>
      <c r="CV90" s="259">
        <v>-12.7</v>
      </c>
      <c r="CW90" s="259">
        <v>538</v>
      </c>
      <c r="CX90" s="258">
        <v>-0.02</v>
      </c>
      <c r="CY90" s="258">
        <v>0.98109000000000002</v>
      </c>
    </row>
    <row r="91" spans="54:105" thickTop="1" thickBot="1" x14ac:dyDescent="0.3">
      <c r="BB91" s="81" t="s">
        <v>428</v>
      </c>
      <c r="BC91" s="167">
        <v>6.5799999999999997E-2</v>
      </c>
      <c r="BD91" s="167">
        <v>7.0699999999999995E-4</v>
      </c>
      <c r="BE91" s="81">
        <v>93.12</v>
      </c>
      <c r="BF91" s="81" t="s">
        <v>388</v>
      </c>
      <c r="BG91" s="81" t="s">
        <v>389</v>
      </c>
      <c r="BP91" s="81" t="s">
        <v>426</v>
      </c>
      <c r="BQ91" s="167">
        <v>7.12</v>
      </c>
      <c r="BR91" s="167">
        <v>0.13500000000000001</v>
      </c>
      <c r="BS91" s="81">
        <v>52.65</v>
      </c>
      <c r="BT91" s="81" t="s">
        <v>422</v>
      </c>
      <c r="BU91" s="167">
        <v>2E-16</v>
      </c>
      <c r="BV91" s="81" t="s">
        <v>389</v>
      </c>
      <c r="CT91" s="258" t="s">
        <v>442</v>
      </c>
      <c r="CU91" s="258" t="s">
        <v>403</v>
      </c>
      <c r="CV91" s="259">
        <v>-12.2</v>
      </c>
      <c r="CW91" s="259">
        <v>64.3</v>
      </c>
      <c r="CX91" s="258">
        <v>-0.19</v>
      </c>
      <c r="CY91" s="258">
        <v>0.84916999999999998</v>
      </c>
    </row>
    <row r="92" spans="54:105" thickTop="1" thickBot="1" x14ac:dyDescent="0.3">
      <c r="BB92" s="81" t="s">
        <v>429</v>
      </c>
      <c r="BC92" s="167">
        <v>0.11799999999999999</v>
      </c>
      <c r="BD92" s="167">
        <v>1.1299999999999999E-3</v>
      </c>
      <c r="BE92" s="81">
        <v>104.59</v>
      </c>
      <c r="BF92" s="81" t="s">
        <v>388</v>
      </c>
      <c r="BG92" s="81" t="s">
        <v>389</v>
      </c>
      <c r="BP92" s="81" t="s">
        <v>416</v>
      </c>
      <c r="BQ92" s="167">
        <v>-5.0599999999999996</v>
      </c>
      <c r="BR92" s="167">
        <v>5.1200000000000002E-2</v>
      </c>
      <c r="BS92" s="81">
        <v>-98.95</v>
      </c>
      <c r="BT92" s="81" t="s">
        <v>422</v>
      </c>
      <c r="BU92" s="167">
        <v>2E-16</v>
      </c>
      <c r="BV92" s="81" t="s">
        <v>389</v>
      </c>
      <c r="CT92" s="258" t="s">
        <v>442</v>
      </c>
      <c r="CU92" s="258" t="s">
        <v>405</v>
      </c>
      <c r="CV92" s="259">
        <v>0.23100000000000001</v>
      </c>
      <c r="CW92" s="259">
        <v>2.3800000000000002E-3</v>
      </c>
      <c r="CX92" s="258">
        <v>97.12</v>
      </c>
      <c r="CY92" s="258" t="s">
        <v>422</v>
      </c>
      <c r="CZ92" s="167">
        <v>2E-16</v>
      </c>
      <c r="DA92" s="81" t="s">
        <v>389</v>
      </c>
    </row>
    <row r="93" spans="54:105" thickTop="1" thickBot="1" x14ac:dyDescent="0.3">
      <c r="BB93" s="81" t="s">
        <v>416</v>
      </c>
      <c r="BC93" s="167">
        <v>-6.92</v>
      </c>
      <c r="BD93" s="167">
        <v>2.1600000000000001E-2</v>
      </c>
      <c r="BE93" s="81">
        <v>-319.69</v>
      </c>
      <c r="BF93" s="81" t="s">
        <v>388</v>
      </c>
      <c r="BG93" s="81" t="s">
        <v>389</v>
      </c>
      <c r="BP93" s="81" t="s">
        <v>430</v>
      </c>
      <c r="BQ93" s="167">
        <v>-4.8899999999999997</v>
      </c>
      <c r="BR93" s="167">
        <v>3.73E-2</v>
      </c>
      <c r="BS93" s="81">
        <v>-131.12</v>
      </c>
      <c r="BT93" s="81" t="s">
        <v>422</v>
      </c>
      <c r="BU93" s="167">
        <v>2E-16</v>
      </c>
      <c r="BV93" s="81" t="s">
        <v>389</v>
      </c>
      <c r="CT93" s="258" t="s">
        <v>442</v>
      </c>
      <c r="CU93" s="258" t="s">
        <v>406</v>
      </c>
      <c r="CV93" s="259">
        <v>4.8500000000000001E-2</v>
      </c>
      <c r="CW93" s="259">
        <v>4.0299999999999998E-4</v>
      </c>
      <c r="CX93" s="258">
        <v>120.43</v>
      </c>
      <c r="CY93" s="258" t="s">
        <v>422</v>
      </c>
      <c r="CZ93" s="167">
        <v>2E-16</v>
      </c>
      <c r="DA93" s="81" t="s">
        <v>389</v>
      </c>
    </row>
    <row r="94" spans="54:105" thickTop="1" thickBot="1" x14ac:dyDescent="0.3">
      <c r="BB94" s="81" t="s">
        <v>430</v>
      </c>
      <c r="BC94" s="167">
        <v>-6.23</v>
      </c>
      <c r="BD94" s="167">
        <v>3.3000000000000002E-2</v>
      </c>
      <c r="BE94" s="81">
        <v>-188.82</v>
      </c>
      <c r="BF94" s="81" t="s">
        <v>388</v>
      </c>
      <c r="BG94" s="81" t="s">
        <v>389</v>
      </c>
      <c r="BP94" s="81" t="s">
        <v>370</v>
      </c>
      <c r="BQ94" s="167">
        <v>198</v>
      </c>
      <c r="BR94" s="167">
        <v>4.01</v>
      </c>
      <c r="BS94" s="81">
        <v>49.45</v>
      </c>
      <c r="BT94" s="81" t="s">
        <v>422</v>
      </c>
      <c r="BU94" s="167">
        <v>2E-16</v>
      </c>
      <c r="BV94" s="81" t="s">
        <v>389</v>
      </c>
      <c r="CT94" s="258" t="s">
        <v>442</v>
      </c>
      <c r="CU94" s="258" t="s">
        <v>407</v>
      </c>
      <c r="CV94" s="259">
        <v>0.64</v>
      </c>
      <c r="CW94" s="259">
        <v>1.04E-2</v>
      </c>
      <c r="CX94" s="258">
        <v>61.53</v>
      </c>
      <c r="CY94" s="258" t="s">
        <v>422</v>
      </c>
      <c r="CZ94" s="167">
        <v>2E-16</v>
      </c>
      <c r="DA94" s="81" t="s">
        <v>389</v>
      </c>
    </row>
    <row r="95" spans="54:105" thickTop="1" thickBot="1" x14ac:dyDescent="0.3">
      <c r="BB95" s="81" t="s">
        <v>370</v>
      </c>
      <c r="BC95" s="167">
        <v>502</v>
      </c>
      <c r="BD95" s="167">
        <v>7.41</v>
      </c>
      <c r="BE95" s="81">
        <v>67.760000000000005</v>
      </c>
      <c r="BF95" s="81" t="s">
        <v>388</v>
      </c>
      <c r="BG95" s="81" t="s">
        <v>389</v>
      </c>
      <c r="BP95" s="81" t="s">
        <v>372</v>
      </c>
      <c r="BQ95" s="167">
        <v>3.48E-4</v>
      </c>
      <c r="BR95" s="167">
        <v>3.0400000000000002E-3</v>
      </c>
      <c r="BS95" s="81">
        <v>0.11</v>
      </c>
      <c r="BT95" s="81">
        <v>0.91</v>
      </c>
      <c r="CT95" s="258" t="s">
        <v>442</v>
      </c>
      <c r="CU95" s="258" t="s">
        <v>408</v>
      </c>
      <c r="CV95" s="259">
        <v>7.3200000000000001E-2</v>
      </c>
      <c r="CW95" s="259">
        <v>1.07E-3</v>
      </c>
      <c r="CX95" s="258">
        <v>68.22</v>
      </c>
      <c r="CY95" s="258" t="s">
        <v>422</v>
      </c>
      <c r="CZ95" s="167">
        <v>2E-16</v>
      </c>
      <c r="DA95" s="81" t="s">
        <v>389</v>
      </c>
    </row>
    <row r="96" spans="54:105" thickTop="1" thickBot="1" x14ac:dyDescent="0.3">
      <c r="BB96" s="81" t="s">
        <v>372</v>
      </c>
      <c r="BC96" s="167">
        <v>393</v>
      </c>
      <c r="BD96" s="167">
        <v>5.6</v>
      </c>
      <c r="BE96" s="81">
        <v>70.16</v>
      </c>
      <c r="BF96" s="81" t="s">
        <v>388</v>
      </c>
      <c r="BG96" s="81" t="s">
        <v>389</v>
      </c>
      <c r="BP96" s="81" t="s">
        <v>374</v>
      </c>
      <c r="BQ96" s="167">
        <v>221</v>
      </c>
      <c r="BR96" s="167">
        <v>3.53</v>
      </c>
      <c r="BS96" s="81">
        <v>62.76</v>
      </c>
      <c r="BT96" s="81" t="s">
        <v>422</v>
      </c>
      <c r="BU96" s="167">
        <v>2E-16</v>
      </c>
      <c r="BV96" s="81" t="s">
        <v>389</v>
      </c>
      <c r="CT96" s="258" t="s">
        <v>442</v>
      </c>
      <c r="CU96" s="258" t="s">
        <v>410</v>
      </c>
      <c r="CV96" s="259">
        <v>218</v>
      </c>
      <c r="CW96" s="259">
        <v>4.38</v>
      </c>
      <c r="CX96" s="258">
        <v>49.69</v>
      </c>
      <c r="CY96" s="258" t="s">
        <v>422</v>
      </c>
      <c r="CZ96" s="167">
        <v>2E-16</v>
      </c>
      <c r="DA96" s="81" t="s">
        <v>389</v>
      </c>
    </row>
    <row r="97" spans="54:105" thickTop="1" thickBot="1" x14ac:dyDescent="0.3">
      <c r="BB97" s="81" t="s">
        <v>374</v>
      </c>
      <c r="BC97" s="167">
        <v>506</v>
      </c>
      <c r="BD97" s="167">
        <v>2.4900000000000002</v>
      </c>
      <c r="BE97" s="81">
        <v>203.18</v>
      </c>
      <c r="BF97" s="81" t="s">
        <v>388</v>
      </c>
      <c r="BG97" s="81" t="s">
        <v>389</v>
      </c>
      <c r="CT97" s="258" t="s">
        <v>442</v>
      </c>
      <c r="CU97" s="258" t="s">
        <v>295</v>
      </c>
      <c r="CV97" s="259">
        <v>86.2</v>
      </c>
      <c r="CW97" s="259">
        <v>0.67900000000000005</v>
      </c>
      <c r="CX97" s="258">
        <v>127.06</v>
      </c>
      <c r="CY97" s="258" t="s">
        <v>422</v>
      </c>
      <c r="CZ97" s="167">
        <v>2E-16</v>
      </c>
      <c r="DA97" s="81" t="s">
        <v>389</v>
      </c>
    </row>
    <row r="98" spans="54:105" thickTop="1" thickBot="1" x14ac:dyDescent="0.3">
      <c r="CT98" s="258" t="s">
        <v>442</v>
      </c>
      <c r="CU98" s="258" t="s">
        <v>120</v>
      </c>
      <c r="CV98" s="259">
        <v>51.1</v>
      </c>
      <c r="CW98" s="259">
        <v>1.81</v>
      </c>
      <c r="CX98" s="258">
        <v>28.28</v>
      </c>
      <c r="CY98" s="258" t="s">
        <v>422</v>
      </c>
      <c r="CZ98" s="167">
        <v>2E-16</v>
      </c>
      <c r="DA98" s="81" t="s">
        <v>389</v>
      </c>
    </row>
    <row r="99" spans="54:105" thickTop="1" thickBot="1" x14ac:dyDescent="0.3">
      <c r="CT99" s="258" t="s">
        <v>442</v>
      </c>
      <c r="CU99" s="258" t="s">
        <v>412</v>
      </c>
      <c r="CV99" s="259">
        <v>-4.6100000000000003</v>
      </c>
      <c r="CW99" s="259">
        <v>2.1999999999999999E-2</v>
      </c>
      <c r="CX99" s="258">
        <v>-209.33</v>
      </c>
      <c r="CY99" s="258" t="s">
        <v>422</v>
      </c>
      <c r="CZ99" s="167">
        <v>2E-16</v>
      </c>
      <c r="DA99" s="81" t="s">
        <v>389</v>
      </c>
    </row>
    <row r="100" spans="54:105" thickTop="1" thickBot="1" x14ac:dyDescent="0.3">
      <c r="CT100" s="258" t="s">
        <v>442</v>
      </c>
      <c r="CU100" s="258" t="s">
        <v>413</v>
      </c>
      <c r="CV100" s="259">
        <v>-4.8600000000000003</v>
      </c>
      <c r="CW100" s="259">
        <v>2.4500000000000001E-2</v>
      </c>
      <c r="CX100" s="258">
        <v>-198.18</v>
      </c>
      <c r="CY100" s="258" t="s">
        <v>422</v>
      </c>
      <c r="CZ100" s="167">
        <v>2E-16</v>
      </c>
      <c r="DA100" s="81" t="s">
        <v>389</v>
      </c>
    </row>
    <row r="101" spans="54:105" thickTop="1" thickBot="1" x14ac:dyDescent="0.3">
      <c r="CT101" s="258" t="s">
        <v>442</v>
      </c>
      <c r="CU101" s="258" t="s">
        <v>414</v>
      </c>
      <c r="CV101" s="259">
        <v>-5.72</v>
      </c>
      <c r="CW101" s="259">
        <v>2.2599999999999999E-2</v>
      </c>
      <c r="CX101" s="258">
        <v>-252.62</v>
      </c>
      <c r="CY101" s="258" t="s">
        <v>422</v>
      </c>
      <c r="CZ101" s="167">
        <v>2E-16</v>
      </c>
      <c r="DA101" s="81" t="s">
        <v>389</v>
      </c>
    </row>
    <row r="102" spans="54:105" thickTop="1" thickBot="1" x14ac:dyDescent="0.3">
      <c r="CT102" s="258" t="s">
        <v>442</v>
      </c>
      <c r="CU102" s="258" t="s">
        <v>415</v>
      </c>
      <c r="CV102" s="259">
        <v>-5.35</v>
      </c>
      <c r="CW102" s="259">
        <v>2.4400000000000002E-2</v>
      </c>
      <c r="CX102" s="258">
        <v>-219.12</v>
      </c>
      <c r="CY102" s="258" t="s">
        <v>422</v>
      </c>
      <c r="CZ102" s="167">
        <v>2E-16</v>
      </c>
      <c r="DA102" s="81" t="s">
        <v>389</v>
      </c>
    </row>
    <row r="103" spans="54:105" thickTop="1" thickBot="1" x14ac:dyDescent="0.3">
      <c r="CT103" s="258" t="s">
        <v>442</v>
      </c>
      <c r="CU103" s="258" t="s">
        <v>417</v>
      </c>
      <c r="CV103" s="259">
        <v>2.8300000000000001E-3</v>
      </c>
      <c r="CW103" s="259">
        <v>7.9200000000000001E-5</v>
      </c>
      <c r="CX103" s="258">
        <v>35.729999999999997</v>
      </c>
      <c r="CY103" s="258" t="s">
        <v>422</v>
      </c>
      <c r="CZ103" s="167">
        <v>2E-16</v>
      </c>
      <c r="DA103" s="81" t="s">
        <v>389</v>
      </c>
    </row>
    <row r="104" spans="54:105" thickTop="1" thickBot="1" x14ac:dyDescent="0.3">
      <c r="CT104" s="258" t="s">
        <v>442</v>
      </c>
      <c r="CU104" s="258" t="s">
        <v>418</v>
      </c>
      <c r="CV104" s="259">
        <v>171</v>
      </c>
      <c r="CW104" s="259">
        <v>1.87</v>
      </c>
      <c r="CX104" s="258">
        <v>91.34</v>
      </c>
      <c r="CY104" s="258" t="s">
        <v>422</v>
      </c>
      <c r="CZ104" s="167">
        <v>2E-16</v>
      </c>
      <c r="DA104" s="81" t="s">
        <v>389</v>
      </c>
    </row>
    <row r="105" spans="54:105" thickTop="1" thickBot="1" x14ac:dyDescent="0.3">
      <c r="CT105" s="258" t="s">
        <v>442</v>
      </c>
      <c r="CU105" s="258" t="s">
        <v>419</v>
      </c>
      <c r="CV105" s="259">
        <v>934</v>
      </c>
      <c r="CW105" s="259">
        <v>1030</v>
      </c>
      <c r="CX105" s="258">
        <v>0.91</v>
      </c>
      <c r="CY105" s="258">
        <v>0.36307</v>
      </c>
    </row>
    <row r="106" spans="54:105" thickTop="1" thickBot="1" x14ac:dyDescent="0.3">
      <c r="CT106" s="258" t="s">
        <v>442</v>
      </c>
      <c r="CU106" s="258" t="s">
        <v>461</v>
      </c>
    </row>
    <row r="107" spans="54:105" thickTop="1" thickBot="1" x14ac:dyDescent="0.3">
      <c r="CT107" s="258" t="s">
        <v>442</v>
      </c>
      <c r="CU107" s="258" t="s">
        <v>462</v>
      </c>
      <c r="CV107" s="258" t="s">
        <v>463</v>
      </c>
      <c r="CW107" s="258">
        <v>0</v>
      </c>
      <c r="CX107" s="258" t="s">
        <v>464</v>
      </c>
      <c r="CY107" s="258">
        <v>1E-3</v>
      </c>
      <c r="CZ107" s="81" t="s">
        <v>465</v>
      </c>
      <c r="DA107" s="81">
        <v>0.01</v>
      </c>
    </row>
    <row r="109" spans="54:105" thickTop="1" thickBot="1" x14ac:dyDescent="0.3">
      <c r="CT109" s="258" t="s">
        <v>442</v>
      </c>
      <c r="CU109" s="258" t="s">
        <v>433</v>
      </c>
      <c r="CV109" s="258" t="s">
        <v>435</v>
      </c>
    </row>
    <row r="110" spans="54:105" thickTop="1" thickBot="1" x14ac:dyDescent="0.3">
      <c r="CT110" s="258" t="s">
        <v>442</v>
      </c>
      <c r="CU110" s="258" t="s">
        <v>380</v>
      </c>
    </row>
    <row r="111" spans="54:105" thickTop="1" thickBot="1" x14ac:dyDescent="0.3">
      <c r="CT111" s="258" t="s">
        <v>442</v>
      </c>
      <c r="CU111" s="258" t="s">
        <v>381</v>
      </c>
      <c r="CV111" s="258" t="s">
        <v>382</v>
      </c>
      <c r="CW111" s="258" t="s">
        <v>383</v>
      </c>
      <c r="CX111" s="258" t="s">
        <v>384</v>
      </c>
      <c r="CY111" s="258" t="s">
        <v>385</v>
      </c>
      <c r="CZ111" s="81" t="s">
        <v>386</v>
      </c>
    </row>
    <row r="112" spans="54:105" thickTop="1" thickBot="1" x14ac:dyDescent="0.3">
      <c r="CT112" s="258" t="s">
        <v>442</v>
      </c>
      <c r="CU112" s="258" t="s">
        <v>436</v>
      </c>
      <c r="CV112" s="259">
        <v>290</v>
      </c>
      <c r="CW112" s="259">
        <v>0.36799999999999999</v>
      </c>
      <c r="CX112" s="258">
        <v>790.07</v>
      </c>
      <c r="CY112" s="258" t="s">
        <v>422</v>
      </c>
      <c r="CZ112" s="167">
        <v>2E-16</v>
      </c>
      <c r="DA112" s="81" t="s">
        <v>389</v>
      </c>
    </row>
    <row r="113" spans="98:105" thickTop="1" thickBot="1" x14ac:dyDescent="0.3">
      <c r="CT113" s="258" t="s">
        <v>442</v>
      </c>
      <c r="CU113" s="258" t="s">
        <v>423</v>
      </c>
      <c r="CV113" s="259">
        <v>292</v>
      </c>
      <c r="CW113" s="259">
        <v>0.36699999999999999</v>
      </c>
      <c r="CX113" s="258">
        <v>796.23</v>
      </c>
      <c r="CY113" s="258" t="s">
        <v>422</v>
      </c>
      <c r="CZ113" s="167">
        <v>2E-16</v>
      </c>
      <c r="DA113" s="81" t="s">
        <v>389</v>
      </c>
    </row>
    <row r="114" spans="98:105" thickTop="1" thickBot="1" x14ac:dyDescent="0.3">
      <c r="CT114" s="258" t="s">
        <v>442</v>
      </c>
      <c r="CU114" s="258" t="s">
        <v>358</v>
      </c>
      <c r="CV114" s="259">
        <v>1.24E-7</v>
      </c>
      <c r="CW114" s="259">
        <v>2.21E-6</v>
      </c>
      <c r="CX114" s="258">
        <v>0.06</v>
      </c>
      <c r="CY114" s="258">
        <v>0.96</v>
      </c>
    </row>
    <row r="115" spans="98:105" thickTop="1" thickBot="1" x14ac:dyDescent="0.3">
      <c r="CT115" s="258" t="s">
        <v>442</v>
      </c>
      <c r="CU115" s="258" t="s">
        <v>360</v>
      </c>
      <c r="CV115" s="259">
        <v>4.1799999999999997E-8</v>
      </c>
      <c r="CW115" s="259">
        <v>8.2999999999999999E-7</v>
      </c>
      <c r="CX115" s="258">
        <v>0.05</v>
      </c>
      <c r="CY115" s="258">
        <v>0.96</v>
      </c>
    </row>
    <row r="116" spans="98:105" thickTop="1" thickBot="1" x14ac:dyDescent="0.3">
      <c r="CT116" s="258" t="s">
        <v>442</v>
      </c>
      <c r="CU116" s="258" t="s">
        <v>424</v>
      </c>
      <c r="CV116" s="259">
        <v>19200000</v>
      </c>
      <c r="CW116" s="259">
        <v>2600000</v>
      </c>
      <c r="CX116" s="258">
        <v>7.38</v>
      </c>
      <c r="CY116" s="259">
        <v>2.0999999999999999E-13</v>
      </c>
      <c r="CZ116" s="81" t="s">
        <v>389</v>
      </c>
    </row>
    <row r="117" spans="98:105" thickTop="1" thickBot="1" x14ac:dyDescent="0.3">
      <c r="CT117" s="258" t="s">
        <v>442</v>
      </c>
      <c r="CU117" s="258" t="s">
        <v>364</v>
      </c>
      <c r="CV117" s="259">
        <v>65100000</v>
      </c>
      <c r="CW117" s="259">
        <v>33200000</v>
      </c>
      <c r="CX117" s="258">
        <v>1.96</v>
      </c>
      <c r="CY117" s="258">
        <v>0.05</v>
      </c>
      <c r="CZ117" s="81" t="s">
        <v>434</v>
      </c>
    </row>
    <row r="118" spans="98:105" thickTop="1" thickBot="1" x14ac:dyDescent="0.3">
      <c r="CT118" s="258" t="s">
        <v>442</v>
      </c>
      <c r="CU118" s="258" t="s">
        <v>404</v>
      </c>
      <c r="CV118" s="259">
        <v>8.17</v>
      </c>
      <c r="CW118" s="259">
        <v>7.2700000000000001E-2</v>
      </c>
      <c r="CX118" s="258">
        <v>112.45</v>
      </c>
      <c r="CY118" s="258" t="s">
        <v>422</v>
      </c>
      <c r="CZ118" s="167">
        <v>2E-16</v>
      </c>
      <c r="DA118" s="81" t="s">
        <v>389</v>
      </c>
    </row>
    <row r="119" spans="98:105" thickTop="1" thickBot="1" x14ac:dyDescent="0.3">
      <c r="CT119" s="258" t="s">
        <v>442</v>
      </c>
      <c r="CU119" s="258" t="s">
        <v>426</v>
      </c>
      <c r="CV119" s="259">
        <v>7.12</v>
      </c>
      <c r="CW119" s="259">
        <v>0.13500000000000001</v>
      </c>
      <c r="CX119" s="258">
        <v>52.65</v>
      </c>
      <c r="CY119" s="258" t="s">
        <v>422</v>
      </c>
      <c r="CZ119" s="167">
        <v>2E-16</v>
      </c>
      <c r="DA119" s="81" t="s">
        <v>389</v>
      </c>
    </row>
    <row r="120" spans="98:105" thickTop="1" thickBot="1" x14ac:dyDescent="0.3">
      <c r="CT120" s="258" t="s">
        <v>442</v>
      </c>
      <c r="CU120" s="258" t="s">
        <v>416</v>
      </c>
      <c r="CV120" s="259">
        <v>-5.0599999999999996</v>
      </c>
      <c r="CW120" s="259">
        <v>5.1200000000000002E-2</v>
      </c>
      <c r="CX120" s="258">
        <v>-98.95</v>
      </c>
      <c r="CY120" s="258" t="s">
        <v>422</v>
      </c>
      <c r="CZ120" s="167">
        <v>2E-16</v>
      </c>
      <c r="DA120" s="81" t="s">
        <v>389</v>
      </c>
    </row>
    <row r="121" spans="98:105" thickTop="1" thickBot="1" x14ac:dyDescent="0.3">
      <c r="CT121" s="258" t="s">
        <v>442</v>
      </c>
      <c r="CU121" s="258" t="s">
        <v>430</v>
      </c>
      <c r="CV121" s="259">
        <v>-4.8899999999999997</v>
      </c>
      <c r="CW121" s="259">
        <v>3.73E-2</v>
      </c>
      <c r="CX121" s="258">
        <v>-131.12</v>
      </c>
      <c r="CY121" s="258" t="s">
        <v>422</v>
      </c>
      <c r="CZ121" s="167">
        <v>2E-16</v>
      </c>
      <c r="DA121" s="81" t="s">
        <v>389</v>
      </c>
    </row>
    <row r="122" spans="98:105" thickTop="1" thickBot="1" x14ac:dyDescent="0.3">
      <c r="CT122" s="258" t="s">
        <v>442</v>
      </c>
      <c r="CU122" s="258" t="s">
        <v>370</v>
      </c>
      <c r="CV122" s="259">
        <v>198</v>
      </c>
      <c r="CW122" s="259">
        <v>4.01</v>
      </c>
      <c r="CX122" s="258">
        <v>49.45</v>
      </c>
      <c r="CY122" s="258" t="s">
        <v>422</v>
      </c>
      <c r="CZ122" s="167">
        <v>2E-16</v>
      </c>
      <c r="DA122" s="81" t="s">
        <v>389</v>
      </c>
    </row>
    <row r="123" spans="98:105" thickTop="1" thickBot="1" x14ac:dyDescent="0.3">
      <c r="CT123" s="258" t="s">
        <v>442</v>
      </c>
      <c r="CU123" s="258" t="s">
        <v>372</v>
      </c>
      <c r="CV123" s="259">
        <v>3.48E-4</v>
      </c>
      <c r="CW123" s="259">
        <v>3.0400000000000002E-3</v>
      </c>
      <c r="CX123" s="258">
        <v>0.11</v>
      </c>
      <c r="CY123" s="258">
        <v>0.91</v>
      </c>
    </row>
    <row r="124" spans="98:105" thickTop="1" thickBot="1" x14ac:dyDescent="0.3">
      <c r="CT124" s="258" t="s">
        <v>442</v>
      </c>
      <c r="CU124" s="258" t="s">
        <v>374</v>
      </c>
      <c r="CV124" s="259">
        <v>221</v>
      </c>
      <c r="CW124" s="259">
        <v>3.53</v>
      </c>
      <c r="CX124" s="258">
        <v>62.76</v>
      </c>
      <c r="CY124" s="258" t="s">
        <v>422</v>
      </c>
      <c r="CZ124" s="167">
        <v>2E-16</v>
      </c>
      <c r="DA124" s="81" t="s">
        <v>389</v>
      </c>
    </row>
  </sheetData>
  <mergeCells count="8">
    <mergeCell ref="E36:F36"/>
    <mergeCell ref="A1:G1"/>
    <mergeCell ref="A3:H3"/>
    <mergeCell ref="J3:T3"/>
    <mergeCell ref="V3:AG3"/>
    <mergeCell ref="K4:O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124"/>
  <sheetViews>
    <sheetView workbookViewId="0">
      <selection sqref="A1:G1"/>
    </sheetView>
  </sheetViews>
  <sheetFormatPr defaultRowHeight="16.5" thickTop="1" thickBottom="1" x14ac:dyDescent="0.3"/>
  <cols>
    <col min="1" max="8" width="9.140625" style="81"/>
    <col min="9" max="9" width="9.140625" style="1"/>
    <col min="10" max="10" width="9.140625" style="81"/>
    <col min="11" max="13" width="9.140625" style="2"/>
    <col min="14" max="15" width="9.140625" style="81"/>
    <col min="16" max="17" width="9.140625" style="153"/>
    <col min="18" max="20" width="9.140625" style="81"/>
    <col min="21" max="21" width="9.140625" style="1"/>
    <col min="22" max="34" width="9.140625" style="81"/>
    <col min="35" max="36" width="9.140625" style="158"/>
    <col min="37" max="37" width="9.140625" style="159"/>
    <col min="38" max="38" width="10.28515625" style="159" bestFit="1" customWidth="1"/>
    <col min="39" max="40" width="9.140625" style="81"/>
    <col min="41" max="41" width="12.7109375" style="81" bestFit="1" customWidth="1"/>
    <col min="42" max="42" width="12.7109375" style="81" customWidth="1"/>
    <col min="43" max="46" width="9.140625" style="81"/>
    <col min="47" max="50" width="9.140625" style="161"/>
    <col min="51" max="51" width="14.7109375" style="162" bestFit="1" customWidth="1"/>
    <col min="52" max="52" width="9.140625" style="161"/>
    <col min="53" max="53" width="9.140625" style="171"/>
    <col min="54" max="54" width="9.140625" style="81"/>
    <col min="55" max="55" width="16.42578125" style="81" customWidth="1"/>
    <col min="56" max="64" width="9.140625" style="81"/>
    <col min="65" max="65" width="15.7109375" style="81" bestFit="1" customWidth="1"/>
    <col min="66" max="66" width="9.140625" style="81"/>
    <col min="67" max="67" width="9.140625" style="171"/>
    <col min="68" max="79" width="9.140625" style="81"/>
    <col min="80" max="80" width="15.7109375" style="81" bestFit="1" customWidth="1"/>
    <col min="81" max="97" width="9.140625" style="81"/>
    <col min="98" max="103" width="9.140625" style="258"/>
    <col min="104" max="105" width="9.140625" style="81"/>
    <col min="106" max="106" width="15.5703125" style="260" bestFit="1" customWidth="1"/>
    <col min="107" max="110" width="9.140625" style="260"/>
    <col min="111" max="16384" width="9.140625" style="81"/>
  </cols>
  <sheetData>
    <row r="1" spans="1:110" ht="20.25" customHeight="1" thickTop="1" thickBot="1" x14ac:dyDescent="0.35">
      <c r="A1" s="310" t="s">
        <v>312</v>
      </c>
      <c r="B1" s="310"/>
      <c r="C1" s="310"/>
      <c r="D1" s="310"/>
      <c r="E1" s="310"/>
      <c r="F1" s="310"/>
      <c r="G1" s="310"/>
      <c r="AN1" s="160" t="s">
        <v>314</v>
      </c>
      <c r="BB1" s="81" t="s">
        <v>378</v>
      </c>
      <c r="BP1" s="81" t="s">
        <v>432</v>
      </c>
    </row>
    <row r="2" spans="1:110" thickTop="1" thickBot="1" x14ac:dyDescent="0.3">
      <c r="AN2" s="81" t="s">
        <v>315</v>
      </c>
      <c r="CN2" s="81" t="s">
        <v>316</v>
      </c>
      <c r="CO2" s="79" t="s">
        <v>438</v>
      </c>
      <c r="CP2" s="79" t="s">
        <v>439</v>
      </c>
      <c r="CQ2" s="79" t="s">
        <v>440</v>
      </c>
      <c r="CT2" s="258" t="s">
        <v>441</v>
      </c>
    </row>
    <row r="3" spans="1:110" thickTop="1" thickBot="1" x14ac:dyDescent="0.3">
      <c r="A3" s="313" t="s">
        <v>1</v>
      </c>
      <c r="B3" s="314"/>
      <c r="C3" s="314"/>
      <c r="D3" s="314"/>
      <c r="E3" s="314"/>
      <c r="F3" s="314"/>
      <c r="G3" s="314"/>
      <c r="H3" s="315"/>
      <c r="J3" s="307" t="s">
        <v>2</v>
      </c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4"/>
      <c r="V3" s="307" t="s">
        <v>3</v>
      </c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N3" s="163" t="s">
        <v>316</v>
      </c>
      <c r="AO3" s="164" t="s">
        <v>317</v>
      </c>
      <c r="AP3" s="164"/>
      <c r="AQ3" s="165"/>
      <c r="AR3" s="165"/>
      <c r="AS3" s="165"/>
      <c r="AU3" s="166" t="s">
        <v>318</v>
      </c>
      <c r="BB3" s="172"/>
      <c r="BC3" s="172" t="s">
        <v>379</v>
      </c>
      <c r="BD3" s="172"/>
      <c r="BE3" s="172"/>
      <c r="BI3" s="173" t="s">
        <v>318</v>
      </c>
      <c r="BJ3" s="173"/>
      <c r="BK3" s="173"/>
      <c r="BL3" s="173"/>
      <c r="BM3" s="174"/>
      <c r="BN3" s="173"/>
      <c r="BP3" s="81" t="s">
        <v>433</v>
      </c>
      <c r="BQ3" s="81" t="s">
        <v>379</v>
      </c>
      <c r="CN3" s="81" t="s">
        <v>321</v>
      </c>
      <c r="CO3" s="254">
        <f>AY4</f>
        <v>0.21207259728536523</v>
      </c>
      <c r="CP3" s="254">
        <f>BM4</f>
        <v>0.16</v>
      </c>
      <c r="CQ3" s="254">
        <f>CB6</f>
        <v>0.19</v>
      </c>
      <c r="DB3" s="260" t="s">
        <v>466</v>
      </c>
    </row>
    <row r="4" spans="1:110" ht="15.75" customHeight="1" thickTop="1" thickBot="1" x14ac:dyDescent="0.3">
      <c r="A4" s="182" t="s">
        <v>6</v>
      </c>
      <c r="B4" s="183">
        <f>'Tabula data'!B5</f>
        <v>509.6</v>
      </c>
      <c r="C4" s="183" t="s">
        <v>7</v>
      </c>
      <c r="D4" s="182" t="s">
        <v>8</v>
      </c>
      <c r="E4" s="183"/>
      <c r="F4" s="183"/>
      <c r="G4" s="184">
        <f>SUM(H6:H13)</f>
        <v>32.299999999999997</v>
      </c>
      <c r="H4" s="185" t="s">
        <v>9</v>
      </c>
      <c r="K4" s="316" t="s">
        <v>2</v>
      </c>
      <c r="L4" s="317"/>
      <c r="M4" s="317"/>
      <c r="N4" s="317"/>
      <c r="O4" s="318"/>
      <c r="W4" s="226"/>
      <c r="X4" s="226"/>
      <c r="Y4" s="227" t="s">
        <v>4</v>
      </c>
      <c r="Z4" s="227">
        <v>0.85</v>
      </c>
      <c r="AA4" s="227" t="s">
        <v>5</v>
      </c>
      <c r="AB4" s="226"/>
      <c r="AC4" s="226"/>
      <c r="AD4" s="226"/>
      <c r="AL4" s="159" t="s">
        <v>319</v>
      </c>
      <c r="AM4" s="81" t="s">
        <v>320</v>
      </c>
      <c r="AN4" s="81" t="s">
        <v>321</v>
      </c>
      <c r="AO4" s="81">
        <f>SUM(N6:N9)/SUM($N$6:$N$14,$N$26:$N$27)</f>
        <v>0.21207259728536523</v>
      </c>
      <c r="AP4" s="81" t="s">
        <v>322</v>
      </c>
      <c r="AQ4" s="167">
        <v>0.1641929</v>
      </c>
      <c r="AU4" s="168" t="s">
        <v>319</v>
      </c>
      <c r="AV4" s="168" t="s">
        <v>320</v>
      </c>
      <c r="AW4" s="168" t="s">
        <v>321</v>
      </c>
      <c r="AX4" s="169" t="s">
        <v>323</v>
      </c>
      <c r="AY4" s="162">
        <f>AO4</f>
        <v>0.21207259728536523</v>
      </c>
      <c r="AZ4" s="168" t="s">
        <v>322</v>
      </c>
      <c r="BB4" s="81" t="s">
        <v>380</v>
      </c>
      <c r="BI4" s="175" t="s">
        <v>319</v>
      </c>
      <c r="BJ4" s="175" t="s">
        <v>320</v>
      </c>
      <c r="BK4" s="175" t="s">
        <v>321</v>
      </c>
      <c r="BL4" s="175" t="s">
        <v>323</v>
      </c>
      <c r="BM4" s="174">
        <f>BC11</f>
        <v>0.16</v>
      </c>
      <c r="BN4" s="175" t="s">
        <v>322</v>
      </c>
      <c r="BP4" s="81" t="s">
        <v>380</v>
      </c>
      <c r="CN4" s="81" t="s">
        <v>324</v>
      </c>
      <c r="CO4" s="254">
        <f t="shared" ref="CO4:CO49" si="0">AY5</f>
        <v>0.21207259728536523</v>
      </c>
      <c r="CP4" s="254">
        <f t="shared" ref="CP4:CP49" si="1">BM5</f>
        <v>0.318</v>
      </c>
      <c r="CQ4" s="254">
        <f t="shared" ref="CQ4:CQ49" si="2">CB7</f>
        <v>0.38</v>
      </c>
      <c r="CT4" s="258" t="s">
        <v>442</v>
      </c>
      <c r="CU4" s="258" t="s">
        <v>433</v>
      </c>
      <c r="CV4" s="258" t="s">
        <v>443</v>
      </c>
    </row>
    <row r="5" spans="1:110" ht="15" customHeight="1" thickTop="1" thickBot="1" x14ac:dyDescent="0.3">
      <c r="A5" s="186"/>
      <c r="B5" s="187"/>
      <c r="C5" s="187"/>
      <c r="D5" s="188"/>
      <c r="E5" s="189"/>
      <c r="F5" s="189"/>
      <c r="G5" s="189"/>
      <c r="H5" s="190"/>
      <c r="J5" s="81" t="s">
        <v>10</v>
      </c>
      <c r="K5" s="211" t="s">
        <v>11</v>
      </c>
      <c r="L5" s="212" t="s">
        <v>12</v>
      </c>
      <c r="M5" s="212" t="s">
        <v>13</v>
      </c>
      <c r="N5" s="212" t="s">
        <v>14</v>
      </c>
      <c r="O5" s="213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228" t="s">
        <v>20</v>
      </c>
      <c r="X5" s="229"/>
      <c r="Y5" s="230" t="s">
        <v>21</v>
      </c>
      <c r="Z5" s="231">
        <f>1/(1/10+SUM(AC9:AC12)+1/23)</f>
        <v>0.1523066735339563</v>
      </c>
      <c r="AA5" s="229" t="s">
        <v>5</v>
      </c>
      <c r="AB5" s="229"/>
      <c r="AC5" s="229" t="s">
        <v>22</v>
      </c>
      <c r="AD5" s="232">
        <f>SUM(AD7:AD10)</f>
        <v>67536</v>
      </c>
      <c r="AE5" s="14" t="s">
        <v>23</v>
      </c>
      <c r="AF5" s="14">
        <f>AD10</f>
        <v>16380</v>
      </c>
      <c r="AG5" s="14"/>
      <c r="AL5" s="159" t="s">
        <v>319</v>
      </c>
      <c r="AM5" s="81" t="s">
        <v>320</v>
      </c>
      <c r="AN5" s="81" t="s">
        <v>324</v>
      </c>
      <c r="AO5" s="81">
        <f>SUM(N27)/SUM($N$6:$N$14,$N$26:$N$27)</f>
        <v>0.21207259728536523</v>
      </c>
      <c r="AP5" s="81" t="s">
        <v>322</v>
      </c>
      <c r="AQ5" s="167">
        <v>0.42146270000000002</v>
      </c>
      <c r="AU5" s="168" t="s">
        <v>319</v>
      </c>
      <c r="AV5" s="168" t="s">
        <v>320</v>
      </c>
      <c r="AW5" s="168" t="s">
        <v>324</v>
      </c>
      <c r="AX5" s="169" t="s">
        <v>323</v>
      </c>
      <c r="AY5" s="162">
        <f>AO5</f>
        <v>0.21207259728536523</v>
      </c>
      <c r="AZ5" s="168" t="s">
        <v>322</v>
      </c>
      <c r="BB5" s="81" t="s">
        <v>381</v>
      </c>
      <c r="BC5" s="81" t="s">
        <v>382</v>
      </c>
      <c r="BD5" s="81" t="s">
        <v>383</v>
      </c>
      <c r="BE5" s="81" t="s">
        <v>384</v>
      </c>
      <c r="BF5" s="81" t="s">
        <v>385</v>
      </c>
      <c r="BI5" s="175" t="s">
        <v>319</v>
      </c>
      <c r="BJ5" s="175" t="s">
        <v>320</v>
      </c>
      <c r="BK5" s="175" t="s">
        <v>324</v>
      </c>
      <c r="BL5" s="175" t="s">
        <v>323</v>
      </c>
      <c r="BM5" s="174">
        <f>BC12</f>
        <v>0.318</v>
      </c>
      <c r="BN5" s="175" t="s">
        <v>322</v>
      </c>
      <c r="BP5" s="81" t="s">
        <v>381</v>
      </c>
      <c r="BQ5" s="81" t="s">
        <v>382</v>
      </c>
      <c r="BR5" s="81" t="s">
        <v>383</v>
      </c>
      <c r="BS5" s="81" t="s">
        <v>384</v>
      </c>
      <c r="BT5" s="81" t="s">
        <v>385</v>
      </c>
      <c r="BU5" s="81" t="s">
        <v>386</v>
      </c>
      <c r="BX5" s="176" t="s">
        <v>318</v>
      </c>
      <c r="BY5" s="176"/>
      <c r="BZ5" s="176"/>
      <c r="CA5" s="176"/>
      <c r="CB5" s="177"/>
      <c r="CC5" s="176"/>
      <c r="CN5" s="81" t="s">
        <v>325</v>
      </c>
      <c r="CO5" s="254">
        <f t="shared" si="0"/>
        <v>4.6165575118802198E-2</v>
      </c>
      <c r="CP5" s="254">
        <f t="shared" si="1"/>
        <v>0.26200000000000001</v>
      </c>
      <c r="CQ5" s="254">
        <f t="shared" si="2"/>
        <v>5.0500000000000003E-2</v>
      </c>
      <c r="CT5" s="258" t="s">
        <v>442</v>
      </c>
      <c r="CU5" s="258" t="s">
        <v>380</v>
      </c>
      <c r="DB5" s="260" t="s">
        <v>467</v>
      </c>
      <c r="DC5" s="261" t="s">
        <v>468</v>
      </c>
      <c r="DD5" s="261" t="s">
        <v>323</v>
      </c>
      <c r="DE5" s="262">
        <f>CV12</f>
        <v>0.94499999999999995</v>
      </c>
      <c r="DF5" s="260" t="s">
        <v>322</v>
      </c>
    </row>
    <row r="6" spans="1:110" ht="15" customHeight="1" thickTop="1" thickBot="1" x14ac:dyDescent="0.3">
      <c r="A6" s="191" t="s">
        <v>34</v>
      </c>
      <c r="B6" s="192">
        <f>'Tabula data'!B4</f>
        <v>185.3</v>
      </c>
      <c r="C6" s="193" t="s">
        <v>9</v>
      </c>
      <c r="D6" s="194" t="s">
        <v>35</v>
      </c>
      <c r="E6" s="189" t="s">
        <v>36</v>
      </c>
      <c r="F6" s="195">
        <f t="shared" ref="F6:F13" si="3">H6/$G$4</f>
        <v>0.12074303405572756</v>
      </c>
      <c r="G6" s="189"/>
      <c r="H6" s="196">
        <f>'Tabula data'!B22*'Tabula 2zone Ref 2'!C45</f>
        <v>3.9</v>
      </c>
      <c r="J6" s="81" t="s">
        <v>24</v>
      </c>
      <c r="K6" s="214">
        <v>0</v>
      </c>
      <c r="L6" s="215">
        <v>1</v>
      </c>
      <c r="M6" s="215" t="s">
        <v>25</v>
      </c>
      <c r="N6" s="216">
        <f>'Tabula data'!B19*C43</f>
        <v>19.742421874491026</v>
      </c>
      <c r="O6" s="217" t="s">
        <v>26</v>
      </c>
      <c r="P6" s="30">
        <f t="shared" ref="P6:P28" si="4">VLOOKUP(M6,$W$5:$Z$393,4,0)</f>
        <v>0.19316281128097962</v>
      </c>
      <c r="Q6" s="30">
        <f t="shared" ref="Q6:Q28" si="5">P6*N6</f>
        <v>3.8135017107717939</v>
      </c>
      <c r="R6" s="30">
        <f t="shared" ref="R6:R14" si="6">VLOOKUP(M6,$W$5:$AD$393,8,0)*N6</f>
        <v>6693984.0152961742</v>
      </c>
      <c r="S6" s="30">
        <f t="shared" ref="S6:S14" si="7">R6/N6</f>
        <v>339066</v>
      </c>
      <c r="T6" s="30">
        <f t="shared" ref="T6:T14" si="8">VLOOKUP(M6,$W$5:$AF$393,10,0)*N6</f>
        <v>3573773.2077203658</v>
      </c>
      <c r="U6" s="31"/>
      <c r="V6" s="153"/>
      <c r="W6" s="233"/>
      <c r="X6" s="234" t="s">
        <v>27</v>
      </c>
      <c r="Y6" s="234" t="s">
        <v>28</v>
      </c>
      <c r="Z6" s="234" t="s">
        <v>29</v>
      </c>
      <c r="AA6" s="234" t="s">
        <v>30</v>
      </c>
      <c r="AB6" s="234" t="s">
        <v>31</v>
      </c>
      <c r="AC6" s="234" t="s">
        <v>32</v>
      </c>
      <c r="AD6" s="235" t="s">
        <v>33</v>
      </c>
      <c r="AE6" s="14"/>
      <c r="AF6" s="14"/>
      <c r="AG6" s="14"/>
      <c r="AL6" s="159" t="s">
        <v>319</v>
      </c>
      <c r="AM6" s="81" t="s">
        <v>320</v>
      </c>
      <c r="AN6" s="81" t="s">
        <v>325</v>
      </c>
      <c r="AO6" s="81">
        <f>SUM(N10:N13)/SUM($N$6:$N$14,$N$26:$N$27)</f>
        <v>4.6165575118802198E-2</v>
      </c>
      <c r="AP6" s="81" t="s">
        <v>322</v>
      </c>
      <c r="AQ6" s="167">
        <v>0.13510150000000001</v>
      </c>
      <c r="AU6" s="168" t="s">
        <v>319</v>
      </c>
      <c r="AV6" s="168" t="s">
        <v>320</v>
      </c>
      <c r="AW6" s="168" t="s">
        <v>325</v>
      </c>
      <c r="AX6" s="169" t="s">
        <v>323</v>
      </c>
      <c r="AY6" s="162">
        <f>AO6</f>
        <v>4.6165575118802198E-2</v>
      </c>
      <c r="AZ6" s="168" t="s">
        <v>322</v>
      </c>
      <c r="BB6" s="81" t="s">
        <v>387</v>
      </c>
      <c r="BC6" s="167">
        <v>299</v>
      </c>
      <c r="BD6" s="167">
        <v>9.6299999999999997E-2</v>
      </c>
      <c r="BE6" s="81">
        <v>3101.23</v>
      </c>
      <c r="BF6" s="81" t="s">
        <v>388</v>
      </c>
      <c r="BI6" s="175" t="s">
        <v>319</v>
      </c>
      <c r="BJ6" s="175" t="s">
        <v>320</v>
      </c>
      <c r="BK6" s="175" t="s">
        <v>325</v>
      </c>
      <c r="BL6" s="175" t="s">
        <v>323</v>
      </c>
      <c r="BM6" s="174">
        <f>BC13</f>
        <v>0.26200000000000001</v>
      </c>
      <c r="BN6" s="175" t="s">
        <v>322</v>
      </c>
      <c r="BP6" s="81" t="s">
        <v>387</v>
      </c>
      <c r="BQ6" s="167">
        <v>291</v>
      </c>
      <c r="BR6" s="167">
        <v>0.14199999999999999</v>
      </c>
      <c r="BS6" s="81">
        <v>2053.1799999999998</v>
      </c>
      <c r="BT6" s="81" t="s">
        <v>422</v>
      </c>
      <c r="BU6" s="167">
        <v>2E-16</v>
      </c>
      <c r="BV6" s="81" t="s">
        <v>389</v>
      </c>
      <c r="BX6" s="178" t="s">
        <v>319</v>
      </c>
      <c r="BY6" s="178" t="s">
        <v>320</v>
      </c>
      <c r="BZ6" s="178" t="s">
        <v>321</v>
      </c>
      <c r="CA6" s="178" t="s">
        <v>323</v>
      </c>
      <c r="CB6" s="177">
        <f>BQ11</f>
        <v>0.19</v>
      </c>
      <c r="CC6" s="178" t="s">
        <v>322</v>
      </c>
      <c r="CN6" s="81" t="s">
        <v>326</v>
      </c>
      <c r="CO6" s="254">
        <f t="shared" si="0"/>
        <v>0.27442075612414923</v>
      </c>
      <c r="CP6" s="254">
        <f t="shared" si="1"/>
        <v>0.156</v>
      </c>
      <c r="CQ6" s="254">
        <f t="shared" si="2"/>
        <v>0.20300000000000001</v>
      </c>
      <c r="CT6" s="258" t="s">
        <v>442</v>
      </c>
      <c r="CU6" s="258" t="s">
        <v>381</v>
      </c>
      <c r="CV6" s="258" t="s">
        <v>382</v>
      </c>
      <c r="CW6" s="258" t="s">
        <v>383</v>
      </c>
      <c r="CX6" s="258" t="s">
        <v>384</v>
      </c>
      <c r="CY6" s="258" t="s">
        <v>385</v>
      </c>
      <c r="CZ6" s="81" t="s">
        <v>386</v>
      </c>
      <c r="DB6" s="260" t="s">
        <v>467</v>
      </c>
      <c r="DC6" s="261" t="s">
        <v>469</v>
      </c>
      <c r="DD6" s="261" t="s">
        <v>323</v>
      </c>
      <c r="DE6" s="262">
        <f t="shared" ref="DE6:DE24" si="9">CV13</f>
        <v>0.79800000000000004</v>
      </c>
      <c r="DF6" s="260" t="s">
        <v>322</v>
      </c>
    </row>
    <row r="7" spans="1:110" ht="15" customHeight="1" thickTop="1" thickBot="1" x14ac:dyDescent="0.3">
      <c r="A7" s="194" t="s">
        <v>42</v>
      </c>
      <c r="B7" s="197">
        <f>'Tabula data'!B14</f>
        <v>96</v>
      </c>
      <c r="C7" s="198" t="s">
        <v>9</v>
      </c>
      <c r="D7" s="194" t="s">
        <v>43</v>
      </c>
      <c r="E7" s="189" t="s">
        <v>36</v>
      </c>
      <c r="F7" s="195">
        <f t="shared" si="3"/>
        <v>0.12383900928792571</v>
      </c>
      <c r="G7" s="189"/>
      <c r="H7" s="196">
        <f>'Tabula data'!B23*'Tabula 2zone Ref 2'!C45</f>
        <v>4</v>
      </c>
      <c r="J7" s="81" t="s">
        <v>38</v>
      </c>
      <c r="K7" s="218">
        <v>0</v>
      </c>
      <c r="L7" s="219">
        <v>1</v>
      </c>
      <c r="M7" s="219" t="s">
        <v>25</v>
      </c>
      <c r="N7" s="220">
        <f>'Tabula data'!B20*C43</f>
        <v>34.704039143624534</v>
      </c>
      <c r="O7" s="221" t="s">
        <v>39</v>
      </c>
      <c r="P7" s="30">
        <f t="shared" si="4"/>
        <v>0.19316281128097962</v>
      </c>
      <c r="Q7" s="30">
        <f t="shared" si="5"/>
        <v>6.7035297637876754</v>
      </c>
      <c r="R7" s="30">
        <f t="shared" si="6"/>
        <v>11766959.736272197</v>
      </c>
      <c r="S7" s="30">
        <f t="shared" si="7"/>
        <v>339066</v>
      </c>
      <c r="T7" s="30">
        <f t="shared" si="8"/>
        <v>6282125.1657789145</v>
      </c>
      <c r="U7" s="31"/>
      <c r="V7" s="153"/>
      <c r="W7" s="188"/>
      <c r="X7" s="189" t="s">
        <v>40</v>
      </c>
      <c r="Y7" s="189">
        <v>2.5000000000000001E-2</v>
      </c>
      <c r="Z7" s="189">
        <v>1.3</v>
      </c>
      <c r="AA7" s="189">
        <v>1700</v>
      </c>
      <c r="AB7" s="189">
        <v>840</v>
      </c>
      <c r="AC7" s="236">
        <f>Y7/Z7</f>
        <v>1.9230769230769232E-2</v>
      </c>
      <c r="AD7" s="190">
        <f>Y7*AA7*AB7</f>
        <v>35700</v>
      </c>
      <c r="AE7" s="14" t="s">
        <v>41</v>
      </c>
      <c r="AF7" s="14"/>
      <c r="AG7" s="14"/>
      <c r="AL7" s="159" t="s">
        <v>319</v>
      </c>
      <c r="AM7" s="81" t="s">
        <v>320</v>
      </c>
      <c r="AN7" s="81" t="s">
        <v>326</v>
      </c>
      <c r="AO7" s="81">
        <f>SUM(N14)/SUM(N6:N14,N27,N26)</f>
        <v>0.27442075612414923</v>
      </c>
      <c r="AP7" s="81" t="s">
        <v>322</v>
      </c>
      <c r="AQ7" s="167">
        <v>0.161666</v>
      </c>
      <c r="AU7" s="168" t="s">
        <v>319</v>
      </c>
      <c r="AV7" s="168" t="s">
        <v>320</v>
      </c>
      <c r="AW7" s="168" t="s">
        <v>326</v>
      </c>
      <c r="AX7" s="169" t="s">
        <v>323</v>
      </c>
      <c r="AY7" s="162">
        <f>AO7</f>
        <v>0.27442075612414923</v>
      </c>
      <c r="AZ7" s="168" t="s">
        <v>322</v>
      </c>
      <c r="BB7" s="81" t="s">
        <v>390</v>
      </c>
      <c r="BC7" s="167">
        <v>295</v>
      </c>
      <c r="BD7" s="167">
        <v>4.9200000000000001E-2</v>
      </c>
      <c r="BE7" s="81">
        <v>5996.7</v>
      </c>
      <c r="BF7" s="81" t="s">
        <v>388</v>
      </c>
      <c r="BI7" s="175" t="s">
        <v>319</v>
      </c>
      <c r="BJ7" s="175" t="s">
        <v>320</v>
      </c>
      <c r="BK7" s="175" t="s">
        <v>326</v>
      </c>
      <c r="BL7" s="175" t="s">
        <v>323</v>
      </c>
      <c r="BM7" s="174">
        <f>BC14</f>
        <v>0.156</v>
      </c>
      <c r="BN7" s="175" t="s">
        <v>322</v>
      </c>
      <c r="BP7" s="81" t="s">
        <v>390</v>
      </c>
      <c r="BQ7" s="167">
        <v>289</v>
      </c>
      <c r="BR7" s="167">
        <v>0.112</v>
      </c>
      <c r="BS7" s="81">
        <v>2573.84</v>
      </c>
      <c r="BT7" s="81" t="s">
        <v>422</v>
      </c>
      <c r="BU7" s="167">
        <v>2E-16</v>
      </c>
      <c r="BV7" s="81" t="s">
        <v>389</v>
      </c>
      <c r="BX7" s="178" t="s">
        <v>319</v>
      </c>
      <c r="BY7" s="178" t="s">
        <v>320</v>
      </c>
      <c r="BZ7" s="178" t="s">
        <v>324</v>
      </c>
      <c r="CA7" s="178" t="s">
        <v>323</v>
      </c>
      <c r="CB7" s="177">
        <f>BQ12</f>
        <v>0.38</v>
      </c>
      <c r="CC7" s="178" t="s">
        <v>322</v>
      </c>
      <c r="CO7" s="255"/>
      <c r="CP7" s="255"/>
      <c r="CQ7" s="255"/>
      <c r="CT7" s="258" t="s">
        <v>442</v>
      </c>
      <c r="CU7" s="258" t="s">
        <v>387</v>
      </c>
      <c r="CV7" s="259">
        <v>291</v>
      </c>
      <c r="CW7" s="259">
        <v>0.13900000000000001</v>
      </c>
      <c r="CX7" s="258">
        <v>2093.4699999999998</v>
      </c>
      <c r="CY7" s="258" t="s">
        <v>422</v>
      </c>
      <c r="CZ7" s="167">
        <v>2E-16</v>
      </c>
      <c r="DA7" s="81" t="s">
        <v>389</v>
      </c>
      <c r="DB7" s="260" t="s">
        <v>467</v>
      </c>
      <c r="DC7" s="263" t="s">
        <v>470</v>
      </c>
      <c r="DD7" s="261" t="s">
        <v>323</v>
      </c>
      <c r="DE7" s="262">
        <f t="shared" si="9"/>
        <v>1.04</v>
      </c>
      <c r="DF7" s="260" t="s">
        <v>322</v>
      </c>
    </row>
    <row r="8" spans="1:110" ht="15" customHeight="1" thickTop="1" thickBot="1" x14ac:dyDescent="0.3">
      <c r="A8" s="194" t="s">
        <v>47</v>
      </c>
      <c r="B8" s="197">
        <f>B6-B7</f>
        <v>89.300000000000011</v>
      </c>
      <c r="C8" s="189" t="s">
        <v>9</v>
      </c>
      <c r="D8" s="194" t="s">
        <v>48</v>
      </c>
      <c r="E8" s="189" t="s">
        <v>36</v>
      </c>
      <c r="F8" s="195">
        <f t="shared" si="3"/>
        <v>0.1408668730650155</v>
      </c>
      <c r="G8" s="189"/>
      <c r="H8" s="196">
        <f>'Tabula data'!B24*C45</f>
        <v>4.55</v>
      </c>
      <c r="J8" s="81" t="s">
        <v>44</v>
      </c>
      <c r="K8" s="218">
        <v>0</v>
      </c>
      <c r="L8" s="219">
        <v>1</v>
      </c>
      <c r="M8" s="219" t="s">
        <v>25</v>
      </c>
      <c r="N8" s="220">
        <f>N6</f>
        <v>19.742421874491026</v>
      </c>
      <c r="O8" s="221" t="s">
        <v>45</v>
      </c>
      <c r="P8" s="30">
        <f t="shared" si="4"/>
        <v>0.19316281128097962</v>
      </c>
      <c r="Q8" s="30">
        <f t="shared" si="5"/>
        <v>3.8135017107717939</v>
      </c>
      <c r="R8" s="30">
        <f t="shared" si="6"/>
        <v>6693984.0152961742</v>
      </c>
      <c r="S8" s="30">
        <f t="shared" si="7"/>
        <v>339066</v>
      </c>
      <c r="T8" s="30">
        <f t="shared" si="8"/>
        <v>3573773.2077203658</v>
      </c>
      <c r="U8" s="31"/>
      <c r="V8" s="153"/>
      <c r="W8" s="188"/>
      <c r="X8" s="189" t="s">
        <v>46</v>
      </c>
      <c r="Y8" s="189">
        <v>0.03</v>
      </c>
      <c r="Z8" s="189">
        <f>0.18/Y8</f>
        <v>6</v>
      </c>
      <c r="AA8" s="189">
        <v>0</v>
      </c>
      <c r="AB8" s="189">
        <v>0</v>
      </c>
      <c r="AC8" s="236">
        <v>0.18</v>
      </c>
      <c r="AD8" s="190">
        <f>Y8*AA8*AB8</f>
        <v>0</v>
      </c>
      <c r="AE8" s="14"/>
      <c r="AF8" s="14"/>
      <c r="AG8" s="14"/>
      <c r="AP8" s="81" t="s">
        <v>322</v>
      </c>
      <c r="AQ8" s="167"/>
      <c r="AU8" s="168"/>
      <c r="AV8" s="168"/>
      <c r="AW8" s="168"/>
      <c r="AX8" s="169"/>
      <c r="AZ8" s="168"/>
      <c r="BB8" s="81" t="s">
        <v>391</v>
      </c>
      <c r="BC8" s="167">
        <v>299</v>
      </c>
      <c r="BD8" s="167">
        <v>2.6599999999999999E-2</v>
      </c>
      <c r="BE8" s="81">
        <v>11253.68</v>
      </c>
      <c r="BF8" s="81" t="s">
        <v>388</v>
      </c>
      <c r="BI8" s="175"/>
      <c r="BJ8" s="175"/>
      <c r="BK8" s="175"/>
      <c r="BL8" s="175"/>
      <c r="BM8" s="174"/>
      <c r="BN8" s="175"/>
      <c r="BP8" s="81" t="s">
        <v>391</v>
      </c>
      <c r="BQ8" s="167">
        <v>295</v>
      </c>
      <c r="BR8" s="167">
        <v>5.5100000000000003E-2</v>
      </c>
      <c r="BS8" s="81">
        <v>5345.13</v>
      </c>
      <c r="BT8" s="81" t="s">
        <v>422</v>
      </c>
      <c r="BU8" s="167">
        <v>2E-16</v>
      </c>
      <c r="BV8" s="81" t="s">
        <v>389</v>
      </c>
      <c r="BX8" s="178" t="s">
        <v>319</v>
      </c>
      <c r="BY8" s="178" t="s">
        <v>320</v>
      </c>
      <c r="BZ8" s="178" t="s">
        <v>325</v>
      </c>
      <c r="CA8" s="178" t="s">
        <v>323</v>
      </c>
      <c r="CB8" s="177">
        <f>BQ13</f>
        <v>5.0500000000000003E-2</v>
      </c>
      <c r="CC8" s="178" t="s">
        <v>322</v>
      </c>
      <c r="CN8" s="81" t="s">
        <v>327</v>
      </c>
      <c r="CO8" s="256">
        <f t="shared" si="0"/>
        <v>1768166.3999999999</v>
      </c>
      <c r="CP8" s="256">
        <f t="shared" si="1"/>
        <v>2950000</v>
      </c>
      <c r="CQ8" s="256">
        <f t="shared" si="2"/>
        <v>3560000</v>
      </c>
      <c r="CT8" s="258" t="s">
        <v>442</v>
      </c>
      <c r="CU8" s="258" t="s">
        <v>390</v>
      </c>
      <c r="CV8" s="259">
        <v>289</v>
      </c>
      <c r="CW8" s="259">
        <v>0.107</v>
      </c>
      <c r="CX8" s="258">
        <v>2703.03</v>
      </c>
      <c r="CY8" s="258" t="s">
        <v>422</v>
      </c>
      <c r="CZ8" s="167">
        <v>2E-16</v>
      </c>
      <c r="DA8" s="81" t="s">
        <v>389</v>
      </c>
      <c r="DB8" s="260" t="s">
        <v>467</v>
      </c>
      <c r="DC8" s="264" t="s">
        <v>471</v>
      </c>
      <c r="DD8" s="261" t="s">
        <v>323</v>
      </c>
      <c r="DE8" s="262">
        <f t="shared" si="9"/>
        <v>0.82699999999999996</v>
      </c>
      <c r="DF8" s="260" t="s">
        <v>322</v>
      </c>
    </row>
    <row r="9" spans="1:110" ht="15" customHeight="1" thickTop="1" thickBot="1" x14ac:dyDescent="0.3">
      <c r="A9" s="188"/>
      <c r="B9" s="189"/>
      <c r="C9" s="189"/>
      <c r="D9" s="194" t="s">
        <v>52</v>
      </c>
      <c r="E9" s="199" t="s">
        <v>36</v>
      </c>
      <c r="F9" s="195">
        <f t="shared" si="3"/>
        <v>0.11455108359133129</v>
      </c>
      <c r="G9" s="189"/>
      <c r="H9" s="196">
        <f>'Tabula data'!B25*'Tabula 2zone Ref 2'!C45</f>
        <v>3.7</v>
      </c>
      <c r="J9" s="81" t="s">
        <v>49</v>
      </c>
      <c r="K9" s="218">
        <v>0</v>
      </c>
      <c r="L9" s="219">
        <v>1</v>
      </c>
      <c r="M9" s="219" t="s">
        <v>25</v>
      </c>
      <c r="N9" s="220">
        <v>0</v>
      </c>
      <c r="O9" s="221" t="s">
        <v>50</v>
      </c>
      <c r="P9" s="30">
        <f t="shared" si="4"/>
        <v>0.19316281128097962</v>
      </c>
      <c r="Q9" s="30">
        <f t="shared" si="5"/>
        <v>0</v>
      </c>
      <c r="R9" s="30">
        <f t="shared" si="6"/>
        <v>0</v>
      </c>
      <c r="S9" s="30" t="e">
        <f t="shared" si="7"/>
        <v>#DIV/0!</v>
      </c>
      <c r="T9" s="30">
        <f t="shared" si="8"/>
        <v>0</v>
      </c>
      <c r="U9" s="31"/>
      <c r="V9" s="153"/>
      <c r="W9" s="188"/>
      <c r="X9" s="199" t="s">
        <v>51</v>
      </c>
      <c r="Y9" s="270">
        <v>0.23</v>
      </c>
      <c r="Z9" s="270">
        <v>3.5999999999999997E-2</v>
      </c>
      <c r="AA9" s="189">
        <v>80</v>
      </c>
      <c r="AB9" s="189">
        <v>840</v>
      </c>
      <c r="AC9" s="236">
        <f>Y9/Z9</f>
        <v>6.3888888888888893</v>
      </c>
      <c r="AD9" s="190">
        <f>Y9*AA9*AB9</f>
        <v>15456.000000000002</v>
      </c>
      <c r="AE9" s="149" t="s">
        <v>270</v>
      </c>
      <c r="AF9" s="14"/>
      <c r="AG9" s="14"/>
      <c r="AL9" s="159" t="s">
        <v>319</v>
      </c>
      <c r="AM9" s="81" t="s">
        <v>320</v>
      </c>
      <c r="AN9" s="81" t="s">
        <v>327</v>
      </c>
      <c r="AO9" s="167">
        <f>B34*1.04*1012*5</f>
        <v>1768166.3999999999</v>
      </c>
      <c r="AP9" s="81" t="s">
        <v>322</v>
      </c>
      <c r="AQ9" s="167">
        <v>2745646</v>
      </c>
      <c r="AU9" s="168" t="s">
        <v>319</v>
      </c>
      <c r="AV9" s="168" t="s">
        <v>320</v>
      </c>
      <c r="AW9" s="168" t="s">
        <v>327</v>
      </c>
      <c r="AX9" s="169" t="s">
        <v>323</v>
      </c>
      <c r="AY9" s="162">
        <f>AO9</f>
        <v>1768166.3999999999</v>
      </c>
      <c r="AZ9" s="168" t="s">
        <v>322</v>
      </c>
      <c r="BB9" s="81" t="s">
        <v>392</v>
      </c>
      <c r="BC9" s="167">
        <v>297</v>
      </c>
      <c r="BD9" s="167">
        <v>9.3200000000000005E-2</v>
      </c>
      <c r="BE9" s="81">
        <v>3182.59</v>
      </c>
      <c r="BF9" s="81" t="s">
        <v>388</v>
      </c>
      <c r="BI9" s="175" t="s">
        <v>319</v>
      </c>
      <c r="BJ9" s="175" t="s">
        <v>320</v>
      </c>
      <c r="BK9" s="175" t="s">
        <v>327</v>
      </c>
      <c r="BL9" s="175" t="s">
        <v>323</v>
      </c>
      <c r="BM9" s="174">
        <f>BC19</f>
        <v>2950000</v>
      </c>
      <c r="BN9" s="175" t="s">
        <v>322</v>
      </c>
      <c r="BP9" s="81" t="s">
        <v>392</v>
      </c>
      <c r="BQ9" s="167">
        <v>290</v>
      </c>
      <c r="BR9" s="167">
        <v>0.124</v>
      </c>
      <c r="BS9" s="81">
        <v>2333.5300000000002</v>
      </c>
      <c r="BT9" s="81" t="s">
        <v>422</v>
      </c>
      <c r="BU9" s="167">
        <v>2E-16</v>
      </c>
      <c r="BV9" s="81" t="s">
        <v>389</v>
      </c>
      <c r="BX9" s="178" t="s">
        <v>319</v>
      </c>
      <c r="BY9" s="178" t="s">
        <v>320</v>
      </c>
      <c r="BZ9" s="178" t="s">
        <v>326</v>
      </c>
      <c r="CA9" s="178" t="s">
        <v>323</v>
      </c>
      <c r="CB9" s="177">
        <f>BQ14</f>
        <v>0.20300000000000001</v>
      </c>
      <c r="CC9" s="178" t="s">
        <v>322</v>
      </c>
      <c r="CN9" s="81" t="s">
        <v>328</v>
      </c>
      <c r="CO9" s="256">
        <f t="shared" si="0"/>
        <v>13429671.581219645</v>
      </c>
      <c r="CP9" s="256">
        <f t="shared" si="1"/>
        <v>23100000</v>
      </c>
      <c r="CQ9" s="256">
        <f t="shared" si="2"/>
        <v>32200000</v>
      </c>
      <c r="CT9" s="258" t="s">
        <v>442</v>
      </c>
      <c r="CU9" s="258" t="s">
        <v>391</v>
      </c>
      <c r="CV9" s="259">
        <v>295</v>
      </c>
      <c r="CW9" s="259">
        <v>5.5599999999999997E-2</v>
      </c>
      <c r="CX9" s="258">
        <v>5294.33</v>
      </c>
      <c r="CY9" s="258" t="s">
        <v>422</v>
      </c>
      <c r="CZ9" s="167">
        <v>2E-16</v>
      </c>
      <c r="DA9" s="81" t="s">
        <v>389</v>
      </c>
      <c r="DB9" s="260" t="s">
        <v>467</v>
      </c>
      <c r="DC9" s="264" t="s">
        <v>472</v>
      </c>
      <c r="DD9" s="261" t="s">
        <v>323</v>
      </c>
      <c r="DE9" s="262">
        <f t="shared" si="9"/>
        <v>1.83</v>
      </c>
      <c r="DF9" s="260" t="s">
        <v>322</v>
      </c>
    </row>
    <row r="10" spans="1:110" ht="15" customHeight="1" thickTop="1" thickBot="1" x14ac:dyDescent="0.3">
      <c r="A10" s="188"/>
      <c r="B10" s="189"/>
      <c r="C10" s="189"/>
      <c r="D10" s="194" t="s">
        <v>35</v>
      </c>
      <c r="E10" s="199" t="s">
        <v>56</v>
      </c>
      <c r="F10" s="195">
        <f t="shared" si="3"/>
        <v>0.12074303405572756</v>
      </c>
      <c r="G10" s="189"/>
      <c r="H10" s="200">
        <f>'Tabula data'!B22*(1-C45)</f>
        <v>3.9</v>
      </c>
      <c r="J10" s="81" t="s">
        <v>53</v>
      </c>
      <c r="K10" s="218">
        <v>0</v>
      </c>
      <c r="L10" s="219">
        <v>1</v>
      </c>
      <c r="M10" s="219" t="s">
        <v>54</v>
      </c>
      <c r="N10" s="220">
        <f>H6</f>
        <v>3.9</v>
      </c>
      <c r="O10" s="221" t="s">
        <v>26</v>
      </c>
      <c r="P10" s="30">
        <f t="shared" si="4"/>
        <v>1.1000000000000001</v>
      </c>
      <c r="Q10" s="30">
        <f t="shared" si="5"/>
        <v>4.29</v>
      </c>
      <c r="R10" s="30">
        <f t="shared" si="6"/>
        <v>0</v>
      </c>
      <c r="S10" s="30">
        <f t="shared" si="7"/>
        <v>0</v>
      </c>
      <c r="T10" s="30">
        <f t="shared" si="8"/>
        <v>0</v>
      </c>
      <c r="U10" s="31"/>
      <c r="V10" s="153"/>
      <c r="W10" s="205"/>
      <c r="X10" s="187" t="s">
        <v>58</v>
      </c>
      <c r="Y10" s="187">
        <v>0.02</v>
      </c>
      <c r="Z10" s="187">
        <v>0.6</v>
      </c>
      <c r="AA10" s="187">
        <v>975</v>
      </c>
      <c r="AB10" s="187">
        <v>840</v>
      </c>
      <c r="AC10" s="237">
        <f>Y10/Z10</f>
        <v>3.3333333333333333E-2</v>
      </c>
      <c r="AD10" s="210">
        <f>Y10*AA10*AB10</f>
        <v>16380</v>
      </c>
      <c r="AE10" s="14"/>
      <c r="AF10" s="14"/>
      <c r="AG10" s="14"/>
      <c r="AL10" s="159" t="s">
        <v>319</v>
      </c>
      <c r="AM10" s="81" t="s">
        <v>320</v>
      </c>
      <c r="AN10" s="81" t="s">
        <v>328</v>
      </c>
      <c r="AO10" s="167">
        <f>SUM(T6:T9)</f>
        <v>13429671.581219645</v>
      </c>
      <c r="AP10" s="81" t="s">
        <v>322</v>
      </c>
      <c r="AQ10" s="167">
        <v>14395560</v>
      </c>
      <c r="AU10" s="168" t="s">
        <v>319</v>
      </c>
      <c r="AV10" s="168" t="s">
        <v>320</v>
      </c>
      <c r="AW10" s="168" t="s">
        <v>328</v>
      </c>
      <c r="AX10" s="169" t="s">
        <v>323</v>
      </c>
      <c r="AY10" s="162">
        <f>AO10</f>
        <v>13429671.581219645</v>
      </c>
      <c r="AZ10" s="168" t="s">
        <v>322</v>
      </c>
      <c r="BB10" s="81" t="s">
        <v>393</v>
      </c>
      <c r="BC10" s="167">
        <v>297</v>
      </c>
      <c r="BD10" s="167">
        <v>2.92E-2</v>
      </c>
      <c r="BE10" s="81">
        <v>10162.700000000001</v>
      </c>
      <c r="BF10" s="81" t="s">
        <v>388</v>
      </c>
      <c r="BI10" s="175" t="s">
        <v>319</v>
      </c>
      <c r="BJ10" s="175" t="s">
        <v>320</v>
      </c>
      <c r="BK10" s="175" t="s">
        <v>328</v>
      </c>
      <c r="BL10" s="175" t="s">
        <v>323</v>
      </c>
      <c r="BM10" s="174">
        <f>BC20</f>
        <v>23100000</v>
      </c>
      <c r="BN10" s="175" t="s">
        <v>322</v>
      </c>
      <c r="BP10" s="81" t="s">
        <v>393</v>
      </c>
      <c r="BQ10" s="167">
        <v>292</v>
      </c>
      <c r="BR10" s="167">
        <v>7.2499999999999995E-2</v>
      </c>
      <c r="BS10" s="81">
        <v>4026.39</v>
      </c>
      <c r="BT10" s="81" t="s">
        <v>422</v>
      </c>
      <c r="BU10" s="167">
        <v>2E-16</v>
      </c>
      <c r="BV10" s="81" t="s">
        <v>389</v>
      </c>
      <c r="BX10" s="178"/>
      <c r="BY10" s="178"/>
      <c r="BZ10" s="178"/>
      <c r="CA10" s="178"/>
      <c r="CB10" s="179"/>
      <c r="CC10" s="178"/>
      <c r="CN10" s="81" t="s">
        <v>329</v>
      </c>
      <c r="CO10" s="256">
        <f t="shared" si="0"/>
        <v>14644885.483000543</v>
      </c>
      <c r="CP10" s="256">
        <f t="shared" si="1"/>
        <v>30400000</v>
      </c>
      <c r="CQ10" s="256">
        <f t="shared" si="2"/>
        <v>25400000</v>
      </c>
      <c r="CT10" s="258" t="s">
        <v>442</v>
      </c>
      <c r="CU10" s="258" t="s">
        <v>392</v>
      </c>
      <c r="CV10" s="259">
        <v>290</v>
      </c>
      <c r="CW10" s="259">
        <v>9.0300000000000005E-2</v>
      </c>
      <c r="CX10" s="258">
        <v>3213.33</v>
      </c>
      <c r="CY10" s="258" t="s">
        <v>422</v>
      </c>
      <c r="CZ10" s="167">
        <v>2E-16</v>
      </c>
      <c r="DA10" s="81" t="s">
        <v>389</v>
      </c>
      <c r="DB10" s="260" t="s">
        <v>467</v>
      </c>
      <c r="DC10" s="264" t="s">
        <v>473</v>
      </c>
      <c r="DD10" s="261" t="s">
        <v>323</v>
      </c>
      <c r="DE10" s="262">
        <f t="shared" si="9"/>
        <v>1.22</v>
      </c>
      <c r="DF10" s="260" t="s">
        <v>322</v>
      </c>
    </row>
    <row r="11" spans="1:110" ht="15" customHeight="1" thickTop="1" thickBot="1" x14ac:dyDescent="0.3">
      <c r="A11" s="188"/>
      <c r="B11" s="189"/>
      <c r="C11" s="189"/>
      <c r="D11" s="194" t="s">
        <v>43</v>
      </c>
      <c r="E11" s="199" t="s">
        <v>56</v>
      </c>
      <c r="F11" s="195">
        <f t="shared" si="3"/>
        <v>0.12383900928792571</v>
      </c>
      <c r="G11" s="189"/>
      <c r="H11" s="200">
        <f>'Tabula data'!B23*(1-'Tabula 2zone Ref 2'!C45)</f>
        <v>4</v>
      </c>
      <c r="J11" s="81" t="s">
        <v>57</v>
      </c>
      <c r="K11" s="218">
        <v>0</v>
      </c>
      <c r="L11" s="219">
        <v>1</v>
      </c>
      <c r="M11" s="219" t="s">
        <v>54</v>
      </c>
      <c r="N11" s="220">
        <f>H7</f>
        <v>4</v>
      </c>
      <c r="O11" s="221" t="s">
        <v>39</v>
      </c>
      <c r="P11" s="30">
        <f t="shared" si="4"/>
        <v>1.1000000000000001</v>
      </c>
      <c r="Q11" s="30">
        <f t="shared" si="5"/>
        <v>4.4000000000000004</v>
      </c>
      <c r="R11" s="30">
        <f t="shared" si="6"/>
        <v>0</v>
      </c>
      <c r="S11" s="30">
        <f t="shared" si="7"/>
        <v>0</v>
      </c>
      <c r="T11" s="30">
        <f t="shared" si="8"/>
        <v>0</v>
      </c>
      <c r="U11" s="31"/>
      <c r="V11" s="153"/>
      <c r="W11" s="189"/>
      <c r="X11" s="189"/>
      <c r="Y11" s="238"/>
      <c r="Z11" s="238"/>
      <c r="AA11" s="238"/>
      <c r="AB11" s="189"/>
      <c r="AC11" s="236"/>
      <c r="AD11" s="189"/>
      <c r="AE11" s="14"/>
      <c r="AF11" s="14"/>
      <c r="AG11" s="14"/>
      <c r="AL11" s="159" t="s">
        <v>319</v>
      </c>
      <c r="AM11" s="81" t="s">
        <v>320</v>
      </c>
      <c r="AN11" s="81" t="s">
        <v>329</v>
      </c>
      <c r="AO11" s="167">
        <f>SUM(T27)</f>
        <v>14644885.483000543</v>
      </c>
      <c r="AP11" s="81" t="s">
        <v>322</v>
      </c>
      <c r="AQ11" s="167">
        <v>26154150</v>
      </c>
      <c r="AU11" s="168" t="s">
        <v>319</v>
      </c>
      <c r="AV11" s="168" t="s">
        <v>320</v>
      </c>
      <c r="AW11" s="168" t="s">
        <v>329</v>
      </c>
      <c r="AX11" s="169" t="s">
        <v>323</v>
      </c>
      <c r="AY11" s="162">
        <f>AO11</f>
        <v>14644885.483000543</v>
      </c>
      <c r="AZ11" s="168" t="s">
        <v>322</v>
      </c>
      <c r="BB11" s="81" t="s">
        <v>394</v>
      </c>
      <c r="BC11" s="167">
        <v>0.16</v>
      </c>
      <c r="BD11" s="167">
        <v>1.5399999999999999E-3</v>
      </c>
      <c r="BE11" s="81">
        <v>103.9</v>
      </c>
      <c r="BF11" s="81" t="s">
        <v>388</v>
      </c>
      <c r="BI11" s="175" t="s">
        <v>319</v>
      </c>
      <c r="BJ11" s="175" t="s">
        <v>320</v>
      </c>
      <c r="BK11" s="175" t="s">
        <v>329</v>
      </c>
      <c r="BL11" s="175" t="s">
        <v>323</v>
      </c>
      <c r="BM11" s="174">
        <f>BC21</f>
        <v>30400000</v>
      </c>
      <c r="BN11" s="175" t="s">
        <v>322</v>
      </c>
      <c r="BP11" s="81" t="s">
        <v>394</v>
      </c>
      <c r="BQ11" s="167">
        <v>0.19</v>
      </c>
      <c r="BR11" s="167">
        <v>2.31E-3</v>
      </c>
      <c r="BS11" s="81">
        <v>82.21</v>
      </c>
      <c r="BT11" s="81" t="s">
        <v>422</v>
      </c>
      <c r="BU11" s="167">
        <v>2E-16</v>
      </c>
      <c r="BV11" s="81" t="s">
        <v>389</v>
      </c>
      <c r="BX11" s="178" t="s">
        <v>319</v>
      </c>
      <c r="BY11" s="178" t="s">
        <v>320</v>
      </c>
      <c r="BZ11" s="178" t="s">
        <v>327</v>
      </c>
      <c r="CA11" s="178" t="s">
        <v>323</v>
      </c>
      <c r="CB11" s="179">
        <f>BQ19</f>
        <v>3560000</v>
      </c>
      <c r="CC11" s="178" t="s">
        <v>322</v>
      </c>
      <c r="CN11" s="81" t="s">
        <v>330</v>
      </c>
      <c r="CO11" s="256">
        <f t="shared" si="0"/>
        <v>10652160</v>
      </c>
      <c r="CP11" s="256">
        <f t="shared" si="1"/>
        <v>15600000</v>
      </c>
      <c r="CQ11" s="256">
        <f t="shared" si="2"/>
        <v>0</v>
      </c>
      <c r="CT11" s="258" t="s">
        <v>442</v>
      </c>
      <c r="CU11" s="258" t="s">
        <v>393</v>
      </c>
      <c r="CV11" s="259">
        <v>292</v>
      </c>
      <c r="CW11" s="259">
        <v>6.2199999999999998E-2</v>
      </c>
      <c r="CX11" s="258">
        <v>4695.8100000000004</v>
      </c>
      <c r="CY11" s="258" t="s">
        <v>422</v>
      </c>
      <c r="CZ11" s="167">
        <v>2E-16</v>
      </c>
      <c r="DA11" s="81" t="s">
        <v>389</v>
      </c>
      <c r="DB11" s="260" t="s">
        <v>467</v>
      </c>
      <c r="DC11" s="264" t="s">
        <v>474</v>
      </c>
      <c r="DD11" s="261" t="s">
        <v>323</v>
      </c>
      <c r="DE11" s="262">
        <f t="shared" si="9"/>
        <v>2.1</v>
      </c>
      <c r="DF11" s="260" t="s">
        <v>322</v>
      </c>
    </row>
    <row r="12" spans="1:110" ht="15" customHeight="1" thickTop="1" thickBot="1" x14ac:dyDescent="0.3">
      <c r="A12" s="188"/>
      <c r="B12" s="189"/>
      <c r="C12" s="189"/>
      <c r="D12" s="194" t="s">
        <v>48</v>
      </c>
      <c r="E12" s="199" t="s">
        <v>56</v>
      </c>
      <c r="F12" s="195">
        <f t="shared" si="3"/>
        <v>0.1408668730650155</v>
      </c>
      <c r="G12" s="189"/>
      <c r="H12" s="200">
        <f>'Tabula data'!B24*(1-'Tabula 2zone Ref 2'!C45)</f>
        <v>4.55</v>
      </c>
      <c r="J12" s="81" t="s">
        <v>59</v>
      </c>
      <c r="K12" s="218">
        <v>0</v>
      </c>
      <c r="L12" s="219">
        <v>1</v>
      </c>
      <c r="M12" s="219" t="s">
        <v>54</v>
      </c>
      <c r="N12" s="220">
        <f>H8</f>
        <v>4.55</v>
      </c>
      <c r="O12" s="221" t="s">
        <v>45</v>
      </c>
      <c r="P12" s="30">
        <f t="shared" si="4"/>
        <v>1.1000000000000001</v>
      </c>
      <c r="Q12" s="30">
        <f t="shared" si="5"/>
        <v>5.0049999999999999</v>
      </c>
      <c r="R12" s="30">
        <f t="shared" si="6"/>
        <v>0</v>
      </c>
      <c r="S12" s="30">
        <f t="shared" si="7"/>
        <v>0</v>
      </c>
      <c r="T12" s="30">
        <f t="shared" si="8"/>
        <v>0</v>
      </c>
      <c r="U12" s="31"/>
      <c r="V12" s="153"/>
      <c r="W12" s="226"/>
      <c r="X12" s="226"/>
      <c r="Y12" s="227" t="s">
        <v>4</v>
      </c>
      <c r="Z12" s="227">
        <v>1</v>
      </c>
      <c r="AA12" s="227" t="s">
        <v>5</v>
      </c>
      <c r="AB12" s="226"/>
      <c r="AC12" s="226"/>
      <c r="AD12" s="226"/>
      <c r="AE12" s="14"/>
      <c r="AF12" s="14"/>
      <c r="AG12" s="14"/>
      <c r="AL12" s="159" t="s">
        <v>319</v>
      </c>
      <c r="AM12" s="81" t="s">
        <v>320</v>
      </c>
      <c r="AN12" s="81" t="s">
        <v>330</v>
      </c>
      <c r="AO12" s="167">
        <f>SUM(T14)</f>
        <v>10652160</v>
      </c>
      <c r="AP12" s="81" t="s">
        <v>322</v>
      </c>
      <c r="AQ12" s="167">
        <v>12228720</v>
      </c>
      <c r="AU12" s="168" t="s">
        <v>319</v>
      </c>
      <c r="AV12" s="168" t="s">
        <v>320</v>
      </c>
      <c r="AW12" s="168" t="s">
        <v>330</v>
      </c>
      <c r="AX12" s="169" t="s">
        <v>323</v>
      </c>
      <c r="AY12" s="162">
        <f>AO12</f>
        <v>10652160</v>
      </c>
      <c r="AZ12" s="168" t="s">
        <v>322</v>
      </c>
      <c r="BB12" s="81" t="s">
        <v>395</v>
      </c>
      <c r="BC12" s="167">
        <v>0.318</v>
      </c>
      <c r="BD12" s="167">
        <v>2.1299999999999999E-3</v>
      </c>
      <c r="BE12" s="81">
        <v>149.15</v>
      </c>
      <c r="BF12" s="81" t="s">
        <v>388</v>
      </c>
      <c r="BI12" s="175" t="s">
        <v>319</v>
      </c>
      <c r="BJ12" s="175" t="s">
        <v>320</v>
      </c>
      <c r="BK12" s="175" t="s">
        <v>330</v>
      </c>
      <c r="BL12" s="175" t="s">
        <v>323</v>
      </c>
      <c r="BM12" s="174">
        <f>BC18</f>
        <v>15600000</v>
      </c>
      <c r="BN12" s="175" t="s">
        <v>322</v>
      </c>
      <c r="BP12" s="81" t="s">
        <v>395</v>
      </c>
      <c r="BQ12" s="167">
        <v>0.38</v>
      </c>
      <c r="BR12" s="167">
        <v>1.3600000000000001E-3</v>
      </c>
      <c r="BS12" s="81">
        <v>278.99</v>
      </c>
      <c r="BT12" s="81" t="s">
        <v>422</v>
      </c>
      <c r="BU12" s="167">
        <v>2E-16</v>
      </c>
      <c r="BV12" s="81" t="s">
        <v>389</v>
      </c>
      <c r="BX12" s="178" t="s">
        <v>319</v>
      </c>
      <c r="BY12" s="178" t="s">
        <v>320</v>
      </c>
      <c r="BZ12" s="178" t="s">
        <v>328</v>
      </c>
      <c r="CA12" s="178" t="s">
        <v>323</v>
      </c>
      <c r="CB12" s="179">
        <f>BQ20</f>
        <v>32200000</v>
      </c>
      <c r="CC12" s="178" t="s">
        <v>322</v>
      </c>
      <c r="CO12" s="255"/>
      <c r="CP12" s="255"/>
      <c r="CQ12" s="255"/>
      <c r="CT12" s="258" t="s">
        <v>442</v>
      </c>
      <c r="CU12" s="258" t="s">
        <v>444</v>
      </c>
      <c r="CV12" s="259">
        <v>0.94499999999999995</v>
      </c>
      <c r="CW12" s="259">
        <v>2.9100000000000001E-2</v>
      </c>
      <c r="CX12" s="258">
        <v>32.43</v>
      </c>
      <c r="CY12" s="258" t="s">
        <v>422</v>
      </c>
      <c r="CZ12" s="167">
        <v>2E-16</v>
      </c>
      <c r="DA12" s="81" t="s">
        <v>389</v>
      </c>
      <c r="DB12" s="260" t="s">
        <v>467</v>
      </c>
      <c r="DC12" s="263" t="s">
        <v>475</v>
      </c>
      <c r="DD12" s="261" t="s">
        <v>323</v>
      </c>
      <c r="DE12" s="262">
        <f t="shared" si="9"/>
        <v>1.77</v>
      </c>
      <c r="DF12" s="260" t="s">
        <v>322</v>
      </c>
    </row>
    <row r="13" spans="1:110" ht="15" customHeight="1" thickTop="1" thickBot="1" x14ac:dyDescent="0.3">
      <c r="A13" s="188"/>
      <c r="B13" s="189"/>
      <c r="C13" s="189"/>
      <c r="D13" s="194" t="s">
        <v>52</v>
      </c>
      <c r="E13" s="199" t="s">
        <v>56</v>
      </c>
      <c r="F13" s="195">
        <f t="shared" si="3"/>
        <v>0.11455108359133129</v>
      </c>
      <c r="G13" s="189"/>
      <c r="H13" s="200">
        <f>'Tabula data'!B25*(1-'Tabula 2zone Ref 2'!C45)</f>
        <v>3.7</v>
      </c>
      <c r="J13" s="81" t="s">
        <v>60</v>
      </c>
      <c r="K13" s="218">
        <v>0</v>
      </c>
      <c r="L13" s="219">
        <v>1</v>
      </c>
      <c r="M13" s="219" t="s">
        <v>54</v>
      </c>
      <c r="N13" s="220">
        <f>H9</f>
        <v>3.7</v>
      </c>
      <c r="O13" s="221" t="s">
        <v>50</v>
      </c>
      <c r="P13" s="30">
        <f t="shared" si="4"/>
        <v>1.1000000000000001</v>
      </c>
      <c r="Q13" s="30">
        <f t="shared" si="5"/>
        <v>4.07</v>
      </c>
      <c r="R13" s="30">
        <f t="shared" si="6"/>
        <v>0</v>
      </c>
      <c r="S13" s="30">
        <f t="shared" si="7"/>
        <v>0</v>
      </c>
      <c r="T13" s="30">
        <f t="shared" si="8"/>
        <v>0</v>
      </c>
      <c r="U13" s="31"/>
      <c r="V13" s="153"/>
      <c r="W13" s="228" t="s">
        <v>64</v>
      </c>
      <c r="X13" s="229"/>
      <c r="Y13" s="230" t="s">
        <v>21</v>
      </c>
      <c r="Z13" s="231">
        <f>1/(1/8+SUM(AC15:AC21)+1/23)</f>
        <v>0.19316281128097962</v>
      </c>
      <c r="AA13" s="229" t="s">
        <v>5</v>
      </c>
      <c r="AB13" s="229"/>
      <c r="AC13" s="229" t="s">
        <v>22</v>
      </c>
      <c r="AD13" s="232">
        <f>SUM(AD17:AD22)</f>
        <v>339066</v>
      </c>
      <c r="AE13" s="14" t="s">
        <v>23</v>
      </c>
      <c r="AF13" s="14">
        <f>SUM(AD20:AD21)</f>
        <v>181020.00000000003</v>
      </c>
      <c r="AG13" s="14"/>
      <c r="AO13" s="167"/>
      <c r="AP13" s="81" t="s">
        <v>322</v>
      </c>
      <c r="AQ13" s="167"/>
      <c r="AU13" s="168"/>
      <c r="AV13" s="168"/>
      <c r="AW13" s="168"/>
      <c r="AX13" s="169"/>
      <c r="AZ13" s="168"/>
      <c r="BB13" s="81" t="s">
        <v>396</v>
      </c>
      <c r="BC13" s="167">
        <v>0.26200000000000001</v>
      </c>
      <c r="BD13" s="167">
        <v>8.6800000000000002E-3</v>
      </c>
      <c r="BE13" s="81">
        <v>30.21</v>
      </c>
      <c r="BF13" s="81" t="s">
        <v>388</v>
      </c>
      <c r="BI13" s="175"/>
      <c r="BJ13" s="175"/>
      <c r="BK13" s="175"/>
      <c r="BL13" s="175"/>
      <c r="BM13" s="174"/>
      <c r="BN13" s="175"/>
      <c r="BP13" s="81" t="s">
        <v>396</v>
      </c>
      <c r="BQ13" s="167">
        <v>5.0500000000000003E-2</v>
      </c>
      <c r="BR13" s="167">
        <v>8.2699999999999996E-3</v>
      </c>
      <c r="BS13" s="81">
        <v>6.11</v>
      </c>
      <c r="BT13" s="167">
        <v>1.0999999999999999E-9</v>
      </c>
      <c r="BU13" s="81" t="s">
        <v>389</v>
      </c>
      <c r="BX13" s="178" t="s">
        <v>319</v>
      </c>
      <c r="BY13" s="178" t="s">
        <v>320</v>
      </c>
      <c r="BZ13" s="178" t="s">
        <v>329</v>
      </c>
      <c r="CA13" s="178" t="s">
        <v>323</v>
      </c>
      <c r="CB13" s="179">
        <f>BQ21</f>
        <v>25400000</v>
      </c>
      <c r="CC13" s="178" t="s">
        <v>322</v>
      </c>
      <c r="CN13" s="81" t="s">
        <v>331</v>
      </c>
      <c r="CO13" s="254">
        <f t="shared" si="0"/>
        <v>6.3621779185609573E-2</v>
      </c>
      <c r="CP13" s="254">
        <f t="shared" si="1"/>
        <v>0.11700000000000001</v>
      </c>
      <c r="CQ13" s="254">
        <f t="shared" si="2"/>
        <v>7.0400000000000004E-2</v>
      </c>
      <c r="CT13" s="258" t="s">
        <v>442</v>
      </c>
      <c r="CU13" s="258" t="s">
        <v>341</v>
      </c>
      <c r="CV13" s="259">
        <v>0.79800000000000004</v>
      </c>
      <c r="CW13" s="259">
        <v>9.8000000000000004E-2</v>
      </c>
      <c r="CX13" s="258">
        <v>8.14</v>
      </c>
      <c r="CY13" s="259">
        <v>4.4E-16</v>
      </c>
      <c r="CZ13" s="81" t="s">
        <v>389</v>
      </c>
      <c r="DB13" s="260" t="s">
        <v>467</v>
      </c>
      <c r="DC13" s="265" t="s">
        <v>476</v>
      </c>
      <c r="DD13" s="261" t="s">
        <v>323</v>
      </c>
      <c r="DE13" s="262">
        <f t="shared" si="9"/>
        <v>0.53700000000000003</v>
      </c>
      <c r="DF13" s="260" t="s">
        <v>322</v>
      </c>
    </row>
    <row r="14" spans="1:110" ht="15" customHeight="1" thickTop="1" thickBot="1" x14ac:dyDescent="0.3">
      <c r="A14" s="188"/>
      <c r="B14" s="189"/>
      <c r="C14" s="189"/>
      <c r="D14" s="201" t="s">
        <v>65</v>
      </c>
      <c r="E14" s="202"/>
      <c r="F14" s="202"/>
      <c r="G14" s="202"/>
      <c r="H14" s="203"/>
      <c r="J14" s="81" t="s">
        <v>61</v>
      </c>
      <c r="K14" s="218" t="s">
        <v>62</v>
      </c>
      <c r="L14" s="219">
        <v>1</v>
      </c>
      <c r="M14" s="219" t="s">
        <v>63</v>
      </c>
      <c r="N14" s="220">
        <f>B7</f>
        <v>96</v>
      </c>
      <c r="O14" s="221"/>
      <c r="P14" s="30">
        <f t="shared" si="4"/>
        <v>0.18202831551574691</v>
      </c>
      <c r="Q14" s="30">
        <f t="shared" si="5"/>
        <v>17.474718289511703</v>
      </c>
      <c r="R14" s="30">
        <f t="shared" si="6"/>
        <v>36604128</v>
      </c>
      <c r="S14" s="30">
        <f t="shared" si="7"/>
        <v>381293</v>
      </c>
      <c r="T14" s="30">
        <f t="shared" si="8"/>
        <v>10652160</v>
      </c>
      <c r="U14" s="31"/>
      <c r="V14" s="153"/>
      <c r="W14" s="233"/>
      <c r="X14" s="234" t="s">
        <v>27</v>
      </c>
      <c r="Y14" s="234" t="s">
        <v>28</v>
      </c>
      <c r="Z14" s="234" t="s">
        <v>29</v>
      </c>
      <c r="AA14" s="234" t="s">
        <v>30</v>
      </c>
      <c r="AB14" s="234" t="s">
        <v>31</v>
      </c>
      <c r="AC14" s="234" t="s">
        <v>32</v>
      </c>
      <c r="AD14" s="235" t="s">
        <v>33</v>
      </c>
      <c r="AE14" s="14"/>
      <c r="AF14" s="14"/>
      <c r="AG14" s="14"/>
      <c r="AL14" s="159" t="s">
        <v>319</v>
      </c>
      <c r="AM14" s="81" t="s">
        <v>320</v>
      </c>
      <c r="AN14" s="81" t="s">
        <v>331</v>
      </c>
      <c r="AO14" s="81">
        <f>AO4*0.3</f>
        <v>6.3621779185609573E-2</v>
      </c>
      <c r="AP14" s="81" t="s">
        <v>322</v>
      </c>
      <c r="AQ14" s="167">
        <v>6.5890790000000005E-2</v>
      </c>
      <c r="AU14" s="168" t="s">
        <v>319</v>
      </c>
      <c r="AV14" s="168" t="s">
        <v>320</v>
      </c>
      <c r="AW14" s="168" t="s">
        <v>331</v>
      </c>
      <c r="AX14" s="169" t="s">
        <v>323</v>
      </c>
      <c r="AY14" s="162">
        <f>AY4*0.3</f>
        <v>6.3621779185609573E-2</v>
      </c>
      <c r="AZ14" s="168" t="s">
        <v>322</v>
      </c>
      <c r="BB14" s="81" t="s">
        <v>397</v>
      </c>
      <c r="BC14" s="167">
        <v>0.156</v>
      </c>
      <c r="BD14" s="167">
        <v>1.4499999999999999E-3</v>
      </c>
      <c r="BE14" s="81">
        <v>107.8</v>
      </c>
      <c r="BF14" s="81" t="s">
        <v>388</v>
      </c>
      <c r="BI14" s="175" t="s">
        <v>319</v>
      </c>
      <c r="BJ14" s="175" t="s">
        <v>320</v>
      </c>
      <c r="BK14" s="175" t="s">
        <v>331</v>
      </c>
      <c r="BL14" s="175" t="s">
        <v>323</v>
      </c>
      <c r="BM14" s="174">
        <f>BC27</f>
        <v>0.11700000000000001</v>
      </c>
      <c r="BN14" s="175" t="s">
        <v>322</v>
      </c>
      <c r="BP14" s="81" t="s">
        <v>397</v>
      </c>
      <c r="BQ14" s="167">
        <v>0.20300000000000001</v>
      </c>
      <c r="BR14" s="167">
        <v>1.14E-3</v>
      </c>
      <c r="BS14" s="81">
        <v>177.92</v>
      </c>
      <c r="BT14" s="81" t="s">
        <v>422</v>
      </c>
      <c r="BU14" s="167">
        <v>2E-16</v>
      </c>
      <c r="BV14" s="81" t="s">
        <v>389</v>
      </c>
      <c r="BX14" s="178" t="s">
        <v>319</v>
      </c>
      <c r="BY14" s="178" t="s">
        <v>320</v>
      </c>
      <c r="BZ14" s="178" t="s">
        <v>330</v>
      </c>
      <c r="CA14" s="178" t="s">
        <v>323</v>
      </c>
      <c r="CB14" s="179">
        <v>0</v>
      </c>
      <c r="CC14" s="178" t="s">
        <v>322</v>
      </c>
      <c r="CN14" s="81" t="s">
        <v>332</v>
      </c>
      <c r="CO14" s="254">
        <f t="shared" si="0"/>
        <v>6.3621779185609573E-2</v>
      </c>
      <c r="CP14" s="254">
        <f t="shared" si="1"/>
        <v>0.22500000000000001</v>
      </c>
      <c r="CQ14" s="254">
        <f t="shared" si="2"/>
        <v>0.13700000000000001</v>
      </c>
      <c r="CT14" s="258" t="s">
        <v>442</v>
      </c>
      <c r="CU14" s="258" t="s">
        <v>445</v>
      </c>
      <c r="CV14" s="259">
        <v>1.04</v>
      </c>
      <c r="CW14" s="259">
        <v>1.66E-2</v>
      </c>
      <c r="CX14" s="258">
        <v>62.72</v>
      </c>
      <c r="CY14" s="258" t="s">
        <v>422</v>
      </c>
      <c r="CZ14" s="167">
        <v>2E-16</v>
      </c>
      <c r="DA14" s="81" t="s">
        <v>389</v>
      </c>
      <c r="DB14" s="260" t="s">
        <v>467</v>
      </c>
      <c r="DC14" s="265" t="s">
        <v>477</v>
      </c>
      <c r="DD14" s="261" t="s">
        <v>323</v>
      </c>
      <c r="DE14" s="262">
        <f t="shared" si="9"/>
        <v>1.12E-7</v>
      </c>
      <c r="DF14" s="260" t="s">
        <v>322</v>
      </c>
    </row>
    <row r="15" spans="1:110" ht="15" customHeight="1" thickTop="1" thickBot="1" x14ac:dyDescent="0.3">
      <c r="A15" s="188"/>
      <c r="B15" s="189"/>
      <c r="C15" s="189"/>
      <c r="D15" s="204"/>
      <c r="E15" s="189"/>
      <c r="F15" s="189"/>
      <c r="G15" s="189"/>
      <c r="H15" s="190"/>
      <c r="J15" s="81" t="s">
        <v>66</v>
      </c>
      <c r="K15" s="218">
        <v>0</v>
      </c>
      <c r="L15" s="219">
        <v>1</v>
      </c>
      <c r="M15" s="219" t="s">
        <v>20</v>
      </c>
      <c r="N15" s="222">
        <v>0</v>
      </c>
      <c r="O15" s="221"/>
      <c r="P15" s="30">
        <f t="shared" si="4"/>
        <v>0.1523066735339563</v>
      </c>
      <c r="Q15" s="30">
        <f t="shared" si="5"/>
        <v>0</v>
      </c>
      <c r="R15" s="30">
        <f>VLOOKUP(M15,$W$5:$AD$393,8,0)*N25</f>
        <v>7327656</v>
      </c>
      <c r="S15" s="30">
        <f>R15/N25</f>
        <v>67536</v>
      </c>
      <c r="T15" s="30">
        <f>VLOOKUP(M15,$W$5:$AF$393,10,0)*N25</f>
        <v>1777230</v>
      </c>
      <c r="U15" s="31"/>
      <c r="V15" s="153"/>
      <c r="W15" s="188"/>
      <c r="X15" s="269" t="s">
        <v>509</v>
      </c>
      <c r="Y15" s="269">
        <v>2.5000000000000001E-2</v>
      </c>
      <c r="Z15" s="269">
        <v>0.6</v>
      </c>
      <c r="AA15" s="269"/>
      <c r="AB15" s="269"/>
      <c r="AC15" s="236">
        <f>Y15/Z15</f>
        <v>4.1666666666666671E-2</v>
      </c>
      <c r="AD15" s="190">
        <f>AA15*AB15*Y15</f>
        <v>0</v>
      </c>
      <c r="AE15" s="14"/>
      <c r="AF15" s="14"/>
      <c r="AG15" s="14"/>
      <c r="AL15" s="159" t="s">
        <v>319</v>
      </c>
      <c r="AM15" s="81" t="s">
        <v>320</v>
      </c>
      <c r="AN15" s="81" t="s">
        <v>332</v>
      </c>
      <c r="AO15" s="81">
        <f>AO5*0.3</f>
        <v>6.3621779185609573E-2</v>
      </c>
      <c r="AP15" s="81" t="s">
        <v>322</v>
      </c>
      <c r="AQ15" s="167">
        <v>0.1612856</v>
      </c>
      <c r="AU15" s="168" t="s">
        <v>319</v>
      </c>
      <c r="AV15" s="168" t="s">
        <v>320</v>
      </c>
      <c r="AW15" s="168" t="s">
        <v>332</v>
      </c>
      <c r="AX15" s="169" t="s">
        <v>323</v>
      </c>
      <c r="AY15" s="162">
        <f>AY5*0.3</f>
        <v>6.3621779185609573E-2</v>
      </c>
      <c r="AZ15" s="168" t="s">
        <v>322</v>
      </c>
      <c r="BB15" s="81" t="s">
        <v>398</v>
      </c>
      <c r="BC15" s="167">
        <v>9.35E-2</v>
      </c>
      <c r="BD15" s="167">
        <v>1.6000000000000001E-3</v>
      </c>
      <c r="BE15" s="81">
        <v>58.4</v>
      </c>
      <c r="BF15" s="81" t="s">
        <v>388</v>
      </c>
      <c r="BI15" s="175" t="s">
        <v>319</v>
      </c>
      <c r="BJ15" s="175" t="s">
        <v>320</v>
      </c>
      <c r="BK15" s="175" t="s">
        <v>332</v>
      </c>
      <c r="BL15" s="175" t="s">
        <v>323</v>
      </c>
      <c r="BM15" s="174">
        <f>BC28</f>
        <v>0.22500000000000001</v>
      </c>
      <c r="BN15" s="175" t="s">
        <v>322</v>
      </c>
      <c r="BP15" s="81" t="s">
        <v>398</v>
      </c>
      <c r="BQ15" s="167">
        <v>0.11799999999999999</v>
      </c>
      <c r="BR15" s="167">
        <v>5.9500000000000004E-4</v>
      </c>
      <c r="BS15" s="81">
        <v>198</v>
      </c>
      <c r="BT15" s="81" t="s">
        <v>422</v>
      </c>
      <c r="BU15" s="167">
        <v>2E-16</v>
      </c>
      <c r="BV15" s="81" t="s">
        <v>389</v>
      </c>
      <c r="BX15" s="178"/>
      <c r="BY15" s="178"/>
      <c r="BZ15" s="178"/>
      <c r="CA15" s="178"/>
      <c r="CB15" s="179"/>
      <c r="CC15" s="178"/>
      <c r="CN15" s="81" t="s">
        <v>333</v>
      </c>
      <c r="CO15" s="254">
        <f t="shared" si="0"/>
        <v>0.71384967253564058</v>
      </c>
      <c r="CP15" s="254">
        <f t="shared" si="1"/>
        <v>0.46500000000000002</v>
      </c>
      <c r="CQ15" s="254">
        <f t="shared" si="2"/>
        <v>0.76900000000000002</v>
      </c>
      <c r="CT15" s="258" t="s">
        <v>442</v>
      </c>
      <c r="CU15" s="258" t="s">
        <v>446</v>
      </c>
      <c r="CV15" s="259">
        <v>0.82699999999999996</v>
      </c>
      <c r="CW15" s="259">
        <v>2.92E-2</v>
      </c>
      <c r="CX15" s="258">
        <v>28.33</v>
      </c>
      <c r="CY15" s="258" t="s">
        <v>422</v>
      </c>
      <c r="CZ15" s="167">
        <v>2E-16</v>
      </c>
      <c r="DA15" s="81" t="s">
        <v>389</v>
      </c>
      <c r="DB15" s="260" t="s">
        <v>467</v>
      </c>
      <c r="DC15" s="265" t="s">
        <v>478</v>
      </c>
      <c r="DD15" s="261" t="s">
        <v>323</v>
      </c>
      <c r="DE15" s="262">
        <f t="shared" si="9"/>
        <v>0.34100000000000003</v>
      </c>
      <c r="DF15" s="260" t="s">
        <v>322</v>
      </c>
    </row>
    <row r="16" spans="1:110" ht="15" customHeight="1" thickTop="1" thickBot="1" x14ac:dyDescent="0.3">
      <c r="A16" s="205"/>
      <c r="B16" s="187"/>
      <c r="C16" s="187"/>
      <c r="D16" s="194" t="s">
        <v>69</v>
      </c>
      <c r="E16" s="189"/>
      <c r="F16" s="206">
        <f>B4/B26</f>
        <v>1.3080082135523614</v>
      </c>
      <c r="G16" s="199" t="s">
        <v>70</v>
      </c>
      <c r="H16" s="190"/>
      <c r="J16" s="81" t="s">
        <v>67</v>
      </c>
      <c r="K16" s="218">
        <v>0</v>
      </c>
      <c r="L16" s="219">
        <v>1</v>
      </c>
      <c r="M16" s="219" t="s">
        <v>68</v>
      </c>
      <c r="N16" s="220">
        <f>'Tabula data'!B21</f>
        <v>9.5</v>
      </c>
      <c r="O16" s="221"/>
      <c r="P16" s="30">
        <f t="shared" si="4"/>
        <v>4</v>
      </c>
      <c r="Q16" s="30">
        <f t="shared" si="5"/>
        <v>38</v>
      </c>
      <c r="R16" s="30">
        <f t="shared" ref="R16:R28" si="10">VLOOKUP(M16,$W$5:$AD$393,8,0)*N16</f>
        <v>346940</v>
      </c>
      <c r="S16" s="30">
        <f t="shared" ref="S16:S28" si="11">R16/N16</f>
        <v>36520</v>
      </c>
      <c r="T16" s="30">
        <f t="shared" ref="T16:T28" si="12">VLOOKUP(M16,$W$5:$AF$393,10,0)*N16</f>
        <v>1719690.0000000002</v>
      </c>
      <c r="U16" s="31"/>
      <c r="V16" s="153"/>
      <c r="W16" s="188"/>
      <c r="X16" s="269" t="s">
        <v>285</v>
      </c>
      <c r="Y16" s="288">
        <v>0.05</v>
      </c>
      <c r="Z16" s="269">
        <v>2.4E-2</v>
      </c>
      <c r="AA16" s="269"/>
      <c r="AB16" s="269"/>
      <c r="AC16" s="236">
        <f>Y16/Z16</f>
        <v>2.0833333333333335</v>
      </c>
      <c r="AD16" s="190">
        <f>AA16*AB16*Y16</f>
        <v>0</v>
      </c>
      <c r="AE16" s="14"/>
      <c r="AF16" s="14"/>
      <c r="AG16" s="14"/>
      <c r="AL16" s="159" t="s">
        <v>319</v>
      </c>
      <c r="AM16" s="81" t="s">
        <v>320</v>
      </c>
      <c r="AN16" s="81" t="s">
        <v>333</v>
      </c>
      <c r="AO16" s="81">
        <f>AO6*0.3+0.7</f>
        <v>0.71384967253564058</v>
      </c>
      <c r="AP16" s="81" t="s">
        <v>322</v>
      </c>
      <c r="AQ16" s="167">
        <v>0.64236059999999995</v>
      </c>
      <c r="AU16" s="168" t="s">
        <v>319</v>
      </c>
      <c r="AV16" s="168" t="s">
        <v>320</v>
      </c>
      <c r="AW16" s="168" t="s">
        <v>333</v>
      </c>
      <c r="AX16" s="169" t="s">
        <v>323</v>
      </c>
      <c r="AY16" s="162">
        <f>AY6*0.3+0.7</f>
        <v>0.71384967253564058</v>
      </c>
      <c r="AZ16" s="168" t="s">
        <v>322</v>
      </c>
      <c r="BB16" s="81" t="s">
        <v>308</v>
      </c>
      <c r="BC16" s="167">
        <v>13100000</v>
      </c>
      <c r="BD16" s="167">
        <v>252000</v>
      </c>
      <c r="BE16" s="81">
        <v>51.84</v>
      </c>
      <c r="BF16" s="81" t="s">
        <v>388</v>
      </c>
      <c r="BI16" s="175" t="s">
        <v>319</v>
      </c>
      <c r="BJ16" s="175" t="s">
        <v>320</v>
      </c>
      <c r="BK16" s="175" t="s">
        <v>333</v>
      </c>
      <c r="BL16" s="175" t="s">
        <v>323</v>
      </c>
      <c r="BM16" s="174">
        <f>BC29</f>
        <v>0.46500000000000002</v>
      </c>
      <c r="BN16" s="175" t="s">
        <v>322</v>
      </c>
      <c r="BP16" s="81" t="s">
        <v>308</v>
      </c>
      <c r="BQ16" s="167">
        <v>812000000</v>
      </c>
      <c r="BR16" s="167">
        <v>25300000</v>
      </c>
      <c r="BS16" s="81">
        <v>32.119999999999997</v>
      </c>
      <c r="BT16" s="81" t="s">
        <v>422</v>
      </c>
      <c r="BU16" s="167">
        <v>2E-16</v>
      </c>
      <c r="BV16" s="81" t="s">
        <v>389</v>
      </c>
      <c r="BX16" s="178" t="s">
        <v>319</v>
      </c>
      <c r="BY16" s="178" t="s">
        <v>320</v>
      </c>
      <c r="BZ16" s="178" t="s">
        <v>331</v>
      </c>
      <c r="CA16" s="178" t="s">
        <v>323</v>
      </c>
      <c r="CB16" s="177">
        <f>BQ27</f>
        <v>7.0400000000000004E-2</v>
      </c>
      <c r="CC16" s="178" t="s">
        <v>322</v>
      </c>
      <c r="CN16" s="81" t="s">
        <v>334</v>
      </c>
      <c r="CO16" s="254">
        <f t="shared" si="0"/>
        <v>8.2326226837244762E-2</v>
      </c>
      <c r="CP16" s="254">
        <f t="shared" si="1"/>
        <v>0.11</v>
      </c>
      <c r="CQ16" s="254">
        <f t="shared" si="2"/>
        <v>7.2499999999999995E-2</v>
      </c>
      <c r="CT16" s="258" t="s">
        <v>442</v>
      </c>
      <c r="CU16" s="258" t="s">
        <v>447</v>
      </c>
      <c r="CV16" s="259">
        <v>1.83</v>
      </c>
      <c r="CW16" s="259">
        <v>2.8799999999999999E-2</v>
      </c>
      <c r="CX16" s="258">
        <v>63.51</v>
      </c>
      <c r="CY16" s="258" t="s">
        <v>422</v>
      </c>
      <c r="CZ16" s="167">
        <v>2E-16</v>
      </c>
      <c r="DA16" s="81" t="s">
        <v>389</v>
      </c>
      <c r="DB16" s="260" t="s">
        <v>467</v>
      </c>
      <c r="DC16" s="265" t="s">
        <v>479</v>
      </c>
      <c r="DD16" s="261" t="s">
        <v>323</v>
      </c>
      <c r="DE16" s="262">
        <f t="shared" si="9"/>
        <v>5.91E-2</v>
      </c>
      <c r="DF16" s="260" t="s">
        <v>322</v>
      </c>
    </row>
    <row r="17" spans="1:110" ht="15" customHeight="1" thickTop="1" thickBot="1" x14ac:dyDescent="0.3">
      <c r="A17" s="191" t="s">
        <v>73</v>
      </c>
      <c r="B17" s="192">
        <v>0</v>
      </c>
      <c r="C17" s="202" t="s">
        <v>9</v>
      </c>
      <c r="D17" s="194" t="s">
        <v>74</v>
      </c>
      <c r="E17" s="189"/>
      <c r="F17" s="206">
        <f>B26/B23</f>
        <v>2.1025364274150027</v>
      </c>
      <c r="G17" s="199"/>
      <c r="H17" s="190"/>
      <c r="J17" s="81" t="s">
        <v>71</v>
      </c>
      <c r="K17" s="218">
        <v>0</v>
      </c>
      <c r="L17" s="219">
        <v>2</v>
      </c>
      <c r="M17" s="219" t="s">
        <v>25</v>
      </c>
      <c r="N17" s="220">
        <f>'Tabula data'!B19*(1-C43)</f>
        <v>18.364565347833842</v>
      </c>
      <c r="O17" s="221" t="s">
        <v>26</v>
      </c>
      <c r="P17" s="30">
        <f t="shared" si="4"/>
        <v>0.19316281128097962</v>
      </c>
      <c r="Q17" s="30">
        <f t="shared" si="5"/>
        <v>3.5473510705408464</v>
      </c>
      <c r="R17" s="30">
        <f t="shared" si="10"/>
        <v>6226799.7142286301</v>
      </c>
      <c r="S17" s="30">
        <f t="shared" si="11"/>
        <v>339066</v>
      </c>
      <c r="T17" s="30">
        <f t="shared" si="12"/>
        <v>3324353.6192648825</v>
      </c>
      <c r="U17" s="31"/>
      <c r="V17" s="153"/>
      <c r="W17" s="188"/>
      <c r="X17" s="189" t="s">
        <v>271</v>
      </c>
      <c r="Y17" s="189">
        <v>0.1</v>
      </c>
      <c r="Z17" s="189">
        <v>1.1000000000000001</v>
      </c>
      <c r="AA17" s="189">
        <v>1850</v>
      </c>
      <c r="AB17" s="199">
        <v>840</v>
      </c>
      <c r="AC17" s="236">
        <f>Y17/Z17</f>
        <v>9.0909090909090912E-2</v>
      </c>
      <c r="AD17" s="190">
        <f>AA17*AB17*Y17</f>
        <v>155400</v>
      </c>
      <c r="AE17" s="14"/>
      <c r="AF17" s="14"/>
      <c r="AG17" s="14"/>
      <c r="AL17" s="159" t="s">
        <v>319</v>
      </c>
      <c r="AM17" s="81" t="s">
        <v>320</v>
      </c>
      <c r="AN17" s="81" t="s">
        <v>334</v>
      </c>
      <c r="AO17" s="81">
        <f>AO7*0.3</f>
        <v>8.2326226837244762E-2</v>
      </c>
      <c r="AP17" s="81" t="s">
        <v>322</v>
      </c>
      <c r="AQ17" s="167">
        <v>6.4977720000000003E-2</v>
      </c>
      <c r="AU17" s="168" t="s">
        <v>319</v>
      </c>
      <c r="AV17" s="168" t="s">
        <v>320</v>
      </c>
      <c r="AW17" s="168" t="s">
        <v>334</v>
      </c>
      <c r="AX17" s="169" t="s">
        <v>323</v>
      </c>
      <c r="AY17" s="162">
        <f>AY7*0.3</f>
        <v>8.2326226837244762E-2</v>
      </c>
      <c r="AZ17" s="168" t="s">
        <v>322</v>
      </c>
      <c r="BI17" s="175" t="s">
        <v>319</v>
      </c>
      <c r="BJ17" s="175" t="s">
        <v>320</v>
      </c>
      <c r="BK17" s="175" t="s">
        <v>334</v>
      </c>
      <c r="BL17" s="175" t="s">
        <v>323</v>
      </c>
      <c r="BM17" s="174">
        <f>BC30</f>
        <v>0.11</v>
      </c>
      <c r="BN17" s="175" t="s">
        <v>322</v>
      </c>
      <c r="BX17" s="178" t="s">
        <v>319</v>
      </c>
      <c r="BY17" s="178" t="s">
        <v>320</v>
      </c>
      <c r="BZ17" s="178" t="s">
        <v>332</v>
      </c>
      <c r="CA17" s="178" t="s">
        <v>323</v>
      </c>
      <c r="CB17" s="177">
        <f>BQ28</f>
        <v>0.13700000000000001</v>
      </c>
      <c r="CC17" s="178" t="s">
        <v>322</v>
      </c>
      <c r="CO17" s="255"/>
      <c r="CP17" s="255"/>
      <c r="CQ17" s="255"/>
      <c r="CT17" s="258" t="s">
        <v>442</v>
      </c>
      <c r="CU17" s="258" t="s">
        <v>342</v>
      </c>
      <c r="CV17" s="259">
        <v>1.22</v>
      </c>
      <c r="CW17" s="259">
        <v>8.3799999999999999E-2</v>
      </c>
      <c r="CX17" s="258">
        <v>14.59</v>
      </c>
      <c r="CY17" s="258" t="s">
        <v>422</v>
      </c>
      <c r="CZ17" s="167">
        <v>2E-16</v>
      </c>
      <c r="DA17" s="81" t="s">
        <v>389</v>
      </c>
      <c r="DB17" s="260" t="s">
        <v>467</v>
      </c>
      <c r="DC17" s="265" t="s">
        <v>480</v>
      </c>
      <c r="DD17" s="261" t="s">
        <v>323</v>
      </c>
      <c r="DE17" s="262">
        <f t="shared" si="9"/>
        <v>0.98799999999999999</v>
      </c>
      <c r="DF17" s="260" t="s">
        <v>322</v>
      </c>
    </row>
    <row r="18" spans="1:110" ht="15" customHeight="1" thickTop="1" thickBot="1" x14ac:dyDescent="0.3">
      <c r="A18" s="188" t="s">
        <v>77</v>
      </c>
      <c r="B18" s="189">
        <v>0</v>
      </c>
      <c r="C18" s="189"/>
      <c r="D18" s="194" t="s">
        <v>78</v>
      </c>
      <c r="E18" s="189"/>
      <c r="F18" s="206">
        <f>B26/B6</f>
        <v>2.1025364274150027</v>
      </c>
      <c r="G18" s="199"/>
      <c r="H18" s="190"/>
      <c r="J18" s="81" t="s">
        <v>75</v>
      </c>
      <c r="K18" s="218">
        <v>0</v>
      </c>
      <c r="L18" s="219">
        <v>2</v>
      </c>
      <c r="M18" s="219" t="s">
        <v>25</v>
      </c>
      <c r="N18" s="220">
        <f>'Tabula data'!B20*(1-C43)</f>
        <v>32.281986411725747</v>
      </c>
      <c r="O18" s="221" t="s">
        <v>39</v>
      </c>
      <c r="P18" s="30">
        <f t="shared" si="4"/>
        <v>0.19316281128097962</v>
      </c>
      <c r="Q18" s="30">
        <f t="shared" si="5"/>
        <v>6.2356792490233284</v>
      </c>
      <c r="R18" s="30">
        <f t="shared" si="10"/>
        <v>10945724.004678203</v>
      </c>
      <c r="S18" s="30">
        <f t="shared" si="11"/>
        <v>339066</v>
      </c>
      <c r="T18" s="30">
        <f t="shared" si="12"/>
        <v>5843685.1802505953</v>
      </c>
      <c r="U18" s="31"/>
      <c r="V18" s="153"/>
      <c r="W18" s="188"/>
      <c r="X18" s="189"/>
      <c r="Y18" s="189"/>
      <c r="Z18" s="189"/>
      <c r="AA18" s="189"/>
      <c r="AB18" s="189"/>
      <c r="AC18" s="236"/>
      <c r="AD18" s="190"/>
      <c r="AE18" s="14"/>
      <c r="AF18" s="14"/>
      <c r="AG18" s="14"/>
      <c r="AP18" s="81" t="s">
        <v>322</v>
      </c>
      <c r="AQ18" s="167"/>
      <c r="AU18" s="168"/>
      <c r="AV18" s="168"/>
      <c r="AW18" s="168"/>
      <c r="AX18" s="169"/>
      <c r="AZ18" s="168"/>
      <c r="BB18" s="81" t="s">
        <v>304</v>
      </c>
      <c r="BC18" s="167">
        <v>15600000</v>
      </c>
      <c r="BD18" s="167">
        <v>67000</v>
      </c>
      <c r="BE18" s="81">
        <v>232.84</v>
      </c>
      <c r="BF18" s="81" t="s">
        <v>388</v>
      </c>
      <c r="BI18" s="175"/>
      <c r="BJ18" s="175"/>
      <c r="BK18" s="175"/>
      <c r="BL18" s="175"/>
      <c r="BM18" s="174"/>
      <c r="BN18" s="175"/>
      <c r="BP18" s="81" t="s">
        <v>304</v>
      </c>
      <c r="BQ18" s="167">
        <v>15000000</v>
      </c>
      <c r="BR18" s="167">
        <v>733000</v>
      </c>
      <c r="BS18" s="81">
        <v>20.420000000000002</v>
      </c>
      <c r="BT18" s="81" t="s">
        <v>422</v>
      </c>
      <c r="BU18" s="167">
        <v>2E-16</v>
      </c>
      <c r="BV18" s="81" t="s">
        <v>389</v>
      </c>
      <c r="BX18" s="178" t="s">
        <v>319</v>
      </c>
      <c r="BY18" s="178" t="s">
        <v>320</v>
      </c>
      <c r="BZ18" s="178" t="s">
        <v>333</v>
      </c>
      <c r="CA18" s="178" t="s">
        <v>323</v>
      </c>
      <c r="CB18" s="177">
        <f>BQ29</f>
        <v>0.76900000000000002</v>
      </c>
      <c r="CC18" s="178" t="s">
        <v>322</v>
      </c>
      <c r="CN18" s="81" t="s">
        <v>335</v>
      </c>
      <c r="CO18" s="257">
        <f t="shared" si="0"/>
        <v>273.46072875090488</v>
      </c>
      <c r="CP18" s="257">
        <f t="shared" si="1"/>
        <v>637</v>
      </c>
      <c r="CQ18" s="257">
        <f t="shared" si="2"/>
        <v>278</v>
      </c>
      <c r="CT18" s="258" t="s">
        <v>442</v>
      </c>
      <c r="CU18" s="258" t="s">
        <v>448</v>
      </c>
      <c r="CV18" s="259">
        <v>2.1</v>
      </c>
      <c r="CW18" s="259">
        <v>1.7399999999999999E-2</v>
      </c>
      <c r="CX18" s="258">
        <v>120.93</v>
      </c>
      <c r="CY18" s="258" t="s">
        <v>422</v>
      </c>
      <c r="CZ18" s="167">
        <v>2E-16</v>
      </c>
      <c r="DA18" s="81" t="s">
        <v>389</v>
      </c>
      <c r="DB18" s="260" t="s">
        <v>467</v>
      </c>
      <c r="DC18" s="265" t="s">
        <v>481</v>
      </c>
      <c r="DD18" s="261" t="s">
        <v>323</v>
      </c>
      <c r="DE18" s="262">
        <f t="shared" si="9"/>
        <v>3.1199999999999999E-7</v>
      </c>
      <c r="DF18" s="260" t="s">
        <v>322</v>
      </c>
    </row>
    <row r="19" spans="1:110" ht="15" customHeight="1" thickTop="1" thickBot="1" x14ac:dyDescent="0.3">
      <c r="A19" s="188" t="s">
        <v>81</v>
      </c>
      <c r="B19" s="197">
        <f>B17-B18</f>
        <v>0</v>
      </c>
      <c r="C19" s="189"/>
      <c r="D19" s="204"/>
      <c r="E19" s="199"/>
      <c r="F19" s="199"/>
      <c r="G19" s="199"/>
      <c r="H19" s="198"/>
      <c r="J19" s="81" t="s">
        <v>79</v>
      </c>
      <c r="K19" s="218">
        <v>0</v>
      </c>
      <c r="L19" s="219">
        <v>2</v>
      </c>
      <c r="M19" s="219" t="s">
        <v>25</v>
      </c>
      <c r="N19" s="220">
        <f>N17</f>
        <v>18.364565347833842</v>
      </c>
      <c r="O19" s="221" t="s">
        <v>45</v>
      </c>
      <c r="P19" s="30">
        <f t="shared" si="4"/>
        <v>0.19316281128097962</v>
      </c>
      <c r="Q19" s="30">
        <f t="shared" si="5"/>
        <v>3.5473510705408464</v>
      </c>
      <c r="R19" s="30">
        <f t="shared" si="10"/>
        <v>6226799.7142286301</v>
      </c>
      <c r="S19" s="30">
        <f t="shared" si="11"/>
        <v>339066</v>
      </c>
      <c r="T19" s="30">
        <f t="shared" si="12"/>
        <v>3324353.6192648825</v>
      </c>
      <c r="U19" s="31"/>
      <c r="V19" s="153"/>
      <c r="W19" s="188"/>
      <c r="X19" s="189" t="s">
        <v>273</v>
      </c>
      <c r="Y19" s="189">
        <v>0.06</v>
      </c>
      <c r="Z19" s="189">
        <v>2.4E-2</v>
      </c>
      <c r="AA19" s="189">
        <v>30</v>
      </c>
      <c r="AB19" s="189">
        <v>1470</v>
      </c>
      <c r="AC19" s="236">
        <f>Y19/Z19</f>
        <v>2.5</v>
      </c>
      <c r="AD19" s="190">
        <f>Y19*AA19*AB19</f>
        <v>2645.9999999999995</v>
      </c>
      <c r="AE19" s="149" t="s">
        <v>274</v>
      </c>
      <c r="AF19" s="14"/>
      <c r="AG19" s="14"/>
      <c r="AL19" s="159" t="s">
        <v>319</v>
      </c>
      <c r="AM19" s="81" t="s">
        <v>320</v>
      </c>
      <c r="AN19" s="81" t="s">
        <v>335</v>
      </c>
      <c r="AO19" s="85">
        <f>SUM(N6:N9)*(1/(SUM(AC20:AC21)*0.5+1/8))</f>
        <v>273.46072875090488</v>
      </c>
      <c r="AP19" s="81" t="s">
        <v>322</v>
      </c>
      <c r="AQ19" s="167">
        <v>298.59179999999998</v>
      </c>
      <c r="AU19" s="168" t="s">
        <v>319</v>
      </c>
      <c r="AV19" s="168" t="s">
        <v>320</v>
      </c>
      <c r="AW19" s="168" t="s">
        <v>335</v>
      </c>
      <c r="AX19" s="169" t="s">
        <v>323</v>
      </c>
      <c r="AY19" s="162">
        <f t="shared" ref="AY19:AY24" si="13">AO19</f>
        <v>273.46072875090488</v>
      </c>
      <c r="AZ19" s="168" t="s">
        <v>322</v>
      </c>
      <c r="BB19" s="81" t="s">
        <v>399</v>
      </c>
      <c r="BC19" s="167">
        <v>2950000</v>
      </c>
      <c r="BD19" s="167">
        <v>42900</v>
      </c>
      <c r="BE19" s="81">
        <v>68.739999999999995</v>
      </c>
      <c r="BF19" s="81" t="s">
        <v>388</v>
      </c>
      <c r="BI19" s="175" t="s">
        <v>319</v>
      </c>
      <c r="BJ19" s="175" t="s">
        <v>320</v>
      </c>
      <c r="BK19" s="175" t="s">
        <v>335</v>
      </c>
      <c r="BL19" s="175" t="s">
        <v>323</v>
      </c>
      <c r="BM19" s="181">
        <f>BC32</f>
        <v>637</v>
      </c>
      <c r="BN19" s="175" t="s">
        <v>322</v>
      </c>
      <c r="BP19" s="81" t="s">
        <v>399</v>
      </c>
      <c r="BQ19" s="167">
        <v>3560000</v>
      </c>
      <c r="BR19" s="167">
        <v>405000</v>
      </c>
      <c r="BS19" s="81">
        <v>8.81</v>
      </c>
      <c r="BT19" s="81" t="s">
        <v>422</v>
      </c>
      <c r="BU19" s="167">
        <v>2E-16</v>
      </c>
      <c r="BV19" s="81" t="s">
        <v>389</v>
      </c>
      <c r="BX19" s="178" t="s">
        <v>319</v>
      </c>
      <c r="BY19" s="178" t="s">
        <v>320</v>
      </c>
      <c r="BZ19" s="178" t="s">
        <v>334</v>
      </c>
      <c r="CA19" s="178" t="s">
        <v>323</v>
      </c>
      <c r="CB19" s="177">
        <f>BQ30</f>
        <v>7.2499999999999995E-2</v>
      </c>
      <c r="CC19" s="178" t="s">
        <v>322</v>
      </c>
      <c r="CN19" s="81" t="s">
        <v>336</v>
      </c>
      <c r="CO19" s="257">
        <f t="shared" si="0"/>
        <v>399.20792079207922</v>
      </c>
      <c r="CP19" s="257">
        <f t="shared" si="1"/>
        <v>795</v>
      </c>
      <c r="CQ19" s="257">
        <f t="shared" si="2"/>
        <v>215</v>
      </c>
      <c r="CT19" s="258" t="s">
        <v>442</v>
      </c>
      <c r="CU19" s="258" t="s">
        <v>449</v>
      </c>
      <c r="CV19" s="259">
        <v>1.77</v>
      </c>
      <c r="CW19" s="259">
        <v>3.0800000000000001E-2</v>
      </c>
      <c r="CX19" s="258">
        <v>57.42</v>
      </c>
      <c r="CY19" s="258" t="s">
        <v>422</v>
      </c>
      <c r="CZ19" s="167">
        <v>2E-16</v>
      </c>
      <c r="DA19" s="81" t="s">
        <v>389</v>
      </c>
      <c r="DB19" s="260" t="s">
        <v>467</v>
      </c>
      <c r="DC19" s="263" t="s">
        <v>482</v>
      </c>
      <c r="DD19" s="261" t="s">
        <v>323</v>
      </c>
      <c r="DE19" s="262">
        <f t="shared" si="9"/>
        <v>1.1399999999999999</v>
      </c>
      <c r="DF19" s="260" t="s">
        <v>322</v>
      </c>
    </row>
    <row r="20" spans="1:110" ht="15" customHeight="1" thickTop="1" thickBot="1" x14ac:dyDescent="0.3">
      <c r="A20" s="188"/>
      <c r="B20" s="189"/>
      <c r="C20" s="189"/>
      <c r="D20" s="194" t="s">
        <v>83</v>
      </c>
      <c r="E20" s="199"/>
      <c r="F20" s="207">
        <f>G4/B23</f>
        <v>0.17431192660550457</v>
      </c>
      <c r="G20" s="199"/>
      <c r="H20" s="190"/>
      <c r="J20" s="81" t="s">
        <v>82</v>
      </c>
      <c r="K20" s="218">
        <v>0</v>
      </c>
      <c r="L20" s="219">
        <v>2</v>
      </c>
      <c r="M20" s="219" t="s">
        <v>25</v>
      </c>
      <c r="N20" s="220">
        <v>0</v>
      </c>
      <c r="O20" s="221" t="s">
        <v>50</v>
      </c>
      <c r="P20" s="30">
        <f t="shared" si="4"/>
        <v>0.19316281128097962</v>
      </c>
      <c r="Q20" s="30">
        <f t="shared" si="5"/>
        <v>0</v>
      </c>
      <c r="R20" s="30">
        <f t="shared" si="10"/>
        <v>0</v>
      </c>
      <c r="S20" s="30" t="e">
        <f t="shared" si="11"/>
        <v>#DIV/0!</v>
      </c>
      <c r="T20" s="30">
        <f t="shared" si="12"/>
        <v>0</v>
      </c>
      <c r="U20" s="31"/>
      <c r="V20" s="153"/>
      <c r="W20" s="188"/>
      <c r="X20" s="199" t="s">
        <v>275</v>
      </c>
      <c r="Y20" s="189">
        <v>0.14000000000000001</v>
      </c>
      <c r="Z20" s="189">
        <v>0.54</v>
      </c>
      <c r="AA20" s="189">
        <v>1400</v>
      </c>
      <c r="AB20" s="199">
        <v>840</v>
      </c>
      <c r="AC20" s="236">
        <f>Y20/Z20</f>
        <v>0.25925925925925924</v>
      </c>
      <c r="AD20" s="190">
        <f>Y20*AA20*AB20</f>
        <v>164640.00000000003</v>
      </c>
      <c r="AE20" s="14" t="s">
        <v>276</v>
      </c>
      <c r="AF20" s="14"/>
      <c r="AG20" s="14"/>
      <c r="AL20" s="159" t="s">
        <v>319</v>
      </c>
      <c r="AM20" s="81" t="s">
        <v>320</v>
      </c>
      <c r="AN20" s="81" t="s">
        <v>336</v>
      </c>
      <c r="AO20" s="85">
        <f>SUM(N14)*1/(0.5*SUM(AC44:AC45)+1/6)</f>
        <v>399.20792079207922</v>
      </c>
      <c r="AP20" s="81" t="s">
        <v>322</v>
      </c>
      <c r="AQ20" s="167">
        <v>278.86439999999999</v>
      </c>
      <c r="AU20" s="168" t="s">
        <v>319</v>
      </c>
      <c r="AV20" s="168" t="s">
        <v>320</v>
      </c>
      <c r="AW20" s="168" t="s">
        <v>336</v>
      </c>
      <c r="AX20" s="169" t="s">
        <v>323</v>
      </c>
      <c r="AY20" s="162">
        <f t="shared" si="13"/>
        <v>399.20792079207922</v>
      </c>
      <c r="AZ20" s="168" t="s">
        <v>322</v>
      </c>
      <c r="BB20" s="81" t="s">
        <v>301</v>
      </c>
      <c r="BC20" s="167">
        <v>23100000</v>
      </c>
      <c r="BD20" s="167">
        <v>232000</v>
      </c>
      <c r="BE20" s="81">
        <v>99.92</v>
      </c>
      <c r="BF20" s="81" t="s">
        <v>388</v>
      </c>
      <c r="BI20" s="175" t="s">
        <v>319</v>
      </c>
      <c r="BJ20" s="175" t="s">
        <v>320</v>
      </c>
      <c r="BK20" s="175" t="s">
        <v>336</v>
      </c>
      <c r="BL20" s="175" t="s">
        <v>323</v>
      </c>
      <c r="BM20" s="181">
        <f>BC33</f>
        <v>795</v>
      </c>
      <c r="BN20" s="175" t="s">
        <v>322</v>
      </c>
      <c r="BP20" s="81" t="s">
        <v>301</v>
      </c>
      <c r="BQ20" s="167">
        <v>32200000</v>
      </c>
      <c r="BR20" s="167">
        <v>1890000</v>
      </c>
      <c r="BS20" s="81">
        <v>17.04</v>
      </c>
      <c r="BT20" s="81" t="s">
        <v>422</v>
      </c>
      <c r="BU20" s="167">
        <v>2E-16</v>
      </c>
      <c r="BV20" s="81" t="s">
        <v>389</v>
      </c>
      <c r="BX20" s="178"/>
      <c r="BY20" s="178"/>
      <c r="BZ20" s="178"/>
      <c r="CA20" s="178"/>
      <c r="CB20" s="177"/>
      <c r="CC20" s="178"/>
      <c r="CN20" s="81" t="s">
        <v>337</v>
      </c>
      <c r="CO20" s="257">
        <f t="shared" si="0"/>
        <v>515.26683938273379</v>
      </c>
      <c r="CP20" s="257">
        <f t="shared" si="1"/>
        <v>1310</v>
      </c>
      <c r="CQ20" s="257">
        <f t="shared" si="2"/>
        <v>457</v>
      </c>
      <c r="CT20" s="258" t="s">
        <v>442</v>
      </c>
      <c r="CU20" s="258" t="s">
        <v>450</v>
      </c>
      <c r="CV20" s="259">
        <v>0.53700000000000003</v>
      </c>
      <c r="CW20" s="259">
        <v>0.23799999999999999</v>
      </c>
      <c r="CX20" s="258">
        <v>2.2599999999999998</v>
      </c>
      <c r="CY20" s="258">
        <v>2.4E-2</v>
      </c>
      <c r="CZ20" s="81" t="s">
        <v>434</v>
      </c>
      <c r="DB20" s="260" t="s">
        <v>467</v>
      </c>
      <c r="DC20" s="264" t="s">
        <v>483</v>
      </c>
      <c r="DD20" s="261" t="s">
        <v>323</v>
      </c>
      <c r="DE20" s="262">
        <f t="shared" si="9"/>
        <v>0.99399999999999999</v>
      </c>
      <c r="DF20" s="260" t="s">
        <v>322</v>
      </c>
    </row>
    <row r="21" spans="1:110" ht="15" customHeight="1" thickTop="1" thickBot="1" x14ac:dyDescent="0.3">
      <c r="A21" s="188"/>
      <c r="B21" s="189"/>
      <c r="C21" s="189"/>
      <c r="D21" s="194" t="s">
        <v>86</v>
      </c>
      <c r="E21" s="199"/>
      <c r="F21" s="207">
        <f>G4/B6</f>
        <v>0.17431192660550457</v>
      </c>
      <c r="G21" s="199"/>
      <c r="H21" s="190"/>
      <c r="J21" s="81" t="s">
        <v>84</v>
      </c>
      <c r="K21" s="218">
        <v>0</v>
      </c>
      <c r="L21" s="219">
        <v>2</v>
      </c>
      <c r="M21" s="219" t="s">
        <v>54</v>
      </c>
      <c r="N21" s="220">
        <f>H10</f>
        <v>3.9</v>
      </c>
      <c r="O21" s="221" t="s">
        <v>26</v>
      </c>
      <c r="P21" s="30">
        <f t="shared" si="4"/>
        <v>1.1000000000000001</v>
      </c>
      <c r="Q21" s="30">
        <f t="shared" si="5"/>
        <v>4.29</v>
      </c>
      <c r="R21" s="30">
        <f t="shared" si="10"/>
        <v>0</v>
      </c>
      <c r="S21" s="30">
        <f t="shared" si="11"/>
        <v>0</v>
      </c>
      <c r="T21" s="30">
        <f t="shared" si="12"/>
        <v>0</v>
      </c>
      <c r="U21" s="31"/>
      <c r="V21" s="153"/>
      <c r="W21" s="205"/>
      <c r="X21" s="187" t="s">
        <v>277</v>
      </c>
      <c r="Y21" s="187">
        <v>0.02</v>
      </c>
      <c r="Z21" s="187">
        <v>0.6</v>
      </c>
      <c r="AA21" s="187">
        <v>975</v>
      </c>
      <c r="AB21" s="187">
        <v>840</v>
      </c>
      <c r="AC21" s="237">
        <f>Y21/Z21</f>
        <v>3.3333333333333333E-2</v>
      </c>
      <c r="AD21" s="210">
        <f>Y21*AA21*AB21</f>
        <v>16380</v>
      </c>
      <c r="AE21" s="14"/>
      <c r="AF21" s="14"/>
      <c r="AG21" s="14"/>
      <c r="AL21" s="159" t="s">
        <v>319</v>
      </c>
      <c r="AM21" s="81" t="s">
        <v>320</v>
      </c>
      <c r="AN21" s="81" t="s">
        <v>337</v>
      </c>
      <c r="AO21" s="85">
        <f>4*Z23*N27</f>
        <v>515.26683938273379</v>
      </c>
      <c r="AP21" s="81" t="s">
        <v>322</v>
      </c>
      <c r="AQ21" s="167">
        <v>721.00049999999999</v>
      </c>
      <c r="AU21" s="168" t="s">
        <v>319</v>
      </c>
      <c r="AV21" s="168" t="s">
        <v>320</v>
      </c>
      <c r="AW21" s="168" t="s">
        <v>337</v>
      </c>
      <c r="AX21" s="169" t="s">
        <v>323</v>
      </c>
      <c r="AY21" s="162">
        <f t="shared" si="13"/>
        <v>515.26683938273379</v>
      </c>
      <c r="AZ21" s="168" t="s">
        <v>322</v>
      </c>
      <c r="BB21" s="81" t="s">
        <v>303</v>
      </c>
      <c r="BC21" s="167">
        <v>30400000</v>
      </c>
      <c r="BD21" s="167">
        <v>78800</v>
      </c>
      <c r="BE21" s="81">
        <v>386.04</v>
      </c>
      <c r="BF21" s="81" t="s">
        <v>388</v>
      </c>
      <c r="BI21" s="175" t="s">
        <v>319</v>
      </c>
      <c r="BJ21" s="175" t="s">
        <v>320</v>
      </c>
      <c r="BK21" s="175" t="s">
        <v>337</v>
      </c>
      <c r="BL21" s="175" t="s">
        <v>323</v>
      </c>
      <c r="BM21" s="181">
        <f>BC34</f>
        <v>1310</v>
      </c>
      <c r="BN21" s="175" t="s">
        <v>322</v>
      </c>
      <c r="BP21" s="81" t="s">
        <v>303</v>
      </c>
      <c r="BQ21" s="167">
        <v>25400000</v>
      </c>
      <c r="BR21" s="167">
        <v>316000</v>
      </c>
      <c r="BS21" s="81">
        <v>80.53</v>
      </c>
      <c r="BT21" s="81" t="s">
        <v>422</v>
      </c>
      <c r="BU21" s="167">
        <v>2E-16</v>
      </c>
      <c r="BV21" s="81" t="s">
        <v>389</v>
      </c>
      <c r="BX21" s="178" t="s">
        <v>319</v>
      </c>
      <c r="BY21" s="178" t="s">
        <v>320</v>
      </c>
      <c r="BZ21" s="178" t="s">
        <v>335</v>
      </c>
      <c r="CA21" s="178" t="s">
        <v>323</v>
      </c>
      <c r="CB21" s="180">
        <f>BQ32</f>
        <v>278</v>
      </c>
      <c r="CC21" s="178" t="s">
        <v>322</v>
      </c>
      <c r="CD21" s="167">
        <f>BR32</f>
        <v>2.25</v>
      </c>
      <c r="CN21" s="81" t="s">
        <v>338</v>
      </c>
      <c r="CO21" s="257">
        <f t="shared" si="0"/>
        <v>88.946204395604411</v>
      </c>
      <c r="CP21" s="257">
        <f t="shared" si="1"/>
        <v>253</v>
      </c>
      <c r="CQ21" s="257">
        <f t="shared" si="2"/>
        <v>272</v>
      </c>
      <c r="CT21" s="258" t="s">
        <v>442</v>
      </c>
      <c r="CU21" s="258" t="s">
        <v>343</v>
      </c>
      <c r="CV21" s="259">
        <v>1.12E-7</v>
      </c>
      <c r="CW21" s="259">
        <v>6.9500000000000004E-6</v>
      </c>
      <c r="CX21" s="258">
        <v>0.02</v>
      </c>
      <c r="CY21" s="258">
        <v>0.98699999999999999</v>
      </c>
      <c r="DB21" s="260" t="s">
        <v>467</v>
      </c>
      <c r="DC21" s="264" t="s">
        <v>484</v>
      </c>
      <c r="DD21" s="261" t="s">
        <v>323</v>
      </c>
      <c r="DE21" s="262">
        <f t="shared" si="9"/>
        <v>0.56000000000000005</v>
      </c>
      <c r="DF21" s="260" t="s">
        <v>322</v>
      </c>
    </row>
    <row r="22" spans="1:110" ht="15" customHeight="1" thickTop="1" thickBot="1" x14ac:dyDescent="0.3">
      <c r="A22" s="205"/>
      <c r="B22" s="187"/>
      <c r="C22" s="187"/>
      <c r="D22" s="188" t="s">
        <v>88</v>
      </c>
      <c r="E22" s="189"/>
      <c r="F22" s="195">
        <f>G4/B26</f>
        <v>8.2905544147843929E-2</v>
      </c>
      <c r="G22" s="189"/>
      <c r="H22" s="190"/>
      <c r="J22" s="81" t="s">
        <v>87</v>
      </c>
      <c r="K22" s="218">
        <v>0</v>
      </c>
      <c r="L22" s="219">
        <v>2</v>
      </c>
      <c r="M22" s="219" t="s">
        <v>54</v>
      </c>
      <c r="N22" s="220">
        <f>H11</f>
        <v>4</v>
      </c>
      <c r="O22" s="221" t="s">
        <v>39</v>
      </c>
      <c r="P22" s="30">
        <f t="shared" si="4"/>
        <v>1.1000000000000001</v>
      </c>
      <c r="Q22" s="30">
        <f t="shared" si="5"/>
        <v>4.4000000000000004</v>
      </c>
      <c r="R22" s="30">
        <f t="shared" si="10"/>
        <v>0</v>
      </c>
      <c r="S22" s="30">
        <f t="shared" si="11"/>
        <v>0</v>
      </c>
      <c r="T22" s="30">
        <f t="shared" si="12"/>
        <v>0</v>
      </c>
      <c r="U22" s="31"/>
      <c r="V22" s="153"/>
      <c r="W22" s="226"/>
      <c r="X22" s="226"/>
      <c r="Y22" s="226"/>
      <c r="Z22" s="226"/>
      <c r="AA22" s="226"/>
      <c r="AB22" s="226"/>
      <c r="AC22" s="226"/>
      <c r="AD22" s="226"/>
      <c r="AE22" s="14"/>
      <c r="AF22" s="14"/>
      <c r="AG22" s="14"/>
      <c r="AL22" s="159" t="s">
        <v>319</v>
      </c>
      <c r="AM22" s="81" t="s">
        <v>320</v>
      </c>
      <c r="AN22" s="81" t="s">
        <v>338</v>
      </c>
      <c r="AO22" s="85">
        <f>'Verwarming Tabula 2zone'!B60+SUM(Q10:Q13)</f>
        <v>88.946204395604411</v>
      </c>
      <c r="AP22" s="81" t="s">
        <v>322</v>
      </c>
      <c r="AQ22" s="167">
        <v>110.5333</v>
      </c>
      <c r="AU22" s="168" t="s">
        <v>319</v>
      </c>
      <c r="AV22" s="168" t="s">
        <v>320</v>
      </c>
      <c r="AW22" s="168" t="s">
        <v>338</v>
      </c>
      <c r="AX22" s="169" t="s">
        <v>323</v>
      </c>
      <c r="AY22" s="162">
        <f t="shared" si="13"/>
        <v>88.946204395604411</v>
      </c>
      <c r="AZ22" s="168" t="s">
        <v>322</v>
      </c>
      <c r="BB22" s="81" t="s">
        <v>400</v>
      </c>
      <c r="BC22" s="167">
        <v>-5.92</v>
      </c>
      <c r="BD22" s="167">
        <v>5.1700000000000003E-2</v>
      </c>
      <c r="BE22" s="81">
        <v>-114.57</v>
      </c>
      <c r="BF22" s="81" t="s">
        <v>388</v>
      </c>
      <c r="BI22" s="175" t="s">
        <v>319</v>
      </c>
      <c r="BJ22" s="175" t="s">
        <v>320</v>
      </c>
      <c r="BK22" s="175" t="s">
        <v>338</v>
      </c>
      <c r="BL22" s="175" t="s">
        <v>323</v>
      </c>
      <c r="BM22" s="181">
        <f>BC35</f>
        <v>253</v>
      </c>
      <c r="BN22" s="175" t="s">
        <v>322</v>
      </c>
      <c r="BP22" s="81" t="s">
        <v>400</v>
      </c>
      <c r="BQ22" s="167">
        <v>-6.08</v>
      </c>
      <c r="BR22" s="167">
        <v>0.23</v>
      </c>
      <c r="BS22" s="81">
        <v>-26.41</v>
      </c>
      <c r="BT22" s="81" t="s">
        <v>422</v>
      </c>
      <c r="BU22" s="167">
        <v>2E-16</v>
      </c>
      <c r="BV22" s="81" t="s">
        <v>389</v>
      </c>
      <c r="BX22" s="178" t="s">
        <v>319</v>
      </c>
      <c r="BY22" s="178" t="s">
        <v>320</v>
      </c>
      <c r="BZ22" s="178" t="s">
        <v>336</v>
      </c>
      <c r="CA22" s="178" t="s">
        <v>323</v>
      </c>
      <c r="CB22" s="180">
        <f>BQ33</f>
        <v>215</v>
      </c>
      <c r="CC22" s="178" t="s">
        <v>322</v>
      </c>
      <c r="CD22" s="167">
        <f>BR33</f>
        <v>1.54</v>
      </c>
      <c r="CN22" s="81" t="s">
        <v>339</v>
      </c>
      <c r="CO22" s="257">
        <f t="shared" si="0"/>
        <v>26.680087446828775</v>
      </c>
      <c r="CP22" s="257">
        <f t="shared" si="1"/>
        <v>217.39130434782609</v>
      </c>
      <c r="CQ22" s="257">
        <f t="shared" si="2"/>
        <v>326.79738562091507</v>
      </c>
      <c r="CT22" s="258" t="s">
        <v>442</v>
      </c>
      <c r="CU22" s="258" t="s">
        <v>451</v>
      </c>
      <c r="CV22" s="259">
        <v>0.34100000000000003</v>
      </c>
      <c r="CW22" s="259">
        <v>0.13300000000000001</v>
      </c>
      <c r="CX22" s="258">
        <v>2.56</v>
      </c>
      <c r="CY22" s="258">
        <v>1.0999999999999999E-2</v>
      </c>
      <c r="CZ22" s="81" t="s">
        <v>434</v>
      </c>
      <c r="DB22" s="260" t="s">
        <v>467</v>
      </c>
      <c r="DC22" s="264" t="s">
        <v>485</v>
      </c>
      <c r="DD22" s="261" t="s">
        <v>323</v>
      </c>
      <c r="DE22" s="262">
        <f t="shared" si="9"/>
        <v>6.1800000000000004E-10</v>
      </c>
      <c r="DF22" s="260" t="s">
        <v>322</v>
      </c>
    </row>
    <row r="23" spans="1:110" ht="15" customHeight="1" thickTop="1" thickBot="1" x14ac:dyDescent="0.3">
      <c r="A23" s="191" t="s">
        <v>91</v>
      </c>
      <c r="B23" s="192">
        <f>B17+B6</f>
        <v>185.3</v>
      </c>
      <c r="C23" s="202" t="s">
        <v>9</v>
      </c>
      <c r="D23" s="188"/>
      <c r="E23" s="189"/>
      <c r="F23" s="189"/>
      <c r="G23" s="189"/>
      <c r="H23" s="190"/>
      <c r="J23" s="81" t="s">
        <v>89</v>
      </c>
      <c r="K23" s="218">
        <v>0</v>
      </c>
      <c r="L23" s="219">
        <v>2</v>
      </c>
      <c r="M23" s="219" t="s">
        <v>54</v>
      </c>
      <c r="N23" s="220">
        <f>H12</f>
        <v>4.55</v>
      </c>
      <c r="O23" s="221" t="s">
        <v>45</v>
      </c>
      <c r="P23" s="30">
        <f t="shared" si="4"/>
        <v>1.1000000000000001</v>
      </c>
      <c r="Q23" s="30">
        <f t="shared" si="5"/>
        <v>5.0049999999999999</v>
      </c>
      <c r="R23" s="30">
        <f t="shared" si="10"/>
        <v>0</v>
      </c>
      <c r="S23" s="30">
        <f t="shared" si="11"/>
        <v>0</v>
      </c>
      <c r="T23" s="30">
        <f t="shared" si="12"/>
        <v>0</v>
      </c>
      <c r="U23" s="31"/>
      <c r="V23" s="153"/>
      <c r="W23" s="228" t="s">
        <v>85</v>
      </c>
      <c r="X23" s="229"/>
      <c r="Y23" s="230" t="s">
        <v>21</v>
      </c>
      <c r="Z23" s="231">
        <f>(1/(1/8+SUM(AC25:AC27)+1/8))</f>
        <v>1.7363344051446945</v>
      </c>
      <c r="AA23" s="229" t="s">
        <v>5</v>
      </c>
      <c r="AB23" s="229"/>
      <c r="AC23" s="229" t="s">
        <v>22</v>
      </c>
      <c r="AD23" s="232">
        <f>SUM(AD25:AD28)</f>
        <v>197400.00000000003</v>
      </c>
      <c r="AE23" s="14" t="s">
        <v>23</v>
      </c>
      <c r="AF23" s="14">
        <f>SUM(AD25:AD27)</f>
        <v>197400.00000000003</v>
      </c>
      <c r="AG23" s="14"/>
      <c r="AL23" s="159" t="s">
        <v>319</v>
      </c>
      <c r="AM23" s="81" t="s">
        <v>320</v>
      </c>
      <c r="AN23" s="81" t="s">
        <v>339</v>
      </c>
      <c r="AO23" s="85">
        <f>SUM(N6:N9)*1/(SUM(AC17:AC19)+0.5*SUM(AC20:AC21)+1/23)</f>
        <v>26.680087446828775</v>
      </c>
      <c r="AP23" s="81" t="s">
        <v>322</v>
      </c>
      <c r="AQ23" s="81">
        <f>1/0.01496205</f>
        <v>66.83576114235683</v>
      </c>
      <c r="AU23" s="168" t="s">
        <v>319</v>
      </c>
      <c r="AV23" s="168" t="s">
        <v>320</v>
      </c>
      <c r="AW23" s="168" t="s">
        <v>339</v>
      </c>
      <c r="AX23" s="169" t="s">
        <v>323</v>
      </c>
      <c r="AY23" s="162">
        <f t="shared" si="13"/>
        <v>26.680087446828775</v>
      </c>
      <c r="AZ23" s="168" t="s">
        <v>322</v>
      </c>
      <c r="BB23" s="81" t="s">
        <v>401</v>
      </c>
      <c r="BC23" s="167">
        <v>-13.3</v>
      </c>
      <c r="BD23" s="167">
        <v>65</v>
      </c>
      <c r="BE23" s="81">
        <v>-0.2</v>
      </c>
      <c r="BF23" s="81">
        <v>0.84</v>
      </c>
      <c r="BI23" s="175" t="s">
        <v>319</v>
      </c>
      <c r="BJ23" s="175" t="s">
        <v>320</v>
      </c>
      <c r="BK23" s="175" t="s">
        <v>339</v>
      </c>
      <c r="BL23" s="175" t="s">
        <v>323</v>
      </c>
      <c r="BM23" s="181">
        <f>1/BC41</f>
        <v>217.39130434782609</v>
      </c>
      <c r="BN23" s="175" t="s">
        <v>322</v>
      </c>
      <c r="BP23" s="81" t="s">
        <v>401</v>
      </c>
      <c r="BQ23" s="167">
        <v>-27.7</v>
      </c>
      <c r="BR23" s="167">
        <v>2.08</v>
      </c>
      <c r="BS23" s="81">
        <v>-13.34</v>
      </c>
      <c r="BT23" s="81" t="s">
        <v>422</v>
      </c>
      <c r="BU23" s="167">
        <v>2E-16</v>
      </c>
      <c r="BV23" s="81" t="s">
        <v>389</v>
      </c>
      <c r="BX23" s="178" t="s">
        <v>319</v>
      </c>
      <c r="BY23" s="178" t="s">
        <v>320</v>
      </c>
      <c r="BZ23" s="178" t="s">
        <v>337</v>
      </c>
      <c r="CA23" s="178" t="s">
        <v>323</v>
      </c>
      <c r="CB23" s="180">
        <f>BQ34</f>
        <v>457</v>
      </c>
      <c r="CC23" s="178" t="s">
        <v>322</v>
      </c>
      <c r="CD23" s="167">
        <f>BR34</f>
        <v>3.7</v>
      </c>
      <c r="CN23" s="81" t="s">
        <v>340</v>
      </c>
      <c r="CO23" s="257">
        <f t="shared" si="0"/>
        <v>18.045651200954797</v>
      </c>
      <c r="CP23" s="257">
        <f t="shared" si="1"/>
        <v>81.900000000000006</v>
      </c>
      <c r="CQ23" s="257">
        <f t="shared" si="2"/>
        <v>75.900000000000006</v>
      </c>
      <c r="CT23" s="258" t="s">
        <v>442</v>
      </c>
      <c r="CU23" s="258" t="s">
        <v>452</v>
      </c>
      <c r="CV23" s="259">
        <v>5.91E-2</v>
      </c>
      <c r="CW23" s="259">
        <v>0.22700000000000001</v>
      </c>
      <c r="CX23" s="258">
        <v>0.26</v>
      </c>
      <c r="CY23" s="258">
        <v>0.79500000000000004</v>
      </c>
      <c r="DB23" s="260" t="s">
        <v>467</v>
      </c>
      <c r="DC23" s="263" t="s">
        <v>486</v>
      </c>
      <c r="DD23" s="261" t="s">
        <v>323</v>
      </c>
      <c r="DE23" s="262">
        <f t="shared" si="9"/>
        <v>0.67600000000000005</v>
      </c>
      <c r="DF23" s="260" t="s">
        <v>322</v>
      </c>
    </row>
    <row r="24" spans="1:110" ht="15" customHeight="1" thickTop="1" thickBot="1" x14ac:dyDescent="0.3">
      <c r="A24" s="188" t="s">
        <v>94</v>
      </c>
      <c r="B24" s="208">
        <f>B23/B6</f>
        <v>1</v>
      </c>
      <c r="C24" s="189"/>
      <c r="D24" s="188" t="s">
        <v>95</v>
      </c>
      <c r="E24" s="189"/>
      <c r="F24" s="208">
        <f>B8/B6</f>
        <v>0.48192120885051271</v>
      </c>
      <c r="G24" s="189"/>
      <c r="H24" s="190"/>
      <c r="J24" s="81" t="s">
        <v>92</v>
      </c>
      <c r="K24" s="218">
        <v>0</v>
      </c>
      <c r="L24" s="219">
        <v>2</v>
      </c>
      <c r="M24" s="219" t="s">
        <v>54</v>
      </c>
      <c r="N24" s="220">
        <f>H13</f>
        <v>3.7</v>
      </c>
      <c r="O24" s="221" t="s">
        <v>50</v>
      </c>
      <c r="P24" s="30">
        <f t="shared" si="4"/>
        <v>1.1000000000000001</v>
      </c>
      <c r="Q24" s="30">
        <f t="shared" si="5"/>
        <v>4.07</v>
      </c>
      <c r="R24" s="30">
        <f t="shared" si="10"/>
        <v>0</v>
      </c>
      <c r="S24" s="30">
        <f t="shared" si="11"/>
        <v>0</v>
      </c>
      <c r="T24" s="30">
        <f t="shared" si="12"/>
        <v>0</v>
      </c>
      <c r="U24" s="31"/>
      <c r="V24" s="153"/>
      <c r="W24" s="233"/>
      <c r="X24" s="234" t="s">
        <v>27</v>
      </c>
      <c r="Y24" s="234" t="s">
        <v>28</v>
      </c>
      <c r="Z24" s="234" t="s">
        <v>29</v>
      </c>
      <c r="AA24" s="234" t="s">
        <v>30</v>
      </c>
      <c r="AB24" s="234" t="s">
        <v>31</v>
      </c>
      <c r="AC24" s="234" t="s">
        <v>32</v>
      </c>
      <c r="AD24" s="235" t="s">
        <v>33</v>
      </c>
      <c r="AE24" s="14"/>
      <c r="AF24" s="14"/>
      <c r="AG24" s="14"/>
      <c r="AL24" s="159" t="s">
        <v>319</v>
      </c>
      <c r="AM24" s="81" t="s">
        <v>320</v>
      </c>
      <c r="AN24" s="81" t="s">
        <v>340</v>
      </c>
      <c r="AO24" s="85">
        <f>SUM(N14)*1/(SUM(AC46:AC48)+0.5*SUM(AC44:AC45))</f>
        <v>18.045651200954797</v>
      </c>
      <c r="AP24" s="81" t="s">
        <v>322</v>
      </c>
      <c r="AQ24" s="167">
        <v>43.800190000000001</v>
      </c>
      <c r="AU24" s="168" t="s">
        <v>319</v>
      </c>
      <c r="AV24" s="168" t="s">
        <v>320</v>
      </c>
      <c r="AW24" s="168" t="s">
        <v>340</v>
      </c>
      <c r="AX24" s="169" t="s">
        <v>323</v>
      </c>
      <c r="AY24" s="162">
        <f t="shared" si="13"/>
        <v>18.045651200954797</v>
      </c>
      <c r="AZ24" s="168" t="s">
        <v>322</v>
      </c>
      <c r="BB24" s="81" t="s">
        <v>402</v>
      </c>
      <c r="BC24" s="167">
        <v>-15.6</v>
      </c>
      <c r="BD24" s="167">
        <v>83.5</v>
      </c>
      <c r="BE24" s="81">
        <v>-0.19</v>
      </c>
      <c r="BF24" s="81">
        <v>0.85</v>
      </c>
      <c r="BI24" s="175" t="s">
        <v>319</v>
      </c>
      <c r="BJ24" s="175" t="s">
        <v>320</v>
      </c>
      <c r="BK24" s="175" t="s">
        <v>340</v>
      </c>
      <c r="BL24" s="175" t="s">
        <v>323</v>
      </c>
      <c r="BM24" s="181">
        <f>BC44</f>
        <v>81.900000000000006</v>
      </c>
      <c r="BN24" s="175" t="s">
        <v>322</v>
      </c>
      <c r="BP24" s="81" t="s">
        <v>402</v>
      </c>
      <c r="BQ24" s="167">
        <v>-23.8</v>
      </c>
      <c r="BR24" s="167">
        <v>9</v>
      </c>
      <c r="BS24" s="81">
        <v>-2.65</v>
      </c>
      <c r="BT24" s="81">
        <v>8.0999999999999996E-3</v>
      </c>
      <c r="BU24" s="81" t="s">
        <v>425</v>
      </c>
      <c r="BX24" s="178" t="s">
        <v>319</v>
      </c>
      <c r="BY24" s="178" t="s">
        <v>320</v>
      </c>
      <c r="BZ24" s="178" t="s">
        <v>338</v>
      </c>
      <c r="CA24" s="178" t="s">
        <v>323</v>
      </c>
      <c r="CB24" s="180">
        <f>BQ35</f>
        <v>272</v>
      </c>
      <c r="CC24" s="178" t="s">
        <v>322</v>
      </c>
      <c r="CD24" s="167">
        <f>BR35</f>
        <v>18.2</v>
      </c>
      <c r="CO24" s="255"/>
      <c r="CP24" s="255"/>
      <c r="CQ24" s="255"/>
      <c r="CT24" s="258" t="s">
        <v>442</v>
      </c>
      <c r="CU24" s="258" t="s">
        <v>453</v>
      </c>
      <c r="CV24" s="259">
        <v>0.98799999999999999</v>
      </c>
      <c r="CW24" s="259">
        <v>1.5599999999999999E-2</v>
      </c>
      <c r="CX24" s="258">
        <v>63.27</v>
      </c>
      <c r="CY24" s="258" t="s">
        <v>422</v>
      </c>
      <c r="CZ24" s="167">
        <v>2E-16</v>
      </c>
      <c r="DA24" s="81" t="s">
        <v>389</v>
      </c>
      <c r="DB24" s="260" t="s">
        <v>467</v>
      </c>
      <c r="DC24" s="261" t="s">
        <v>487</v>
      </c>
      <c r="DD24" s="261" t="s">
        <v>323</v>
      </c>
      <c r="DE24" s="262">
        <f t="shared" si="9"/>
        <v>0.55000000000000004</v>
      </c>
      <c r="DF24" s="260" t="s">
        <v>322</v>
      </c>
    </row>
    <row r="25" spans="1:110" ht="15" customHeight="1" thickTop="1" thickBot="1" x14ac:dyDescent="0.3">
      <c r="A25" s="205"/>
      <c r="B25" s="187"/>
      <c r="C25" s="187"/>
      <c r="D25" s="188"/>
      <c r="E25" s="189"/>
      <c r="F25" s="189"/>
      <c r="G25" s="189"/>
      <c r="H25" s="190"/>
      <c r="J25" s="81" t="s">
        <v>96</v>
      </c>
      <c r="K25" s="218">
        <v>0</v>
      </c>
      <c r="L25" s="219">
        <v>2</v>
      </c>
      <c r="M25" s="219" t="s">
        <v>20</v>
      </c>
      <c r="N25" s="220">
        <f>'Tabula data'!B7</f>
        <v>108.5</v>
      </c>
      <c r="O25" s="221" t="s">
        <v>97</v>
      </c>
      <c r="P25" s="30">
        <f t="shared" si="4"/>
        <v>0.1523066735339563</v>
      </c>
      <c r="Q25" s="30">
        <f t="shared" si="5"/>
        <v>16.525274078434258</v>
      </c>
      <c r="R25" s="30">
        <f t="shared" si="10"/>
        <v>7327656</v>
      </c>
      <c r="S25" s="30">
        <f t="shared" si="11"/>
        <v>67536</v>
      </c>
      <c r="T25" s="30">
        <f t="shared" si="12"/>
        <v>1777230</v>
      </c>
      <c r="U25" s="31"/>
      <c r="V25" s="153"/>
      <c r="W25" s="188"/>
      <c r="X25" s="189" t="s">
        <v>90</v>
      </c>
      <c r="Y25" s="189">
        <v>0.02</v>
      </c>
      <c r="Z25" s="189">
        <v>0.6</v>
      </c>
      <c r="AA25" s="189">
        <v>975</v>
      </c>
      <c r="AB25" s="189">
        <v>840</v>
      </c>
      <c r="AC25" s="236">
        <f>Y25/Z25</f>
        <v>3.3333333333333333E-2</v>
      </c>
      <c r="AD25" s="190">
        <f>Y25*AA25*AB25</f>
        <v>16380</v>
      </c>
      <c r="AE25" s="14"/>
      <c r="AF25" s="14"/>
      <c r="AG25" s="14"/>
      <c r="AP25" s="81" t="s">
        <v>322</v>
      </c>
      <c r="AU25" s="168"/>
      <c r="AV25" s="168"/>
      <c r="AW25" s="168"/>
      <c r="AX25" s="169"/>
      <c r="AZ25" s="168"/>
      <c r="BB25" s="81" t="s">
        <v>403</v>
      </c>
      <c r="BC25" s="167">
        <v>-11.3</v>
      </c>
      <c r="BD25" s="167">
        <v>53</v>
      </c>
      <c r="BE25" s="81">
        <v>-0.21</v>
      </c>
      <c r="BF25" s="81">
        <v>0.83</v>
      </c>
      <c r="BI25" s="175"/>
      <c r="BJ25" s="175"/>
      <c r="BK25" s="175"/>
      <c r="BL25" s="175"/>
      <c r="BM25" s="174"/>
      <c r="BN25" s="175"/>
      <c r="BP25" s="81" t="s">
        <v>403</v>
      </c>
      <c r="BQ25" s="167">
        <v>-16.399999999999999</v>
      </c>
      <c r="BR25" s="167">
        <v>1.69</v>
      </c>
      <c r="BS25" s="81">
        <v>-9.69</v>
      </c>
      <c r="BT25" s="81" t="s">
        <v>422</v>
      </c>
      <c r="BU25" s="167">
        <v>2E-16</v>
      </c>
      <c r="BV25" s="81" t="s">
        <v>389</v>
      </c>
      <c r="BX25" s="178" t="s">
        <v>319</v>
      </c>
      <c r="BY25" s="178" t="s">
        <v>320</v>
      </c>
      <c r="BZ25" s="178" t="s">
        <v>339</v>
      </c>
      <c r="CA25" s="178" t="s">
        <v>323</v>
      </c>
      <c r="CB25" s="180">
        <f>1/BQ41</f>
        <v>326.79738562091507</v>
      </c>
      <c r="CC25" s="178" t="s">
        <v>322</v>
      </c>
      <c r="CD25" s="167">
        <f>CB25/50</f>
        <v>6.5359477124183014</v>
      </c>
      <c r="CN25" s="81" t="s">
        <v>341</v>
      </c>
      <c r="CO25" s="254">
        <f t="shared" si="0"/>
        <v>0.50433272812954155</v>
      </c>
      <c r="CP25" s="254">
        <f t="shared" si="1"/>
        <v>0.44900000000000001</v>
      </c>
      <c r="CQ25" s="254">
        <f t="shared" si="2"/>
        <v>0.46800000000000003</v>
      </c>
      <c r="CT25" s="258" t="s">
        <v>442</v>
      </c>
      <c r="CU25" s="258" t="s">
        <v>454</v>
      </c>
      <c r="CV25" s="259">
        <v>3.1199999999999999E-7</v>
      </c>
      <c r="CW25" s="259">
        <v>1.27E-5</v>
      </c>
      <c r="CX25" s="258">
        <v>0.02</v>
      </c>
      <c r="CY25" s="258">
        <v>0.98</v>
      </c>
      <c r="DD25" s="261"/>
    </row>
    <row r="26" spans="1:110" ht="15" customHeight="1" thickTop="1" thickBot="1" x14ac:dyDescent="0.3">
      <c r="A26" s="191" t="s">
        <v>100</v>
      </c>
      <c r="B26" s="209">
        <f>'Tabula data'!B6</f>
        <v>389.6</v>
      </c>
      <c r="C26" s="203" t="s">
        <v>9</v>
      </c>
      <c r="D26" s="188"/>
      <c r="E26" s="189"/>
      <c r="F26" s="189"/>
      <c r="G26" s="189"/>
      <c r="H26" s="190"/>
      <c r="J26" s="81" t="s">
        <v>98</v>
      </c>
      <c r="K26" s="218">
        <v>1</v>
      </c>
      <c r="L26" s="219">
        <v>2</v>
      </c>
      <c r="M26" s="219" t="s">
        <v>99</v>
      </c>
      <c r="N26" s="220">
        <f>'Tabula data'!B4-'Tabula data'!B14</f>
        <v>89.300000000000011</v>
      </c>
      <c r="O26" s="221"/>
      <c r="P26" s="30">
        <f t="shared" si="4"/>
        <v>1.4911242603550294</v>
      </c>
      <c r="Q26" s="30">
        <f t="shared" si="5"/>
        <v>133.15739644970415</v>
      </c>
      <c r="R26" s="30">
        <f t="shared" si="10"/>
        <v>40841355.000000007</v>
      </c>
      <c r="S26" s="30">
        <f t="shared" si="11"/>
        <v>457350</v>
      </c>
      <c r="T26" s="30">
        <f t="shared" si="12"/>
        <v>40841355.000000007</v>
      </c>
      <c r="U26" s="31"/>
      <c r="V26" s="153"/>
      <c r="W26" s="188"/>
      <c r="X26" s="189" t="s">
        <v>93</v>
      </c>
      <c r="Y26" s="189">
        <v>0.14000000000000001</v>
      </c>
      <c r="Z26" s="189">
        <v>0.54</v>
      </c>
      <c r="AA26" s="189">
        <v>1400</v>
      </c>
      <c r="AB26" s="189">
        <v>840</v>
      </c>
      <c r="AC26" s="236">
        <f>Y26/Z26</f>
        <v>0.25925925925925924</v>
      </c>
      <c r="AD26" s="190">
        <f>Y26*AA26*AB26</f>
        <v>164640.00000000003</v>
      </c>
      <c r="AE26" s="14"/>
      <c r="AF26" s="14"/>
      <c r="AG26" s="14"/>
      <c r="AL26" s="159" t="s">
        <v>319</v>
      </c>
      <c r="AM26" s="81" t="s">
        <v>320</v>
      </c>
      <c r="AN26" s="81" t="s">
        <v>341</v>
      </c>
      <c r="AO26" s="81">
        <f>SUM(N17:N20,N25)/SUM(N$17:N$25,N$28,N$26)</f>
        <v>0.50433272812954155</v>
      </c>
      <c r="AP26" s="81" t="s">
        <v>322</v>
      </c>
      <c r="AQ26" s="167">
        <v>0.44339849999999997</v>
      </c>
      <c r="AU26" s="168" t="s">
        <v>319</v>
      </c>
      <c r="AV26" s="168" t="s">
        <v>320</v>
      </c>
      <c r="AW26" s="168" t="s">
        <v>341</v>
      </c>
      <c r="AX26" s="169" t="s">
        <v>323</v>
      </c>
      <c r="AY26" s="162">
        <f>AO26</f>
        <v>0.50433272812954155</v>
      </c>
      <c r="AZ26" s="168" t="s">
        <v>322</v>
      </c>
      <c r="BB26" s="81" t="s">
        <v>404</v>
      </c>
      <c r="BC26" s="167">
        <v>-14.8</v>
      </c>
      <c r="BD26" s="167">
        <v>69.3</v>
      </c>
      <c r="BE26" s="81">
        <v>-0.21</v>
      </c>
      <c r="BF26" s="81">
        <v>0.83</v>
      </c>
      <c r="BI26" s="175" t="s">
        <v>319</v>
      </c>
      <c r="BJ26" s="175" t="s">
        <v>320</v>
      </c>
      <c r="BK26" s="175" t="s">
        <v>341</v>
      </c>
      <c r="BL26" s="175" t="s">
        <v>323</v>
      </c>
      <c r="BM26" s="174">
        <f>BC54</f>
        <v>0.44900000000000001</v>
      </c>
      <c r="BN26" s="175" t="s">
        <v>322</v>
      </c>
      <c r="BP26" s="81" t="s">
        <v>404</v>
      </c>
      <c r="BQ26" s="167">
        <v>-21.6</v>
      </c>
      <c r="BR26" s="167">
        <v>1.83E-2</v>
      </c>
      <c r="BS26" s="81">
        <v>-1183.33</v>
      </c>
      <c r="BT26" s="81" t="s">
        <v>422</v>
      </c>
      <c r="BU26" s="167">
        <v>2E-16</v>
      </c>
      <c r="BV26" s="81" t="s">
        <v>389</v>
      </c>
      <c r="BX26" s="178" t="s">
        <v>319</v>
      </c>
      <c r="BY26" s="178" t="s">
        <v>320</v>
      </c>
      <c r="BZ26" s="178" t="s">
        <v>340</v>
      </c>
      <c r="CA26" s="178" t="s">
        <v>323</v>
      </c>
      <c r="CB26" s="180">
        <f>BQ44</f>
        <v>75.900000000000006</v>
      </c>
      <c r="CC26" s="178" t="s">
        <v>322</v>
      </c>
      <c r="CN26" s="81" t="s">
        <v>342</v>
      </c>
      <c r="CO26" s="254">
        <f t="shared" si="0"/>
        <v>0.19606977596215791</v>
      </c>
      <c r="CP26" s="254">
        <f t="shared" si="1"/>
        <v>0.111</v>
      </c>
      <c r="CQ26" s="254">
        <f t="shared" si="2"/>
        <v>0.14099999999999999</v>
      </c>
      <c r="CT26" s="258" t="s">
        <v>442</v>
      </c>
      <c r="CU26" s="258" t="s">
        <v>455</v>
      </c>
      <c r="CV26" s="259">
        <v>1.1399999999999999</v>
      </c>
      <c r="CW26" s="259">
        <v>9.3699999999999999E-3</v>
      </c>
      <c r="CX26" s="258">
        <v>121.65</v>
      </c>
      <c r="CY26" s="258" t="s">
        <v>422</v>
      </c>
      <c r="CZ26" s="167">
        <v>2E-16</v>
      </c>
      <c r="DA26" s="81" t="s">
        <v>389</v>
      </c>
      <c r="DC26" s="261"/>
      <c r="DD26" s="261"/>
      <c r="DE26" s="262"/>
    </row>
    <row r="27" spans="1:110" ht="15" customHeight="1" thickTop="1" thickBot="1" x14ac:dyDescent="0.3">
      <c r="A27" s="188"/>
      <c r="B27" s="208">
        <f>SUM(N6:N25)</f>
        <v>389.5</v>
      </c>
      <c r="C27" s="190" t="s">
        <v>9</v>
      </c>
      <c r="D27" s="188"/>
      <c r="E27" s="189"/>
      <c r="F27" s="189"/>
      <c r="G27" s="189"/>
      <c r="H27" s="190"/>
      <c r="J27" s="81" t="s">
        <v>101</v>
      </c>
      <c r="K27" s="218">
        <v>1</v>
      </c>
      <c r="L27" s="219">
        <v>1</v>
      </c>
      <c r="M27" s="219" t="s">
        <v>85</v>
      </c>
      <c r="N27" s="220">
        <f>SUM(N6:N9)</f>
        <v>74.188882892606586</v>
      </c>
      <c r="O27" s="221"/>
      <c r="P27" s="30">
        <f t="shared" si="4"/>
        <v>1.7363344051446945</v>
      </c>
      <c r="Q27" s="30">
        <f t="shared" si="5"/>
        <v>128.81670984568345</v>
      </c>
      <c r="R27" s="30">
        <f t="shared" si="10"/>
        <v>14644885.483000543</v>
      </c>
      <c r="S27" s="30">
        <f t="shared" si="11"/>
        <v>197400.00000000003</v>
      </c>
      <c r="T27" s="30">
        <f t="shared" si="12"/>
        <v>14644885.483000543</v>
      </c>
      <c r="U27" s="31"/>
      <c r="V27" s="153"/>
      <c r="W27" s="205"/>
      <c r="X27" s="187" t="s">
        <v>90</v>
      </c>
      <c r="Y27" s="187">
        <v>0.02</v>
      </c>
      <c r="Z27" s="187">
        <v>0.6</v>
      </c>
      <c r="AA27" s="187">
        <v>975</v>
      </c>
      <c r="AB27" s="187">
        <v>840</v>
      </c>
      <c r="AC27" s="237">
        <f>Y27/Z27</f>
        <v>3.3333333333333333E-2</v>
      </c>
      <c r="AD27" s="210">
        <f>Y27*AA27*AB27</f>
        <v>16380</v>
      </c>
      <c r="AE27" s="14"/>
      <c r="AF27" s="14"/>
      <c r="AG27" s="14"/>
      <c r="AL27" s="159" t="s">
        <v>319</v>
      </c>
      <c r="AM27" s="81" t="s">
        <v>320</v>
      </c>
      <c r="AN27" s="81" t="s">
        <v>342</v>
      </c>
      <c r="AO27" s="81">
        <f>SUM(N28)/SUM(N$17:N$25,N$28,N$26)</f>
        <v>0.19606977596215791</v>
      </c>
      <c r="AP27" s="81" t="s">
        <v>322</v>
      </c>
      <c r="AQ27" s="167">
        <v>0.14522370000000001</v>
      </c>
      <c r="AU27" s="168" t="s">
        <v>319</v>
      </c>
      <c r="AV27" s="168" t="s">
        <v>320</v>
      </c>
      <c r="AW27" s="168" t="s">
        <v>342</v>
      </c>
      <c r="AX27" s="169" t="s">
        <v>323</v>
      </c>
      <c r="AY27" s="162">
        <f>AO27</f>
        <v>0.19606977596215791</v>
      </c>
      <c r="AZ27" s="168" t="s">
        <v>322</v>
      </c>
      <c r="BB27" s="81" t="s">
        <v>405</v>
      </c>
      <c r="BC27" s="167">
        <v>0.11700000000000001</v>
      </c>
      <c r="BD27" s="167">
        <v>5.5000000000000003E-4</v>
      </c>
      <c r="BE27" s="81">
        <v>212.4</v>
      </c>
      <c r="BF27" s="81" t="s">
        <v>388</v>
      </c>
      <c r="BI27" s="175" t="s">
        <v>319</v>
      </c>
      <c r="BJ27" s="175" t="s">
        <v>320</v>
      </c>
      <c r="BK27" s="175" t="s">
        <v>342</v>
      </c>
      <c r="BL27" s="175" t="s">
        <v>323</v>
      </c>
      <c r="BM27" s="174">
        <f>BC55</f>
        <v>0.111</v>
      </c>
      <c r="BN27" s="175" t="s">
        <v>322</v>
      </c>
      <c r="BP27" s="81" t="s">
        <v>405</v>
      </c>
      <c r="BQ27" s="167">
        <v>7.0400000000000004E-2</v>
      </c>
      <c r="BR27" s="167">
        <v>1.0300000000000001E-3</v>
      </c>
      <c r="BS27" s="81">
        <v>68.37</v>
      </c>
      <c r="BT27" s="81" t="s">
        <v>422</v>
      </c>
      <c r="BU27" s="167">
        <v>2E-16</v>
      </c>
      <c r="BV27" s="81" t="s">
        <v>389</v>
      </c>
      <c r="BX27" s="178"/>
      <c r="BY27" s="178"/>
      <c r="BZ27" s="178"/>
      <c r="CA27" s="178"/>
      <c r="CB27" s="177"/>
      <c r="CC27" s="178"/>
      <c r="CN27" s="81" t="s">
        <v>343</v>
      </c>
      <c r="CO27" s="254">
        <f t="shared" si="0"/>
        <v>4.5884301175145123E-2</v>
      </c>
      <c r="CP27" s="254">
        <f t="shared" si="1"/>
        <v>0.255</v>
      </c>
      <c r="CQ27" s="254">
        <f t="shared" si="2"/>
        <v>0.108</v>
      </c>
      <c r="CT27" s="258" t="s">
        <v>442</v>
      </c>
      <c r="CU27" s="258" t="s">
        <v>456</v>
      </c>
      <c r="CV27" s="259">
        <v>0.99399999999999999</v>
      </c>
      <c r="CW27" s="259">
        <v>1.5900000000000001E-2</v>
      </c>
      <c r="CX27" s="258">
        <v>62.51</v>
      </c>
      <c r="CY27" s="258" t="s">
        <v>422</v>
      </c>
      <c r="CZ27" s="167">
        <v>2E-16</v>
      </c>
      <c r="DA27" s="81" t="s">
        <v>389</v>
      </c>
      <c r="DB27" s="260" t="s">
        <v>467</v>
      </c>
      <c r="DC27" s="261" t="s">
        <v>330</v>
      </c>
      <c r="DD27" s="261" t="s">
        <v>323</v>
      </c>
      <c r="DE27" s="262">
        <f>CV33</f>
        <v>14800000</v>
      </c>
      <c r="DF27" s="260" t="s">
        <v>322</v>
      </c>
    </row>
    <row r="28" spans="1:110" ht="15" customHeight="1" thickTop="1" thickBot="1" x14ac:dyDescent="0.3">
      <c r="A28" s="188"/>
      <c r="B28" s="189"/>
      <c r="C28" s="190"/>
      <c r="D28" s="188"/>
      <c r="E28" s="189"/>
      <c r="F28" s="189"/>
      <c r="G28" s="189"/>
      <c r="H28" s="190"/>
      <c r="J28" s="81" t="s">
        <v>102</v>
      </c>
      <c r="K28" s="218">
        <v>2</v>
      </c>
      <c r="L28" s="219">
        <v>2</v>
      </c>
      <c r="M28" s="219" t="s">
        <v>85</v>
      </c>
      <c r="N28" s="220">
        <f>SUM(N17:N20)</f>
        <v>69.011117107393432</v>
      </c>
      <c r="O28" s="221"/>
      <c r="P28" s="30">
        <f t="shared" si="4"/>
        <v>1.7363344051446945</v>
      </c>
      <c r="Q28" s="30">
        <f t="shared" si="5"/>
        <v>119.82637697103682</v>
      </c>
      <c r="R28" s="30">
        <f t="shared" si="10"/>
        <v>13622794.516999464</v>
      </c>
      <c r="S28" s="30">
        <f t="shared" si="11"/>
        <v>197400.00000000003</v>
      </c>
      <c r="T28" s="30">
        <f t="shared" si="12"/>
        <v>13622794.516999464</v>
      </c>
      <c r="U28" s="31"/>
      <c r="V28" s="153"/>
      <c r="W28" s="226"/>
      <c r="X28" s="226"/>
      <c r="Y28" s="226"/>
      <c r="Z28" s="226"/>
      <c r="AA28" s="226"/>
      <c r="AB28" s="226"/>
      <c r="AC28" s="226"/>
      <c r="AD28" s="226"/>
      <c r="AE28" s="14"/>
      <c r="AF28" s="14"/>
      <c r="AG28" s="14"/>
      <c r="AL28" s="159" t="s">
        <v>319</v>
      </c>
      <c r="AM28" s="81" t="s">
        <v>320</v>
      </c>
      <c r="AN28" s="81" t="s">
        <v>343</v>
      </c>
      <c r="AO28" s="81">
        <f>SUM(N21:N24)/SUM(N$17:N$25,N$28,N$26)</f>
        <v>4.5884301175145123E-2</v>
      </c>
      <c r="AP28" s="81" t="s">
        <v>322</v>
      </c>
      <c r="AQ28" s="167">
        <v>0.13569049999999999</v>
      </c>
      <c r="AU28" s="168" t="s">
        <v>319</v>
      </c>
      <c r="AV28" s="168" t="s">
        <v>320</v>
      </c>
      <c r="AW28" s="168" t="s">
        <v>343</v>
      </c>
      <c r="AX28" s="169" t="s">
        <v>323</v>
      </c>
      <c r="AY28" s="162">
        <f>AO28</f>
        <v>4.5884301175145123E-2</v>
      </c>
      <c r="AZ28" s="168" t="s">
        <v>322</v>
      </c>
      <c r="BB28" s="81" t="s">
        <v>406</v>
      </c>
      <c r="BC28" s="167">
        <v>0.22500000000000001</v>
      </c>
      <c r="BD28" s="167">
        <v>9.9500000000000001E-4</v>
      </c>
      <c r="BE28" s="81">
        <v>225.89</v>
      </c>
      <c r="BF28" s="81" t="s">
        <v>388</v>
      </c>
      <c r="BI28" s="175" t="s">
        <v>319</v>
      </c>
      <c r="BJ28" s="175" t="s">
        <v>320</v>
      </c>
      <c r="BK28" s="175" t="s">
        <v>343</v>
      </c>
      <c r="BL28" s="175" t="s">
        <v>323</v>
      </c>
      <c r="BM28" s="174">
        <f>BC56</f>
        <v>0.255</v>
      </c>
      <c r="BN28" s="175" t="s">
        <v>322</v>
      </c>
      <c r="BP28" s="81" t="s">
        <v>406</v>
      </c>
      <c r="BQ28" s="167">
        <v>0.13700000000000001</v>
      </c>
      <c r="BR28" s="167">
        <v>1.8699999999999999E-3</v>
      </c>
      <c r="BS28" s="81">
        <v>73.45</v>
      </c>
      <c r="BT28" s="81" t="s">
        <v>422</v>
      </c>
      <c r="BU28" s="167">
        <v>2E-16</v>
      </c>
      <c r="BV28" s="81" t="s">
        <v>389</v>
      </c>
      <c r="BX28" s="178" t="s">
        <v>319</v>
      </c>
      <c r="BY28" s="178" t="s">
        <v>320</v>
      </c>
      <c r="BZ28" s="178" t="s">
        <v>341</v>
      </c>
      <c r="CA28" s="178" t="s">
        <v>323</v>
      </c>
      <c r="CB28" s="177">
        <f>BQ53</f>
        <v>0.46800000000000003</v>
      </c>
      <c r="CC28" s="178" t="s">
        <v>322</v>
      </c>
      <c r="CO28" s="255"/>
      <c r="CP28" s="255"/>
      <c r="CQ28" s="255"/>
      <c r="CT28" s="258" t="s">
        <v>442</v>
      </c>
      <c r="CU28" s="258" t="s">
        <v>457</v>
      </c>
      <c r="CV28" s="259">
        <v>0.56000000000000005</v>
      </c>
      <c r="CW28" s="259">
        <v>1.11E-2</v>
      </c>
      <c r="CX28" s="258">
        <v>50.42</v>
      </c>
      <c r="CY28" s="258" t="s">
        <v>422</v>
      </c>
      <c r="CZ28" s="167">
        <v>2E-16</v>
      </c>
      <c r="DA28" s="81" t="s">
        <v>389</v>
      </c>
      <c r="DB28" s="260" t="s">
        <v>467</v>
      </c>
      <c r="DC28" s="264" t="s">
        <v>327</v>
      </c>
      <c r="DD28" s="261" t="s">
        <v>323</v>
      </c>
      <c r="DE28" s="262">
        <f>CV34</f>
        <v>3530000</v>
      </c>
      <c r="DF28" s="260" t="s">
        <v>322</v>
      </c>
    </row>
    <row r="29" spans="1:110" ht="15" customHeight="1" thickTop="1" thickBot="1" x14ac:dyDescent="0.3">
      <c r="A29" s="188"/>
      <c r="B29" s="189"/>
      <c r="C29" s="190"/>
      <c r="D29" s="188"/>
      <c r="E29" s="189"/>
      <c r="F29" s="189"/>
      <c r="G29" s="189"/>
      <c r="H29" s="190"/>
      <c r="K29" s="218">
        <v>2</v>
      </c>
      <c r="L29" s="219">
        <v>2</v>
      </c>
      <c r="M29" s="219" t="s">
        <v>99</v>
      </c>
      <c r="N29" s="220">
        <v>0</v>
      </c>
      <c r="O29" s="225"/>
      <c r="P29" s="30">
        <f>VLOOKUP(M29,$W$5:$Z$393,4,0)</f>
        <v>1.4911242603550294</v>
      </c>
      <c r="Q29" s="30">
        <f>P29*N29</f>
        <v>0</v>
      </c>
      <c r="R29" s="30">
        <f>VLOOKUP(M29,$W$5:$AD$393,8,0)*N29</f>
        <v>0</v>
      </c>
      <c r="S29" s="30" t="e">
        <f>R29/N29</f>
        <v>#DIV/0!</v>
      </c>
      <c r="T29" s="30">
        <f>VLOOKUP(M29,$W$5:$AF$393,10,0)*N29</f>
        <v>0</v>
      </c>
      <c r="V29" s="153"/>
      <c r="W29" s="228" t="s">
        <v>99</v>
      </c>
      <c r="X29" s="229"/>
      <c r="Y29" s="230" t="s">
        <v>21</v>
      </c>
      <c r="Z29" s="231">
        <f>1/(1/10+SUM(AC31:AC34)+1/6)</f>
        <v>1.4911242603550294</v>
      </c>
      <c r="AA29" s="229" t="s">
        <v>5</v>
      </c>
      <c r="AB29" s="229"/>
      <c r="AC29" s="229" t="s">
        <v>22</v>
      </c>
      <c r="AD29" s="232">
        <f>SUM(AD31:AD35)</f>
        <v>457350</v>
      </c>
      <c r="AE29" s="14" t="s">
        <v>23</v>
      </c>
      <c r="AF29" s="14">
        <f>SUM(AD31:AD34)</f>
        <v>457350</v>
      </c>
      <c r="AG29" s="14"/>
      <c r="AP29" s="81" t="s">
        <v>322</v>
      </c>
      <c r="AU29" s="168"/>
      <c r="AV29" s="168"/>
      <c r="AW29" s="168"/>
      <c r="AX29" s="169"/>
      <c r="AZ29" s="168"/>
      <c r="BB29" s="81" t="s">
        <v>407</v>
      </c>
      <c r="BC29" s="167">
        <v>0.46500000000000002</v>
      </c>
      <c r="BD29" s="167">
        <v>2.8900000000000002E-3</v>
      </c>
      <c r="BE29" s="81">
        <v>161.16999999999999</v>
      </c>
      <c r="BF29" s="81" t="s">
        <v>388</v>
      </c>
      <c r="BI29" s="175"/>
      <c r="BJ29" s="175"/>
      <c r="BK29" s="175"/>
      <c r="BL29" s="175"/>
      <c r="BM29" s="174"/>
      <c r="BN29" s="175"/>
      <c r="BP29" s="81" t="s">
        <v>407</v>
      </c>
      <c r="BQ29" s="167">
        <v>0.76900000000000002</v>
      </c>
      <c r="BR29" s="167">
        <v>3.4299999999999997E-2</v>
      </c>
      <c r="BS29" s="81">
        <v>22.44</v>
      </c>
      <c r="BT29" s="81" t="s">
        <v>422</v>
      </c>
      <c r="BU29" s="167">
        <v>2E-16</v>
      </c>
      <c r="BV29" s="81" t="s">
        <v>389</v>
      </c>
      <c r="BX29" s="178" t="s">
        <v>319</v>
      </c>
      <c r="BY29" s="178" t="s">
        <v>320</v>
      </c>
      <c r="BZ29" s="178" t="s">
        <v>342</v>
      </c>
      <c r="CA29" s="178" t="s">
        <v>323</v>
      </c>
      <c r="CB29" s="177">
        <f>BQ54</f>
        <v>0.14099999999999999</v>
      </c>
      <c r="CC29" s="178" t="s">
        <v>322</v>
      </c>
      <c r="CN29" s="81" t="s">
        <v>344</v>
      </c>
      <c r="CO29" s="256">
        <f t="shared" si="0"/>
        <v>913552.64000000025</v>
      </c>
      <c r="CP29" s="256">
        <f t="shared" si="1"/>
        <v>858000</v>
      </c>
      <c r="CQ29" s="256">
        <f t="shared" si="2"/>
        <v>752000</v>
      </c>
      <c r="CT29" s="258" t="s">
        <v>442</v>
      </c>
      <c r="CU29" s="258" t="s">
        <v>360</v>
      </c>
      <c r="CV29" s="259">
        <v>6.1800000000000004E-10</v>
      </c>
      <c r="CW29" s="259">
        <v>5.9300000000000002E-8</v>
      </c>
      <c r="CX29" s="258">
        <v>0.01</v>
      </c>
      <c r="CY29" s="258">
        <v>0.99199999999999999</v>
      </c>
      <c r="DB29" s="260" t="s">
        <v>467</v>
      </c>
      <c r="DC29" s="264" t="s">
        <v>328</v>
      </c>
      <c r="DD29" s="261" t="s">
        <v>323</v>
      </c>
      <c r="DE29" s="262">
        <f>CV35</f>
        <v>31700000</v>
      </c>
      <c r="DF29" s="260" t="s">
        <v>322</v>
      </c>
    </row>
    <row r="30" spans="1:110" ht="15" customHeight="1" thickTop="1" thickBot="1" x14ac:dyDescent="0.3">
      <c r="A30" s="205"/>
      <c r="B30" s="187"/>
      <c r="C30" s="210"/>
      <c r="D30" s="205"/>
      <c r="E30" s="187"/>
      <c r="F30" s="187"/>
      <c r="G30" s="187"/>
      <c r="H30" s="210"/>
      <c r="K30" s="218" t="s">
        <v>516</v>
      </c>
      <c r="L30" s="219">
        <v>1</v>
      </c>
      <c r="M30" s="219" t="s">
        <v>517</v>
      </c>
      <c r="N30" s="220">
        <f>N7</f>
        <v>34.704039143624534</v>
      </c>
      <c r="O30" s="221"/>
      <c r="P30" s="30">
        <f>VLOOKUP(M30,$W$5:$Z$393,4,0)</f>
        <v>1.8430034129692836</v>
      </c>
      <c r="Q30" s="30">
        <f>P30*N30</f>
        <v>63.959662585519631</v>
      </c>
      <c r="R30" s="30">
        <f>VLOOKUP(M30,$W$5:$AD$393,8,0)*N30</f>
        <v>6282125.1657789145</v>
      </c>
      <c r="S30" s="30">
        <f>R30/N30</f>
        <v>181020.00000000003</v>
      </c>
      <c r="T30" s="30">
        <f>VLOOKUP(M30,$W$5:$AF$393,10,0)*N30</f>
        <v>0</v>
      </c>
      <c r="W30" s="233"/>
      <c r="X30" s="234" t="s">
        <v>27</v>
      </c>
      <c r="Y30" s="234" t="s">
        <v>28</v>
      </c>
      <c r="Z30" s="234" t="s">
        <v>29</v>
      </c>
      <c r="AA30" s="234" t="s">
        <v>30</v>
      </c>
      <c r="AB30" s="234" t="s">
        <v>31</v>
      </c>
      <c r="AC30" s="234" t="s">
        <v>32</v>
      </c>
      <c r="AD30" s="235" t="s">
        <v>33</v>
      </c>
      <c r="AE30" s="14"/>
      <c r="AF30" s="14"/>
      <c r="AG30" s="14"/>
      <c r="AL30" s="159" t="s">
        <v>319</v>
      </c>
      <c r="AM30" s="81" t="s">
        <v>320</v>
      </c>
      <c r="AN30" s="81" t="s">
        <v>344</v>
      </c>
      <c r="AO30" s="167">
        <f>B35*1.04*1012*5</f>
        <v>913552.64000000025</v>
      </c>
      <c r="AP30" s="81" t="s">
        <v>322</v>
      </c>
      <c r="AQ30" s="167">
        <v>1612741</v>
      </c>
      <c r="AU30" s="168" t="s">
        <v>319</v>
      </c>
      <c r="AV30" s="168" t="s">
        <v>320</v>
      </c>
      <c r="AW30" s="168" t="s">
        <v>344</v>
      </c>
      <c r="AX30" s="169" t="s">
        <v>323</v>
      </c>
      <c r="AY30" s="162">
        <f t="shared" ref="AY30:AY35" si="14">AO30</f>
        <v>913552.64000000025</v>
      </c>
      <c r="AZ30" s="168" t="s">
        <v>322</v>
      </c>
      <c r="BB30" s="81" t="s">
        <v>408</v>
      </c>
      <c r="BC30" s="167">
        <v>0.11</v>
      </c>
      <c r="BD30" s="167">
        <v>6.3400000000000001E-4</v>
      </c>
      <c r="BE30" s="81">
        <v>173.77</v>
      </c>
      <c r="BF30" s="81" t="s">
        <v>388</v>
      </c>
      <c r="BI30" s="175" t="s">
        <v>319</v>
      </c>
      <c r="BJ30" s="175" t="s">
        <v>320</v>
      </c>
      <c r="BK30" s="175" t="s">
        <v>344</v>
      </c>
      <c r="BL30" s="175" t="s">
        <v>323</v>
      </c>
      <c r="BM30" s="174">
        <f>BC59</f>
        <v>858000</v>
      </c>
      <c r="BN30" s="175" t="s">
        <v>322</v>
      </c>
      <c r="BP30" s="81" t="s">
        <v>408</v>
      </c>
      <c r="BQ30" s="167">
        <v>7.2499999999999995E-2</v>
      </c>
      <c r="BR30" s="167">
        <v>7.0500000000000001E-4</v>
      </c>
      <c r="BS30" s="81">
        <v>102.71</v>
      </c>
      <c r="BT30" s="81" t="s">
        <v>422</v>
      </c>
      <c r="BU30" s="167">
        <v>2E-16</v>
      </c>
      <c r="BV30" s="81" t="s">
        <v>389</v>
      </c>
      <c r="BX30" s="178" t="s">
        <v>319</v>
      </c>
      <c r="BY30" s="178" t="s">
        <v>320</v>
      </c>
      <c r="BZ30" s="178" t="s">
        <v>343</v>
      </c>
      <c r="CA30" s="178" t="s">
        <v>323</v>
      </c>
      <c r="CB30" s="177">
        <f>BQ55</f>
        <v>0.108</v>
      </c>
      <c r="CC30" s="178" t="s">
        <v>322</v>
      </c>
      <c r="CN30" s="81" t="s">
        <v>345</v>
      </c>
      <c r="CO30" s="256">
        <f t="shared" si="0"/>
        <v>14269622.41878036</v>
      </c>
      <c r="CP30" s="256">
        <f t="shared" si="1"/>
        <v>2990000</v>
      </c>
      <c r="CQ30" s="256">
        <f t="shared" si="2"/>
        <v>8650000</v>
      </c>
      <c r="CT30" s="258" t="s">
        <v>442</v>
      </c>
      <c r="CU30" s="258" t="s">
        <v>458</v>
      </c>
      <c r="CV30" s="259">
        <v>0.67600000000000005</v>
      </c>
      <c r="CW30" s="259">
        <v>6.2399999999999999E-3</v>
      </c>
      <c r="CX30" s="258">
        <v>108.32</v>
      </c>
      <c r="CY30" s="258" t="s">
        <v>422</v>
      </c>
      <c r="CZ30" s="167">
        <v>2E-16</v>
      </c>
      <c r="DA30" s="81" t="s">
        <v>389</v>
      </c>
      <c r="DB30" s="260" t="s">
        <v>467</v>
      </c>
      <c r="DC30" s="264" t="s">
        <v>329</v>
      </c>
      <c r="DD30" s="261" t="s">
        <v>323</v>
      </c>
      <c r="DE30" s="262">
        <f>CV36</f>
        <v>25000000</v>
      </c>
      <c r="DF30" s="260" t="s">
        <v>322</v>
      </c>
    </row>
    <row r="31" spans="1:110" ht="15" customHeight="1" thickTop="1" thickBot="1" x14ac:dyDescent="0.3">
      <c r="K31" s="223" t="s">
        <v>516</v>
      </c>
      <c r="L31" s="224">
        <v>2</v>
      </c>
      <c r="M31" s="224" t="s">
        <v>517</v>
      </c>
      <c r="N31" s="220">
        <f>N18</f>
        <v>32.281986411725747</v>
      </c>
      <c r="O31" s="225"/>
      <c r="P31" s="30">
        <f>VLOOKUP(M31,$W$5:$Z$393,4,0)</f>
        <v>1.8430034129692836</v>
      </c>
      <c r="Q31" s="30">
        <f>P31*N31</f>
        <v>59.495811134238586</v>
      </c>
      <c r="R31" s="30">
        <f>VLOOKUP(M31,$W$5:$AD$393,8,0)*N31</f>
        <v>5843685.1802505953</v>
      </c>
      <c r="S31" s="30">
        <f>R31/N31</f>
        <v>181020.00000000003</v>
      </c>
      <c r="T31" s="30">
        <f>VLOOKUP(M31,$W$5:$AF$393,10,0)*N31</f>
        <v>0</v>
      </c>
      <c r="W31" s="239"/>
      <c r="X31" s="240" t="s">
        <v>103</v>
      </c>
      <c r="Y31" s="240">
        <v>0.02</v>
      </c>
      <c r="Z31" s="240">
        <v>0.18</v>
      </c>
      <c r="AA31" s="240">
        <v>550</v>
      </c>
      <c r="AB31" s="240">
        <v>1880</v>
      </c>
      <c r="AC31" s="241">
        <f>Y31/Z31</f>
        <v>0.11111111111111112</v>
      </c>
      <c r="AD31" s="242">
        <f>Y31*AA31*AB31</f>
        <v>20680</v>
      </c>
      <c r="AE31" s="14" t="s">
        <v>104</v>
      </c>
      <c r="AF31" s="14"/>
      <c r="AG31" s="14"/>
      <c r="AL31" s="159" t="s">
        <v>319</v>
      </c>
      <c r="AM31" s="81" t="s">
        <v>320</v>
      </c>
      <c r="AN31" s="81" t="s">
        <v>345</v>
      </c>
      <c r="AO31" s="167">
        <f>T25+SUM(T17:T20)</f>
        <v>14269622.41878036</v>
      </c>
      <c r="AP31" s="81" t="s">
        <v>322</v>
      </c>
      <c r="AQ31" s="167">
        <v>6867267</v>
      </c>
      <c r="AU31" s="168" t="s">
        <v>319</v>
      </c>
      <c r="AV31" s="168" t="s">
        <v>320</v>
      </c>
      <c r="AW31" s="168" t="s">
        <v>345</v>
      </c>
      <c r="AX31" s="169" t="s">
        <v>323</v>
      </c>
      <c r="AY31" s="162">
        <f t="shared" si="14"/>
        <v>14269622.41878036</v>
      </c>
      <c r="AZ31" s="168" t="s">
        <v>322</v>
      </c>
      <c r="BB31" s="81" t="s">
        <v>409</v>
      </c>
      <c r="BC31" s="167">
        <v>7.3400000000000007E-2</v>
      </c>
      <c r="BD31" s="167">
        <v>4.9700000000000005E-4</v>
      </c>
      <c r="BE31" s="81">
        <v>147.68</v>
      </c>
      <c r="BF31" s="81" t="s">
        <v>388</v>
      </c>
      <c r="BI31" s="175" t="s">
        <v>319</v>
      </c>
      <c r="BJ31" s="175" t="s">
        <v>320</v>
      </c>
      <c r="BK31" s="175" t="s">
        <v>345</v>
      </c>
      <c r="BL31" s="175" t="s">
        <v>323</v>
      </c>
      <c r="BM31" s="174">
        <f>BC60</f>
        <v>2990000</v>
      </c>
      <c r="BN31" s="175" t="s">
        <v>322</v>
      </c>
      <c r="BP31" s="81" t="s">
        <v>409</v>
      </c>
      <c r="BQ31" s="167">
        <v>4.4299999999999999E-2</v>
      </c>
      <c r="BR31" s="167">
        <v>3.0499999999999999E-4</v>
      </c>
      <c r="BS31" s="81">
        <v>145.31</v>
      </c>
      <c r="BT31" s="81" t="s">
        <v>422</v>
      </c>
      <c r="BU31" s="167">
        <v>2E-16</v>
      </c>
      <c r="BV31" s="81" t="s">
        <v>389</v>
      </c>
      <c r="BX31" s="178"/>
      <c r="BY31" s="178"/>
      <c r="BZ31" s="178"/>
      <c r="CA31" s="178"/>
      <c r="CB31" s="177"/>
      <c r="CC31" s="178"/>
      <c r="CN31" s="81" t="s">
        <v>346</v>
      </c>
      <c r="CO31" s="256">
        <f t="shared" si="0"/>
        <v>13622794.516999464</v>
      </c>
      <c r="CP31" s="256">
        <f t="shared" si="1"/>
        <v>5280000</v>
      </c>
      <c r="CQ31" s="256">
        <f t="shared" si="2"/>
        <v>17100000</v>
      </c>
      <c r="CT31" s="258" t="s">
        <v>442</v>
      </c>
      <c r="CU31" s="258" t="s">
        <v>459</v>
      </c>
      <c r="CV31" s="259">
        <v>0.55000000000000004</v>
      </c>
      <c r="CW31" s="259">
        <v>1.14E-2</v>
      </c>
      <c r="CX31" s="258">
        <v>48.42</v>
      </c>
      <c r="CY31" s="258" t="s">
        <v>422</v>
      </c>
      <c r="CZ31" s="167">
        <v>2E-16</v>
      </c>
      <c r="DA31" s="81" t="s">
        <v>389</v>
      </c>
      <c r="DD31" s="261"/>
    </row>
    <row r="32" spans="1:110" ht="15" customHeight="1" thickTop="1" thickBot="1" x14ac:dyDescent="0.3">
      <c r="K32" s="81"/>
      <c r="L32" s="81"/>
      <c r="M32" s="81"/>
      <c r="P32" s="69" t="s">
        <v>106</v>
      </c>
      <c r="Q32" s="70">
        <f>SUM(Q4:Q25)</f>
        <v>135.19090694338223</v>
      </c>
      <c r="R32" s="69" t="s">
        <v>107</v>
      </c>
      <c r="W32" s="188"/>
      <c r="X32" s="189" t="s">
        <v>129</v>
      </c>
      <c r="Y32" s="189">
        <v>0.08</v>
      </c>
      <c r="Z32" s="189">
        <v>0.6</v>
      </c>
      <c r="AA32" s="189">
        <v>1100</v>
      </c>
      <c r="AB32" s="189">
        <v>860</v>
      </c>
      <c r="AC32" s="236">
        <f>Y32/Z32</f>
        <v>0.13333333333333333</v>
      </c>
      <c r="AD32" s="190">
        <f>Y32*AA32*AB32</f>
        <v>75680</v>
      </c>
      <c r="AE32" s="14"/>
      <c r="AF32" s="14"/>
      <c r="AG32" s="14"/>
      <c r="AL32" s="159" t="s">
        <v>319</v>
      </c>
      <c r="AM32" s="81" t="s">
        <v>320</v>
      </c>
      <c r="AN32" s="81" t="s">
        <v>346</v>
      </c>
      <c r="AO32" s="167">
        <f>SUM(T28)</f>
        <v>13622794.516999464</v>
      </c>
      <c r="AP32" s="81" t="s">
        <v>322</v>
      </c>
      <c r="AQ32" s="167">
        <v>4590824</v>
      </c>
      <c r="AU32" s="168" t="s">
        <v>319</v>
      </c>
      <c r="AV32" s="168" t="s">
        <v>320</v>
      </c>
      <c r="AW32" s="168" t="s">
        <v>346</v>
      </c>
      <c r="AX32" s="169" t="s">
        <v>323</v>
      </c>
      <c r="AY32" s="162">
        <f t="shared" si="14"/>
        <v>13622794.516999464</v>
      </c>
      <c r="AZ32" s="168" t="s">
        <v>322</v>
      </c>
      <c r="BB32" s="81" t="s">
        <v>410</v>
      </c>
      <c r="BC32" s="167">
        <v>637</v>
      </c>
      <c r="BD32" s="167">
        <v>4.58</v>
      </c>
      <c r="BE32" s="81">
        <v>139.22</v>
      </c>
      <c r="BF32" s="81" t="s">
        <v>388</v>
      </c>
      <c r="BI32" s="175" t="s">
        <v>319</v>
      </c>
      <c r="BJ32" s="175" t="s">
        <v>320</v>
      </c>
      <c r="BK32" s="175" t="s">
        <v>346</v>
      </c>
      <c r="BL32" s="175" t="s">
        <v>323</v>
      </c>
      <c r="BM32" s="174">
        <f>BC61</f>
        <v>5280000</v>
      </c>
      <c r="BN32" s="175" t="s">
        <v>322</v>
      </c>
      <c r="BP32" s="81" t="s">
        <v>410</v>
      </c>
      <c r="BQ32" s="167">
        <v>278</v>
      </c>
      <c r="BR32" s="167">
        <v>2.25</v>
      </c>
      <c r="BS32" s="81">
        <v>123.56</v>
      </c>
      <c r="BT32" s="81" t="s">
        <v>422</v>
      </c>
      <c r="BU32" s="167">
        <v>2E-16</v>
      </c>
      <c r="BV32" s="81" t="s">
        <v>389</v>
      </c>
      <c r="BX32" s="178" t="s">
        <v>319</v>
      </c>
      <c r="BY32" s="178" t="s">
        <v>320</v>
      </c>
      <c r="BZ32" s="178" t="s">
        <v>344</v>
      </c>
      <c r="CA32" s="178" t="s">
        <v>323</v>
      </c>
      <c r="CB32" s="177">
        <f>BQ58</f>
        <v>752000</v>
      </c>
      <c r="CC32" s="178" t="s">
        <v>322</v>
      </c>
      <c r="CN32" s="81" t="s">
        <v>347</v>
      </c>
      <c r="CO32" s="254">
        <f t="shared" si="0"/>
        <v>0.15129981843886245</v>
      </c>
      <c r="CP32" s="254">
        <f t="shared" si="1"/>
        <v>0.38</v>
      </c>
      <c r="CQ32" s="254">
        <f t="shared" si="2"/>
        <v>0.23</v>
      </c>
      <c r="CT32" s="258" t="s">
        <v>442</v>
      </c>
      <c r="CU32" s="258" t="s">
        <v>308</v>
      </c>
      <c r="CV32" s="259">
        <v>990000000</v>
      </c>
      <c r="CW32" s="259">
        <v>66300000</v>
      </c>
      <c r="CX32" s="258">
        <v>14.92</v>
      </c>
      <c r="CY32" s="258" t="s">
        <v>422</v>
      </c>
      <c r="CZ32" s="167">
        <v>2E-16</v>
      </c>
      <c r="DA32" s="81" t="s">
        <v>389</v>
      </c>
      <c r="DB32" s="260" t="s">
        <v>467</v>
      </c>
      <c r="DC32" s="264" t="s">
        <v>488</v>
      </c>
      <c r="DD32" s="261" t="s">
        <v>323</v>
      </c>
      <c r="DE32" s="262">
        <f>CV47</f>
        <v>279</v>
      </c>
      <c r="DF32" s="260" t="s">
        <v>322</v>
      </c>
    </row>
    <row r="33" spans="1:110" ht="15" customHeight="1" thickTop="1" thickBot="1" x14ac:dyDescent="0.3">
      <c r="A33" s="72" t="s">
        <v>109</v>
      </c>
      <c r="B33" s="72" t="s">
        <v>110</v>
      </c>
      <c r="C33" s="72"/>
      <c r="D33" s="72" t="s">
        <v>111</v>
      </c>
      <c r="E33" s="307" t="s">
        <v>112</v>
      </c>
      <c r="F33" s="307"/>
      <c r="G33" s="72" t="s">
        <v>113</v>
      </c>
      <c r="K33" s="81"/>
      <c r="L33" s="81"/>
      <c r="M33" s="81"/>
      <c r="P33" s="81" t="s">
        <v>518</v>
      </c>
      <c r="Q33" s="30">
        <f>Y39*G4</f>
        <v>9.69</v>
      </c>
      <c r="W33" s="188"/>
      <c r="X33" s="189" t="s">
        <v>278</v>
      </c>
      <c r="Y33" s="189">
        <v>0.2</v>
      </c>
      <c r="Z33" s="189">
        <v>1.4</v>
      </c>
      <c r="AA33" s="189">
        <v>2100</v>
      </c>
      <c r="AB33" s="189">
        <v>840</v>
      </c>
      <c r="AC33" s="236">
        <f>Y33/Z33</f>
        <v>0.14285714285714288</v>
      </c>
      <c r="AD33" s="190">
        <f>Y33*AA33*AB33</f>
        <v>352800</v>
      </c>
      <c r="AE33" s="14"/>
      <c r="AF33" s="14"/>
      <c r="AG33" s="14"/>
      <c r="AL33" s="159" t="s">
        <v>319</v>
      </c>
      <c r="AM33" s="81" t="s">
        <v>320</v>
      </c>
      <c r="AN33" s="81" t="s">
        <v>347</v>
      </c>
      <c r="AO33" s="81">
        <f>AO26*0.3</f>
        <v>0.15129981843886245</v>
      </c>
      <c r="AP33" s="81" t="s">
        <v>322</v>
      </c>
      <c r="AQ33" s="167">
        <v>0.1616958</v>
      </c>
      <c r="AU33" s="168" t="s">
        <v>319</v>
      </c>
      <c r="AV33" s="168" t="s">
        <v>320</v>
      </c>
      <c r="AW33" s="168" t="s">
        <v>347</v>
      </c>
      <c r="AX33" s="169" t="s">
        <v>323</v>
      </c>
      <c r="AY33" s="162">
        <f t="shared" si="14"/>
        <v>0.15129981843886245</v>
      </c>
      <c r="AZ33" s="168" t="s">
        <v>322</v>
      </c>
      <c r="BB33" s="81" t="s">
        <v>411</v>
      </c>
      <c r="BC33" s="167">
        <v>795</v>
      </c>
      <c r="BD33" s="167">
        <v>5.28</v>
      </c>
      <c r="BE33" s="81">
        <v>150.51</v>
      </c>
      <c r="BF33" s="81" t="s">
        <v>388</v>
      </c>
      <c r="BI33" s="175" t="s">
        <v>319</v>
      </c>
      <c r="BJ33" s="175" t="s">
        <v>320</v>
      </c>
      <c r="BK33" s="175" t="s">
        <v>347</v>
      </c>
      <c r="BL33" s="175" t="s">
        <v>323</v>
      </c>
      <c r="BM33" s="174">
        <f>BC66</f>
        <v>0.38</v>
      </c>
      <c r="BN33" s="175" t="s">
        <v>322</v>
      </c>
      <c r="BP33" s="81" t="s">
        <v>411</v>
      </c>
      <c r="BQ33" s="167">
        <v>215</v>
      </c>
      <c r="BR33" s="167">
        <v>1.54</v>
      </c>
      <c r="BS33" s="81">
        <v>139.77000000000001</v>
      </c>
      <c r="BT33" s="81" t="s">
        <v>422</v>
      </c>
      <c r="BU33" s="167">
        <v>2E-16</v>
      </c>
      <c r="BV33" s="81" t="s">
        <v>389</v>
      </c>
      <c r="BX33" s="178" t="s">
        <v>319</v>
      </c>
      <c r="BY33" s="178" t="s">
        <v>320</v>
      </c>
      <c r="BZ33" s="178" t="s">
        <v>345</v>
      </c>
      <c r="CA33" s="178" t="s">
        <v>323</v>
      </c>
      <c r="CB33" s="177">
        <f>BQ59</f>
        <v>8650000</v>
      </c>
      <c r="CC33" s="178" t="s">
        <v>322</v>
      </c>
      <c r="CN33" s="81" t="s">
        <v>348</v>
      </c>
      <c r="CO33" s="254">
        <f t="shared" si="0"/>
        <v>5.8820932788647369E-2</v>
      </c>
      <c r="CP33" s="254">
        <f t="shared" si="1"/>
        <v>7.2800000000000004E-2</v>
      </c>
      <c r="CQ33" s="254">
        <f t="shared" si="2"/>
        <v>4.8599999999999997E-2</v>
      </c>
      <c r="CT33" s="258" t="s">
        <v>442</v>
      </c>
      <c r="CU33" s="258" t="s">
        <v>304</v>
      </c>
      <c r="CV33" s="259">
        <v>14800000</v>
      </c>
      <c r="CW33" s="259">
        <v>257000</v>
      </c>
      <c r="CX33" s="258">
        <v>57.59</v>
      </c>
      <c r="CY33" s="258" t="s">
        <v>422</v>
      </c>
      <c r="CZ33" s="167">
        <v>2E-16</v>
      </c>
      <c r="DA33" s="81" t="s">
        <v>389</v>
      </c>
      <c r="DB33" s="260" t="s">
        <v>467</v>
      </c>
      <c r="DC33" s="264" t="s">
        <v>336</v>
      </c>
      <c r="DD33" s="261" t="s">
        <v>323</v>
      </c>
      <c r="DE33" s="262">
        <f>CV48</f>
        <v>219</v>
      </c>
      <c r="DF33" s="260" t="s">
        <v>322</v>
      </c>
    </row>
    <row r="34" spans="1:110" ht="15" customHeight="1" thickTop="1" thickBot="1" x14ac:dyDescent="0.3">
      <c r="A34" s="73">
        <v>1</v>
      </c>
      <c r="B34" s="74">
        <f>B7*3.5</f>
        <v>336</v>
      </c>
      <c r="C34" s="73"/>
      <c r="D34" s="73" t="s">
        <v>42</v>
      </c>
      <c r="E34" s="308">
        <v>21</v>
      </c>
      <c r="F34" s="308"/>
      <c r="G34" s="76">
        <f>VLOOKUP(D34,A6:B22,2,0)</f>
        <v>96</v>
      </c>
      <c r="K34" s="81"/>
      <c r="L34" s="81"/>
      <c r="M34" s="81"/>
      <c r="P34" s="81"/>
      <c r="Q34" s="81"/>
      <c r="W34" s="205"/>
      <c r="X34" s="187" t="s">
        <v>80</v>
      </c>
      <c r="Y34" s="187">
        <v>0.01</v>
      </c>
      <c r="Z34" s="187">
        <v>0.6</v>
      </c>
      <c r="AA34" s="187">
        <v>975</v>
      </c>
      <c r="AB34" s="187">
        <v>840</v>
      </c>
      <c r="AC34" s="237">
        <f>Y34/Z34</f>
        <v>1.6666666666666666E-2</v>
      </c>
      <c r="AD34" s="210">
        <f>Y34*AA34*AB34</f>
        <v>8190</v>
      </c>
      <c r="AE34" s="14"/>
      <c r="AF34" s="14"/>
      <c r="AG34" s="14"/>
      <c r="AL34" s="159" t="s">
        <v>319</v>
      </c>
      <c r="AM34" s="81" t="s">
        <v>320</v>
      </c>
      <c r="AN34" s="81" t="s">
        <v>348</v>
      </c>
      <c r="AO34" s="81">
        <f>AO27*0.3</f>
        <v>5.8820932788647369E-2</v>
      </c>
      <c r="AP34" s="81" t="s">
        <v>322</v>
      </c>
      <c r="AQ34" s="81" t="s">
        <v>349</v>
      </c>
      <c r="AU34" s="168" t="s">
        <v>319</v>
      </c>
      <c r="AV34" s="168" t="s">
        <v>320</v>
      </c>
      <c r="AW34" s="168" t="s">
        <v>348</v>
      </c>
      <c r="AX34" s="169" t="s">
        <v>323</v>
      </c>
      <c r="AY34" s="162">
        <f t="shared" si="14"/>
        <v>5.8820932788647369E-2</v>
      </c>
      <c r="AZ34" s="168" t="s">
        <v>322</v>
      </c>
      <c r="BB34" s="81" t="s">
        <v>295</v>
      </c>
      <c r="BC34" s="167">
        <v>1310</v>
      </c>
      <c r="BD34" s="167">
        <v>8.17</v>
      </c>
      <c r="BE34" s="81">
        <v>160.79</v>
      </c>
      <c r="BF34" s="81" t="s">
        <v>388</v>
      </c>
      <c r="BI34" s="175" t="s">
        <v>319</v>
      </c>
      <c r="BJ34" s="175" t="s">
        <v>320</v>
      </c>
      <c r="BK34" s="175" t="s">
        <v>348</v>
      </c>
      <c r="BL34" s="175" t="s">
        <v>323</v>
      </c>
      <c r="BM34" s="174">
        <f>BC67</f>
        <v>7.2800000000000004E-2</v>
      </c>
      <c r="BN34" s="175" t="s">
        <v>322</v>
      </c>
      <c r="BP34" s="81" t="s">
        <v>295</v>
      </c>
      <c r="BQ34" s="167">
        <v>457</v>
      </c>
      <c r="BR34" s="167">
        <v>3.7</v>
      </c>
      <c r="BS34" s="81">
        <v>123.52</v>
      </c>
      <c r="BT34" s="81" t="s">
        <v>422</v>
      </c>
      <c r="BU34" s="167">
        <v>2E-16</v>
      </c>
      <c r="BV34" s="81" t="s">
        <v>389</v>
      </c>
      <c r="BX34" s="178" t="s">
        <v>319</v>
      </c>
      <c r="BY34" s="178" t="s">
        <v>320</v>
      </c>
      <c r="BZ34" s="178" t="s">
        <v>346</v>
      </c>
      <c r="CA34" s="178" t="s">
        <v>323</v>
      </c>
      <c r="CB34" s="177">
        <f>BQ60</f>
        <v>17100000</v>
      </c>
      <c r="CC34" s="178" t="s">
        <v>322</v>
      </c>
      <c r="CN34" s="81" t="s">
        <v>350</v>
      </c>
      <c r="CO34" s="254">
        <f t="shared" si="0"/>
        <v>0.71376529035254355</v>
      </c>
      <c r="CP34" s="254">
        <f t="shared" si="1"/>
        <v>0.41799999999999998</v>
      </c>
      <c r="CQ34" s="254">
        <f t="shared" si="2"/>
        <v>0.63200000000000001</v>
      </c>
      <c r="CT34" s="258" t="s">
        <v>442</v>
      </c>
      <c r="CU34" s="258" t="s">
        <v>399</v>
      </c>
      <c r="CV34" s="259">
        <v>3530000</v>
      </c>
      <c r="CW34" s="259">
        <v>54900</v>
      </c>
      <c r="CX34" s="258">
        <v>64.2</v>
      </c>
      <c r="CY34" s="258" t="s">
        <v>422</v>
      </c>
      <c r="CZ34" s="167">
        <v>2E-16</v>
      </c>
      <c r="DA34" s="81" t="s">
        <v>389</v>
      </c>
      <c r="DB34" s="260" t="s">
        <v>467</v>
      </c>
      <c r="DC34" s="265" t="s">
        <v>337</v>
      </c>
      <c r="DD34" s="261" t="s">
        <v>323</v>
      </c>
      <c r="DE34" s="262">
        <f>CV49</f>
        <v>461</v>
      </c>
      <c r="DF34" s="260" t="s">
        <v>322</v>
      </c>
    </row>
    <row r="35" spans="1:110" ht="15" customHeight="1" thickTop="1" thickBot="1" x14ac:dyDescent="0.3">
      <c r="A35" s="73">
        <v>2</v>
      </c>
      <c r="B35" s="74">
        <f>B4-B34</f>
        <v>173.60000000000002</v>
      </c>
      <c r="C35" s="73"/>
      <c r="D35" s="73" t="s">
        <v>116</v>
      </c>
      <c r="E35" s="77">
        <v>16</v>
      </c>
      <c r="F35" s="77"/>
      <c r="G35" s="76">
        <f>VLOOKUP(D35,A7:B23,2,0)</f>
        <v>89.300000000000011</v>
      </c>
      <c r="K35" s="81"/>
      <c r="L35" s="81"/>
      <c r="M35" s="81" t="s">
        <v>114</v>
      </c>
      <c r="N35" s="153">
        <f>SUM(Q6:Q9,Q15,Q17:Q20,Q25)</f>
        <v>44.186188653870545</v>
      </c>
      <c r="O35" s="153"/>
      <c r="P35" s="81"/>
      <c r="Q35" s="81"/>
      <c r="W35" s="189"/>
      <c r="X35" s="189"/>
      <c r="Y35" s="189"/>
      <c r="Z35" s="189"/>
      <c r="AA35" s="189"/>
      <c r="AB35" s="189"/>
      <c r="AC35" s="236"/>
      <c r="AD35" s="189"/>
      <c r="AE35" s="14"/>
      <c r="AF35" s="14"/>
      <c r="AG35" s="14"/>
      <c r="AL35" s="159" t="s">
        <v>319</v>
      </c>
      <c r="AM35" s="81" t="s">
        <v>320</v>
      </c>
      <c r="AN35" s="81" t="s">
        <v>350</v>
      </c>
      <c r="AO35" s="81">
        <f>AO28*0.3+0.7</f>
        <v>0.71376529035254355</v>
      </c>
      <c r="AP35" s="81" t="s">
        <v>322</v>
      </c>
      <c r="AQ35" s="81" t="s">
        <v>351</v>
      </c>
      <c r="AU35" s="168" t="s">
        <v>319</v>
      </c>
      <c r="AV35" s="168" t="s">
        <v>320</v>
      </c>
      <c r="AW35" s="168" t="s">
        <v>350</v>
      </c>
      <c r="AX35" s="169" t="s">
        <v>323</v>
      </c>
      <c r="AY35" s="162">
        <f t="shared" si="14"/>
        <v>0.71376529035254355</v>
      </c>
      <c r="AZ35" s="168" t="s">
        <v>322</v>
      </c>
      <c r="BB35" s="81" t="s">
        <v>120</v>
      </c>
      <c r="BC35" s="167">
        <v>253</v>
      </c>
      <c r="BD35" s="167">
        <v>0.97099999999999997</v>
      </c>
      <c r="BE35" s="81">
        <v>260.89</v>
      </c>
      <c r="BF35" s="81" t="s">
        <v>388</v>
      </c>
      <c r="BI35" s="175" t="s">
        <v>319</v>
      </c>
      <c r="BJ35" s="175" t="s">
        <v>320</v>
      </c>
      <c r="BK35" s="175" t="s">
        <v>350</v>
      </c>
      <c r="BL35" s="175" t="s">
        <v>323</v>
      </c>
      <c r="BM35" s="174">
        <f>BC68</f>
        <v>0.41799999999999998</v>
      </c>
      <c r="BN35" s="175" t="s">
        <v>322</v>
      </c>
      <c r="BP35" s="81" t="s">
        <v>120</v>
      </c>
      <c r="BQ35" s="167">
        <v>272</v>
      </c>
      <c r="BR35" s="167">
        <v>18.2</v>
      </c>
      <c r="BS35" s="81">
        <v>14.96</v>
      </c>
      <c r="BT35" s="81" t="s">
        <v>422</v>
      </c>
      <c r="BU35" s="167">
        <v>2E-16</v>
      </c>
      <c r="BV35" s="81" t="s">
        <v>389</v>
      </c>
      <c r="BX35" s="178" t="s">
        <v>319</v>
      </c>
      <c r="BY35" s="178" t="s">
        <v>320</v>
      </c>
      <c r="BZ35" s="178" t="s">
        <v>347</v>
      </c>
      <c r="CA35" s="178" t="s">
        <v>323</v>
      </c>
      <c r="CB35" s="177">
        <f>BQ65</f>
        <v>0.23</v>
      </c>
      <c r="CC35" s="178" t="s">
        <v>322</v>
      </c>
      <c r="CO35" s="255"/>
      <c r="CP35" s="255"/>
      <c r="CQ35" s="255"/>
      <c r="CT35" s="258" t="s">
        <v>442</v>
      </c>
      <c r="CU35" s="258" t="s">
        <v>301</v>
      </c>
      <c r="CV35" s="259">
        <v>31700000</v>
      </c>
      <c r="CW35" s="259">
        <v>1080000</v>
      </c>
      <c r="CX35" s="258">
        <v>29.18</v>
      </c>
      <c r="CY35" s="258" t="s">
        <v>422</v>
      </c>
      <c r="CZ35" s="167">
        <v>2E-16</v>
      </c>
      <c r="DA35" s="81" t="s">
        <v>389</v>
      </c>
      <c r="DB35" s="260" t="s">
        <v>467</v>
      </c>
      <c r="DC35" s="265" t="s">
        <v>338</v>
      </c>
      <c r="DD35" s="261" t="s">
        <v>323</v>
      </c>
      <c r="DE35" s="262">
        <f>CV50</f>
        <v>272</v>
      </c>
      <c r="DF35" s="260" t="s">
        <v>322</v>
      </c>
    </row>
    <row r="36" spans="1:110" ht="15" customHeight="1" thickTop="1" thickBot="1" x14ac:dyDescent="0.3">
      <c r="A36" s="73">
        <v>3</v>
      </c>
      <c r="B36" s="74">
        <f>G36*2</f>
        <v>0</v>
      </c>
      <c r="C36" s="73"/>
      <c r="D36" s="73" t="s">
        <v>118</v>
      </c>
      <c r="E36" s="309" t="s">
        <v>119</v>
      </c>
      <c r="F36" s="309"/>
      <c r="G36" s="76">
        <f>B17</f>
        <v>0</v>
      </c>
      <c r="K36" s="81"/>
      <c r="L36" s="81"/>
      <c r="M36" s="81" t="s">
        <v>117</v>
      </c>
      <c r="N36" s="153">
        <f>SUM(Q10:Q13,Q21:Q24)</f>
        <v>35.53</v>
      </c>
      <c r="P36" s="81"/>
      <c r="Q36" s="81"/>
      <c r="W36" s="226"/>
      <c r="X36" s="226"/>
      <c r="Y36" s="227" t="s">
        <v>437</v>
      </c>
      <c r="Z36" s="227">
        <v>2.8</v>
      </c>
      <c r="AA36" s="227" t="s">
        <v>5</v>
      </c>
      <c r="AB36" s="226"/>
      <c r="AC36" s="226"/>
      <c r="AD36" s="226"/>
      <c r="AE36" s="14"/>
      <c r="AF36" s="14"/>
      <c r="AG36" s="14"/>
      <c r="AP36" s="81" t="s">
        <v>322</v>
      </c>
      <c r="AU36" s="168"/>
      <c r="AV36" s="168"/>
      <c r="AW36" s="168"/>
      <c r="AX36" s="169"/>
      <c r="AZ36" s="168"/>
      <c r="BB36" s="81" t="s">
        <v>412</v>
      </c>
      <c r="BC36" s="167">
        <v>-5.43</v>
      </c>
      <c r="BD36" s="167">
        <v>2.2100000000000002E-2</v>
      </c>
      <c r="BE36" s="81">
        <v>-245.28</v>
      </c>
      <c r="BF36" s="81" t="s">
        <v>388</v>
      </c>
      <c r="BI36" s="175"/>
      <c r="BJ36" s="175"/>
      <c r="BK36" s="175"/>
      <c r="BL36" s="175"/>
      <c r="BM36" s="174"/>
      <c r="BN36" s="175"/>
      <c r="BP36" s="81" t="s">
        <v>412</v>
      </c>
      <c r="BQ36" s="167">
        <v>-5.48</v>
      </c>
      <c r="BR36" s="167">
        <v>7.46E-2</v>
      </c>
      <c r="BS36" s="81">
        <v>-73.489999999999995</v>
      </c>
      <c r="BT36" s="81" t="s">
        <v>422</v>
      </c>
      <c r="BU36" s="167">
        <v>2E-16</v>
      </c>
      <c r="BV36" s="81" t="s">
        <v>389</v>
      </c>
      <c r="BX36" s="178" t="s">
        <v>319</v>
      </c>
      <c r="BY36" s="178" t="s">
        <v>320</v>
      </c>
      <c r="BZ36" s="178" t="s">
        <v>348</v>
      </c>
      <c r="CA36" s="178" t="s">
        <v>323</v>
      </c>
      <c r="CB36" s="177">
        <f>BQ66</f>
        <v>4.8599999999999997E-2</v>
      </c>
      <c r="CC36" s="178" t="s">
        <v>322</v>
      </c>
      <c r="CN36" s="81" t="s">
        <v>352</v>
      </c>
      <c r="CO36" s="257">
        <f t="shared" si="0"/>
        <v>286.89834630884354</v>
      </c>
      <c r="CP36" s="257">
        <f t="shared" si="1"/>
        <v>568</v>
      </c>
      <c r="CQ36" s="257">
        <f t="shared" si="2"/>
        <v>219</v>
      </c>
      <c r="CT36" s="258" t="s">
        <v>442</v>
      </c>
      <c r="CU36" s="258" t="s">
        <v>303</v>
      </c>
      <c r="CV36" s="259">
        <v>25000000</v>
      </c>
      <c r="CW36" s="259">
        <v>250000</v>
      </c>
      <c r="CX36" s="258">
        <v>99.96</v>
      </c>
      <c r="CY36" s="258" t="s">
        <v>422</v>
      </c>
      <c r="CZ36" s="167">
        <v>2E-16</v>
      </c>
      <c r="DA36" s="81" t="s">
        <v>389</v>
      </c>
      <c r="DB36" s="260" t="s">
        <v>467</v>
      </c>
      <c r="DC36" s="266" t="s">
        <v>340</v>
      </c>
      <c r="DD36" s="261" t="s">
        <v>323</v>
      </c>
      <c r="DE36" s="262">
        <f>CV59</f>
        <v>76.2</v>
      </c>
      <c r="DF36" s="260" t="s">
        <v>322</v>
      </c>
    </row>
    <row r="37" spans="1:110" ht="15" customHeight="1" thickTop="1" thickBot="1" x14ac:dyDescent="0.3">
      <c r="K37" s="81"/>
      <c r="L37" s="81"/>
      <c r="M37" s="81" t="s">
        <v>120</v>
      </c>
      <c r="N37" s="153">
        <f>'Verwarming Tabula'!B60</f>
        <v>138.03320000000002</v>
      </c>
      <c r="P37" s="81"/>
      <c r="Q37" s="81"/>
      <c r="W37" s="228" t="s">
        <v>115</v>
      </c>
      <c r="X37" s="229"/>
      <c r="Y37" s="230" t="s">
        <v>21</v>
      </c>
      <c r="Z37" s="243">
        <v>1.1000000000000001</v>
      </c>
      <c r="AA37" s="229" t="s">
        <v>5</v>
      </c>
      <c r="AB37" s="229"/>
      <c r="AC37" s="229" t="s">
        <v>22</v>
      </c>
      <c r="AD37" s="232">
        <f>SUM(AD38:AD39)</f>
        <v>0</v>
      </c>
      <c r="AE37" s="14" t="s">
        <v>23</v>
      </c>
      <c r="AF37" s="14">
        <f>SUM(AD39:AD40)</f>
        <v>0</v>
      </c>
      <c r="AG37" s="14"/>
      <c r="AL37" s="159" t="s">
        <v>319</v>
      </c>
      <c r="AM37" s="81" t="s">
        <v>320</v>
      </c>
      <c r="AN37" s="81" t="s">
        <v>352</v>
      </c>
      <c r="AO37" s="81">
        <f>SUM(N17:N20)*(1/(SUM(AC20:AC21)*0.5+1/8))+N25*(1/(SUM(AC9:AC10)*0.5+1/8))</f>
        <v>286.89834630884354</v>
      </c>
      <c r="AP37" s="81" t="s">
        <v>322</v>
      </c>
      <c r="AQ37" s="81" t="s">
        <v>353</v>
      </c>
      <c r="AU37" s="168" t="s">
        <v>319</v>
      </c>
      <c r="AV37" s="168" t="s">
        <v>320</v>
      </c>
      <c r="AW37" s="168" t="s">
        <v>352</v>
      </c>
      <c r="AX37" s="169" t="s">
        <v>323</v>
      </c>
      <c r="AY37" s="162">
        <f>AO37</f>
        <v>286.89834630884354</v>
      </c>
      <c r="AZ37" s="168" t="s">
        <v>322</v>
      </c>
      <c r="BB37" s="81" t="s">
        <v>413</v>
      </c>
      <c r="BC37" s="167">
        <v>-6.85</v>
      </c>
      <c r="BD37" s="167">
        <v>1.8800000000000001E-2</v>
      </c>
      <c r="BE37" s="81">
        <v>-364.7</v>
      </c>
      <c r="BF37" s="81" t="s">
        <v>388</v>
      </c>
      <c r="BI37" s="175" t="s">
        <v>319</v>
      </c>
      <c r="BJ37" s="175" t="s">
        <v>320</v>
      </c>
      <c r="BK37" s="175" t="s">
        <v>352</v>
      </c>
      <c r="BL37" s="175" t="s">
        <v>323</v>
      </c>
      <c r="BM37" s="174">
        <f>BC70</f>
        <v>568</v>
      </c>
      <c r="BN37" s="175" t="s">
        <v>322</v>
      </c>
      <c r="BP37" s="81" t="s">
        <v>413</v>
      </c>
      <c r="BQ37" s="167">
        <v>-6.06</v>
      </c>
      <c r="BR37" s="167">
        <v>4.41E-2</v>
      </c>
      <c r="BS37" s="81">
        <v>-137.35</v>
      </c>
      <c r="BT37" s="81" t="s">
        <v>422</v>
      </c>
      <c r="BU37" s="167">
        <v>2E-16</v>
      </c>
      <c r="BV37" s="81" t="s">
        <v>389</v>
      </c>
      <c r="BX37" s="178" t="s">
        <v>319</v>
      </c>
      <c r="BY37" s="178" t="s">
        <v>320</v>
      </c>
      <c r="BZ37" s="178" t="s">
        <v>350</v>
      </c>
      <c r="CA37" s="178" t="s">
        <v>323</v>
      </c>
      <c r="CB37" s="177">
        <f>BQ67</f>
        <v>0.63200000000000001</v>
      </c>
      <c r="CC37" s="178" t="s">
        <v>322</v>
      </c>
      <c r="CN37" s="81" t="s">
        <v>354</v>
      </c>
      <c r="CO37" s="257">
        <f t="shared" si="0"/>
        <v>479.30550788414729</v>
      </c>
      <c r="CP37" s="257">
        <f t="shared" si="1"/>
        <v>238</v>
      </c>
      <c r="CQ37" s="257">
        <f t="shared" si="2"/>
        <v>85.9</v>
      </c>
      <c r="CT37" s="258" t="s">
        <v>442</v>
      </c>
      <c r="CU37" s="258" t="s">
        <v>400</v>
      </c>
      <c r="CV37" s="259">
        <v>-5.76</v>
      </c>
      <c r="CW37" s="259">
        <v>6.0600000000000001E-2</v>
      </c>
      <c r="CX37" s="258">
        <v>-95.1</v>
      </c>
      <c r="CY37" s="258" t="s">
        <v>422</v>
      </c>
      <c r="CZ37" s="167">
        <v>2E-16</v>
      </c>
      <c r="DA37" s="81" t="s">
        <v>389</v>
      </c>
      <c r="DB37" s="260" t="s">
        <v>467</v>
      </c>
      <c r="DC37" s="266" t="s">
        <v>339</v>
      </c>
      <c r="DD37" s="261" t="s">
        <v>323</v>
      </c>
      <c r="DE37" s="262">
        <f>1/CV56</f>
        <v>324.6753246753247</v>
      </c>
      <c r="DF37" s="260" t="s">
        <v>322</v>
      </c>
    </row>
    <row r="38" spans="1:110" ht="15" customHeight="1" thickTop="1" thickBot="1" x14ac:dyDescent="0.3">
      <c r="B38" s="153"/>
      <c r="K38" s="81"/>
      <c r="L38" s="81"/>
      <c r="M38" s="81"/>
      <c r="N38" s="153"/>
      <c r="P38" s="81"/>
      <c r="Q38" s="81"/>
      <c r="W38" s="239"/>
      <c r="X38" s="240" t="s">
        <v>16</v>
      </c>
      <c r="Y38" s="240">
        <v>0.7</v>
      </c>
      <c r="Z38" s="240" t="s">
        <v>5</v>
      </c>
      <c r="AA38" s="240"/>
      <c r="AB38" s="240" t="s">
        <v>506</v>
      </c>
      <c r="AC38" s="240">
        <f>(Z37-(1-AC39)*Y38)/AC39</f>
        <v>2.3000000000000007</v>
      </c>
      <c r="AD38" s="244"/>
      <c r="AE38" s="14"/>
      <c r="AF38" s="14"/>
      <c r="AG38" s="14"/>
      <c r="AL38" s="159" t="s">
        <v>319</v>
      </c>
      <c r="AM38" s="81" t="s">
        <v>320</v>
      </c>
      <c r="AN38" s="81" t="s">
        <v>354</v>
      </c>
      <c r="AO38" s="81">
        <f>4*Z23*N28</f>
        <v>479.30550788414729</v>
      </c>
      <c r="AP38" s="81" t="s">
        <v>322</v>
      </c>
      <c r="AQ38" s="167">
        <v>85.692350000000005</v>
      </c>
      <c r="AU38" s="168" t="s">
        <v>319</v>
      </c>
      <c r="AV38" s="168" t="s">
        <v>320</v>
      </c>
      <c r="AW38" s="168" t="s">
        <v>354</v>
      </c>
      <c r="AX38" s="169" t="s">
        <v>323</v>
      </c>
      <c r="AY38" s="162">
        <f>AO38</f>
        <v>479.30550788414729</v>
      </c>
      <c r="AZ38" s="168" t="s">
        <v>322</v>
      </c>
      <c r="BB38" s="81" t="s">
        <v>414</v>
      </c>
      <c r="BC38" s="167">
        <v>-8.6300000000000008</v>
      </c>
      <c r="BD38" s="167">
        <v>5.8999999999999997E-2</v>
      </c>
      <c r="BE38" s="81">
        <v>-146.31</v>
      </c>
      <c r="BF38" s="81" t="s">
        <v>388</v>
      </c>
      <c r="BI38" s="175" t="s">
        <v>319</v>
      </c>
      <c r="BJ38" s="175" t="s">
        <v>320</v>
      </c>
      <c r="BK38" s="175" t="s">
        <v>354</v>
      </c>
      <c r="BL38" s="175" t="s">
        <v>323</v>
      </c>
      <c r="BM38" s="174">
        <f>BC71</f>
        <v>238</v>
      </c>
      <c r="BN38" s="175" t="s">
        <v>322</v>
      </c>
      <c r="BP38" s="81" t="s">
        <v>414</v>
      </c>
      <c r="BQ38" s="167">
        <v>-6.9</v>
      </c>
      <c r="BR38" s="167">
        <v>0.127</v>
      </c>
      <c r="BS38" s="81">
        <v>-54.4</v>
      </c>
      <c r="BT38" s="81" t="s">
        <v>422</v>
      </c>
      <c r="BU38" s="167">
        <v>2E-16</v>
      </c>
      <c r="BV38" s="81" t="s">
        <v>389</v>
      </c>
      <c r="BX38" s="178"/>
      <c r="BY38" s="178"/>
      <c r="BZ38" s="178"/>
      <c r="CA38" s="178"/>
      <c r="CB38" s="177"/>
      <c r="CC38" s="178"/>
      <c r="CN38" s="81" t="s">
        <v>355</v>
      </c>
      <c r="CO38" s="257">
        <f t="shared" si="0"/>
        <v>61.897346725274737</v>
      </c>
      <c r="CP38" s="257">
        <f t="shared" si="1"/>
        <v>58</v>
      </c>
      <c r="CQ38" s="257">
        <f t="shared" si="2"/>
        <v>49.4</v>
      </c>
      <c r="CT38" s="258" t="s">
        <v>442</v>
      </c>
      <c r="CU38" s="258" t="s">
        <v>401</v>
      </c>
      <c r="CV38" s="259">
        <v>-14.2</v>
      </c>
      <c r="CW38" s="259">
        <v>51.7</v>
      </c>
      <c r="CX38" s="258">
        <v>-0.28000000000000003</v>
      </c>
      <c r="CY38" s="258">
        <v>0.78300000000000003</v>
      </c>
      <c r="DB38" s="260" t="s">
        <v>467</v>
      </c>
      <c r="DC38" s="263" t="s">
        <v>331</v>
      </c>
      <c r="DD38" s="261" t="s">
        <v>323</v>
      </c>
      <c r="DE38" s="262">
        <f>CV42</f>
        <v>6.9599999999999995E-2</v>
      </c>
      <c r="DF38" s="260" t="s">
        <v>322</v>
      </c>
    </row>
    <row r="39" spans="1:110" ht="15" customHeight="1" thickTop="1" thickBot="1" x14ac:dyDescent="0.3">
      <c r="K39" s="81"/>
      <c r="L39" s="81"/>
      <c r="M39" s="81" t="s">
        <v>122</v>
      </c>
      <c r="N39" s="153">
        <f>B4*1.204*1012*5/1000000</f>
        <v>3.1046055040000002</v>
      </c>
      <c r="O39" s="81" t="s">
        <v>123</v>
      </c>
      <c r="Q39" s="81"/>
      <c r="W39" s="205"/>
      <c r="X39" s="187" t="s">
        <v>121</v>
      </c>
      <c r="Y39" s="187">
        <v>0.3</v>
      </c>
      <c r="Z39" s="187"/>
      <c r="AA39" s="187"/>
      <c r="AB39" s="187" t="s">
        <v>507</v>
      </c>
      <c r="AC39" s="187">
        <v>0.25</v>
      </c>
      <c r="AD39" s="210"/>
      <c r="AE39" s="149" t="s">
        <v>279</v>
      </c>
      <c r="AF39" s="14"/>
      <c r="AG39" s="14"/>
      <c r="AL39" s="159" t="s">
        <v>319</v>
      </c>
      <c r="AM39" s="81" t="s">
        <v>320</v>
      </c>
      <c r="AN39" s="81" t="s">
        <v>355</v>
      </c>
      <c r="AO39" s="153">
        <f>'Verwarming Tabula 2zone'!B139+SUM(Q21:Q24)</f>
        <v>61.897346725274737</v>
      </c>
      <c r="AP39" s="81" t="s">
        <v>322</v>
      </c>
      <c r="AQ39" s="81" t="s">
        <v>356</v>
      </c>
      <c r="AU39" s="168" t="s">
        <v>319</v>
      </c>
      <c r="AV39" s="168" t="s">
        <v>320</v>
      </c>
      <c r="AW39" s="168" t="s">
        <v>355</v>
      </c>
      <c r="AX39" s="169" t="s">
        <v>323</v>
      </c>
      <c r="AY39" s="162">
        <f>AO39</f>
        <v>61.897346725274737</v>
      </c>
      <c r="AZ39" s="168" t="s">
        <v>322</v>
      </c>
      <c r="BB39" s="81" t="s">
        <v>415</v>
      </c>
      <c r="BC39" s="167">
        <v>-6.14</v>
      </c>
      <c r="BD39" s="167">
        <v>2.1399999999999999E-2</v>
      </c>
      <c r="BE39" s="81">
        <v>-287.01</v>
      </c>
      <c r="BF39" s="81" t="s">
        <v>388</v>
      </c>
      <c r="BI39" s="175" t="s">
        <v>319</v>
      </c>
      <c r="BJ39" s="175" t="s">
        <v>320</v>
      </c>
      <c r="BK39" s="175" t="s">
        <v>355</v>
      </c>
      <c r="BL39" s="175" t="s">
        <v>323</v>
      </c>
      <c r="BM39" s="174">
        <f>BC72</f>
        <v>58</v>
      </c>
      <c r="BN39" s="175" t="s">
        <v>322</v>
      </c>
      <c r="BP39" s="81" t="s">
        <v>415</v>
      </c>
      <c r="BQ39" s="167">
        <v>-6.05</v>
      </c>
      <c r="BR39" s="167">
        <v>2.2700000000000001E-2</v>
      </c>
      <c r="BS39" s="81">
        <v>-266.10000000000002</v>
      </c>
      <c r="BT39" s="81" t="s">
        <v>422</v>
      </c>
      <c r="BU39" s="167">
        <v>2E-16</v>
      </c>
      <c r="BV39" s="81" t="s">
        <v>389</v>
      </c>
      <c r="BX39" s="178" t="s">
        <v>319</v>
      </c>
      <c r="BY39" s="178" t="s">
        <v>320</v>
      </c>
      <c r="BZ39" s="178" t="s">
        <v>352</v>
      </c>
      <c r="CA39" s="178" t="s">
        <v>323</v>
      </c>
      <c r="CB39" s="177">
        <f>BQ69</f>
        <v>219</v>
      </c>
      <c r="CC39" s="178" t="s">
        <v>322</v>
      </c>
      <c r="CN39" s="81" t="s">
        <v>357</v>
      </c>
      <c r="CO39" s="257">
        <f t="shared" si="0"/>
        <v>41.13808810509294</v>
      </c>
      <c r="CP39" s="257">
        <f t="shared" si="1"/>
        <v>215.51724137931035</v>
      </c>
      <c r="CQ39" s="257">
        <f t="shared" si="2"/>
        <v>350.87719298245611</v>
      </c>
      <c r="CT39" s="258" t="s">
        <v>442</v>
      </c>
      <c r="CU39" s="258" t="s">
        <v>402</v>
      </c>
      <c r="CV39" s="259">
        <v>-10.4</v>
      </c>
      <c r="CW39" s="259">
        <v>41.4</v>
      </c>
      <c r="CX39" s="258">
        <v>-0.25</v>
      </c>
      <c r="CY39" s="258">
        <v>0.80100000000000005</v>
      </c>
      <c r="DB39" s="260" t="s">
        <v>467</v>
      </c>
      <c r="DC39" s="264" t="s">
        <v>332</v>
      </c>
      <c r="DD39" s="261" t="s">
        <v>323</v>
      </c>
      <c r="DE39" s="262">
        <f>CV43</f>
        <v>0.13600000000000001</v>
      </c>
      <c r="DF39" s="260" t="s">
        <v>322</v>
      </c>
    </row>
    <row r="40" spans="1:110" ht="15" customHeight="1" thickTop="1" thickBot="1" x14ac:dyDescent="0.3">
      <c r="A40" s="81" t="s">
        <v>280</v>
      </c>
      <c r="K40" s="81"/>
      <c r="L40" s="81"/>
      <c r="M40" s="81" t="s">
        <v>124</v>
      </c>
      <c r="N40" s="153">
        <f>SUM(R6:R9,R15)/1000000</f>
        <v>32.482583766864543</v>
      </c>
      <c r="O40" s="81" t="s">
        <v>125</v>
      </c>
      <c r="P40" s="153">
        <f>SUM(T6:T9,T15)/1000000</f>
        <v>15.206901581219645</v>
      </c>
      <c r="Q40" s="81"/>
      <c r="W40" s="226"/>
      <c r="X40" s="226"/>
      <c r="Y40" s="226"/>
      <c r="Z40" s="226"/>
      <c r="AA40" s="226"/>
      <c r="AB40" s="226"/>
      <c r="AC40" s="226"/>
      <c r="AD40" s="226"/>
      <c r="AE40" s="14"/>
      <c r="AF40" s="14"/>
      <c r="AG40" s="14"/>
      <c r="AL40" s="159" t="s">
        <v>319</v>
      </c>
      <c r="AM40" s="81" t="s">
        <v>320</v>
      </c>
      <c r="AN40" s="81" t="s">
        <v>357</v>
      </c>
      <c r="AO40" s="81">
        <f>SUM(N17:N20)*1/(SUM(AC17:AC19)+0.5*SUM(AC20:AC21)+1/23)+N25*1/(SUM(AC7:AC9)+0.5*SUM(AC10)+1/23)</f>
        <v>41.13808810509294</v>
      </c>
      <c r="AP40" s="81" t="s">
        <v>322</v>
      </c>
      <c r="AQ40" s="81">
        <f>1/0.01634389</f>
        <v>61.184944343115376</v>
      </c>
      <c r="AU40" s="168" t="s">
        <v>319</v>
      </c>
      <c r="AV40" s="168" t="s">
        <v>320</v>
      </c>
      <c r="AW40" s="168" t="s">
        <v>357</v>
      </c>
      <c r="AX40" s="169" t="s">
        <v>323</v>
      </c>
      <c r="AY40" s="162">
        <f>AO40</f>
        <v>41.13808810509294</v>
      </c>
      <c r="AZ40" s="168" t="s">
        <v>322</v>
      </c>
      <c r="BB40" s="81" t="s">
        <v>416</v>
      </c>
      <c r="BC40" s="167">
        <v>-7.59</v>
      </c>
      <c r="BD40" s="167">
        <v>2.3199999999999998E-2</v>
      </c>
      <c r="BE40" s="81">
        <v>-327.07</v>
      </c>
      <c r="BF40" s="81" t="s">
        <v>388</v>
      </c>
      <c r="BI40" s="175" t="s">
        <v>319</v>
      </c>
      <c r="BJ40" s="175" t="s">
        <v>320</v>
      </c>
      <c r="BK40" s="175" t="s">
        <v>357</v>
      </c>
      <c r="BL40" s="175" t="s">
        <v>323</v>
      </c>
      <c r="BM40" s="174">
        <f>1/BC77</f>
        <v>215.51724137931035</v>
      </c>
      <c r="BN40" s="175" t="s">
        <v>322</v>
      </c>
      <c r="BP40" s="81" t="s">
        <v>416</v>
      </c>
      <c r="BQ40" s="167">
        <v>-6.56</v>
      </c>
      <c r="BR40" s="167">
        <v>3.3300000000000003E-2</v>
      </c>
      <c r="BS40" s="81">
        <v>-196.87</v>
      </c>
      <c r="BT40" s="81" t="s">
        <v>422</v>
      </c>
      <c r="BU40" s="167">
        <v>2E-16</v>
      </c>
      <c r="BV40" s="81" t="s">
        <v>389</v>
      </c>
      <c r="BX40" s="178" t="s">
        <v>319</v>
      </c>
      <c r="BY40" s="178" t="s">
        <v>320</v>
      </c>
      <c r="BZ40" s="178" t="s">
        <v>354</v>
      </c>
      <c r="CA40" s="178" t="s">
        <v>323</v>
      </c>
      <c r="CB40" s="177">
        <f>BQ70</f>
        <v>85.9</v>
      </c>
      <c r="CC40" s="178" t="s">
        <v>322</v>
      </c>
      <c r="CO40" s="255"/>
      <c r="CP40" s="255"/>
      <c r="CQ40" s="255"/>
      <c r="CT40" s="258" t="s">
        <v>442</v>
      </c>
      <c r="CU40" s="258" t="s">
        <v>403</v>
      </c>
      <c r="CV40" s="259">
        <v>-14.8</v>
      </c>
      <c r="CW40" s="259">
        <v>22.8</v>
      </c>
      <c r="CX40" s="258">
        <v>-0.65</v>
      </c>
      <c r="CY40" s="258">
        <v>0.51700000000000002</v>
      </c>
      <c r="DB40" s="260" t="s">
        <v>467</v>
      </c>
      <c r="DC40" s="264" t="s">
        <v>333</v>
      </c>
      <c r="DD40" s="261" t="s">
        <v>323</v>
      </c>
      <c r="DE40" s="262">
        <f>CV44</f>
        <v>0.77200000000000002</v>
      </c>
      <c r="DF40" s="260" t="s">
        <v>322</v>
      </c>
    </row>
    <row r="41" spans="1:110" ht="15" customHeight="1" thickTop="1" thickBot="1" x14ac:dyDescent="0.3">
      <c r="A41" s="150" t="s">
        <v>281</v>
      </c>
      <c r="K41" s="81"/>
      <c r="L41" s="81"/>
      <c r="M41" s="81" t="s">
        <v>126</v>
      </c>
      <c r="N41" s="153">
        <f>SUM(R26:R27)/1000000</f>
        <v>55.48624048300055</v>
      </c>
      <c r="O41" s="81" t="s">
        <v>125</v>
      </c>
      <c r="P41" s="153">
        <f>SUM(T26:T27)/1000000</f>
        <v>55.48624048300055</v>
      </c>
      <c r="Q41" s="81"/>
      <c r="W41" s="226"/>
      <c r="X41" s="226"/>
      <c r="Y41" s="227" t="s">
        <v>4</v>
      </c>
      <c r="Z41" s="227">
        <v>0.85</v>
      </c>
      <c r="AA41" s="227" t="s">
        <v>5</v>
      </c>
      <c r="AB41" s="226"/>
      <c r="AC41" s="226"/>
      <c r="AD41" s="226"/>
      <c r="AE41" s="14"/>
      <c r="AF41" s="14"/>
      <c r="AG41" s="14"/>
      <c r="AP41" s="81" t="s">
        <v>322</v>
      </c>
      <c r="AU41" s="168"/>
      <c r="AV41" s="168"/>
      <c r="AW41" s="168"/>
      <c r="AX41" s="169"/>
      <c r="AZ41" s="168"/>
      <c r="BB41" s="81" t="s">
        <v>417</v>
      </c>
      <c r="BC41" s="167">
        <v>4.5999999999999999E-3</v>
      </c>
      <c r="BD41" s="167">
        <v>2.5000000000000001E-5</v>
      </c>
      <c r="BE41" s="81">
        <v>184.29</v>
      </c>
      <c r="BF41" s="81" t="s">
        <v>388</v>
      </c>
      <c r="BI41" s="175"/>
      <c r="BJ41" s="175"/>
      <c r="BK41" s="175"/>
      <c r="BL41" s="175"/>
      <c r="BM41" s="174"/>
      <c r="BN41" s="175"/>
      <c r="BP41" s="81" t="s">
        <v>417</v>
      </c>
      <c r="BQ41" s="167">
        <v>3.0599999999999998E-3</v>
      </c>
      <c r="BR41" s="167">
        <v>6.4700000000000001E-5</v>
      </c>
      <c r="BS41" s="81">
        <v>47.35</v>
      </c>
      <c r="BT41" s="81" t="s">
        <v>422</v>
      </c>
      <c r="BU41" s="167">
        <v>2E-16</v>
      </c>
      <c r="BV41" s="81" t="s">
        <v>389</v>
      </c>
      <c r="BX41" s="178" t="s">
        <v>319</v>
      </c>
      <c r="BY41" s="178" t="s">
        <v>320</v>
      </c>
      <c r="BZ41" s="178" t="s">
        <v>355</v>
      </c>
      <c r="CA41" s="178" t="s">
        <v>323</v>
      </c>
      <c r="CB41" s="177">
        <f>BQ71</f>
        <v>49.4</v>
      </c>
      <c r="CC41" s="178" t="s">
        <v>322</v>
      </c>
      <c r="CN41" s="81" t="s">
        <v>358</v>
      </c>
      <c r="CO41" s="254">
        <f t="shared" si="0"/>
        <v>0.2552684741863181</v>
      </c>
      <c r="CP41" s="254">
        <f t="shared" si="1"/>
        <v>9.35E-2</v>
      </c>
      <c r="CQ41" s="254">
        <f t="shared" si="2"/>
        <v>0.11799999999999999</v>
      </c>
      <c r="CT41" s="258" t="s">
        <v>442</v>
      </c>
      <c r="CU41" s="258" t="s">
        <v>404</v>
      </c>
      <c r="CV41" s="259">
        <v>-12.9</v>
      </c>
      <c r="CW41" s="259">
        <v>17</v>
      </c>
      <c r="CX41" s="258">
        <v>-0.76</v>
      </c>
      <c r="CY41" s="258">
        <v>0.44900000000000001</v>
      </c>
      <c r="DB41" s="260" t="s">
        <v>467</v>
      </c>
      <c r="DC41" s="261" t="s">
        <v>334</v>
      </c>
      <c r="DD41" s="261" t="s">
        <v>323</v>
      </c>
      <c r="DE41" s="262">
        <f>CV45</f>
        <v>7.1300000000000002E-2</v>
      </c>
      <c r="DF41" s="260" t="s">
        <v>322</v>
      </c>
    </row>
    <row r="42" spans="1:110" ht="15" customHeight="1" thickTop="1" thickBot="1" x14ac:dyDescent="0.3">
      <c r="A42" s="81" t="s">
        <v>282</v>
      </c>
      <c r="C42" s="81">
        <f>0.55</f>
        <v>0.55000000000000004</v>
      </c>
      <c r="K42" s="81"/>
      <c r="L42" s="81"/>
      <c r="M42" s="81" t="s">
        <v>127</v>
      </c>
      <c r="N42" s="153">
        <f>R14/1000000</f>
        <v>36.604128000000003</v>
      </c>
      <c r="P42" s="153">
        <f>T14/1000000</f>
        <v>10.65216</v>
      </c>
      <c r="Q42" s="81"/>
      <c r="W42" s="228" t="s">
        <v>63</v>
      </c>
      <c r="X42" s="229"/>
      <c r="Y42" s="230" t="s">
        <v>21</v>
      </c>
      <c r="Z42" s="231">
        <f>1/(1/10+SUM(AC44:AC48))</f>
        <v>0.18202831551574691</v>
      </c>
      <c r="AA42" s="229" t="s">
        <v>5</v>
      </c>
      <c r="AB42" s="229"/>
      <c r="AC42" s="229" t="s">
        <v>22</v>
      </c>
      <c r="AD42" s="232">
        <f>SUM(AD44:AD48)</f>
        <v>381293</v>
      </c>
      <c r="AE42" s="14" t="s">
        <v>23</v>
      </c>
      <c r="AF42" s="14">
        <f>SUM(AD44:AD45)</f>
        <v>110960</v>
      </c>
      <c r="AG42" s="14"/>
      <c r="AL42" s="159" t="s">
        <v>319</v>
      </c>
      <c r="AM42" s="81" t="s">
        <v>320</v>
      </c>
      <c r="AN42" s="81" t="s">
        <v>358</v>
      </c>
      <c r="AO42" s="81">
        <f>SUM(N26)/SUM(N6:N14,N26:N27)</f>
        <v>0.2552684741863181</v>
      </c>
      <c r="AP42" s="81" t="s">
        <v>322</v>
      </c>
      <c r="AQ42" s="81" t="s">
        <v>359</v>
      </c>
      <c r="AU42" s="168" t="s">
        <v>319</v>
      </c>
      <c r="AV42" s="168" t="s">
        <v>320</v>
      </c>
      <c r="AW42" s="168" t="s">
        <v>358</v>
      </c>
      <c r="AX42" s="169" t="s">
        <v>323</v>
      </c>
      <c r="AY42" s="162">
        <f>AO42</f>
        <v>0.2552684741863181</v>
      </c>
      <c r="AZ42" s="168" t="s">
        <v>322</v>
      </c>
      <c r="BB42" s="81" t="s">
        <v>418</v>
      </c>
      <c r="BC42" s="167">
        <v>393</v>
      </c>
      <c r="BD42" s="167">
        <v>4.21</v>
      </c>
      <c r="BE42" s="81">
        <v>93.48</v>
      </c>
      <c r="BF42" s="81" t="s">
        <v>388</v>
      </c>
      <c r="BI42" s="175" t="s">
        <v>319</v>
      </c>
      <c r="BJ42" s="175" t="s">
        <v>320</v>
      </c>
      <c r="BK42" s="175" t="s">
        <v>358</v>
      </c>
      <c r="BL42" s="175" t="s">
        <v>323</v>
      </c>
      <c r="BM42" s="174">
        <f>BC15</f>
        <v>9.35E-2</v>
      </c>
      <c r="BN42" s="175" t="s">
        <v>322</v>
      </c>
      <c r="BP42" s="81" t="s">
        <v>418</v>
      </c>
      <c r="BQ42" s="167">
        <v>113</v>
      </c>
      <c r="BR42" s="167">
        <v>2.08</v>
      </c>
      <c r="BS42" s="81">
        <v>54.6</v>
      </c>
      <c r="BT42" s="81" t="s">
        <v>422</v>
      </c>
      <c r="BU42" s="167">
        <v>2E-16</v>
      </c>
      <c r="BV42" s="81" t="s">
        <v>389</v>
      </c>
      <c r="BX42" s="178" t="s">
        <v>319</v>
      </c>
      <c r="BY42" s="178" t="s">
        <v>320</v>
      </c>
      <c r="BZ42" s="178" t="s">
        <v>357</v>
      </c>
      <c r="CA42" s="178" t="s">
        <v>323</v>
      </c>
      <c r="CB42" s="177">
        <f>1/BQ76</f>
        <v>350.87719298245611</v>
      </c>
      <c r="CC42" s="178" t="s">
        <v>322</v>
      </c>
      <c r="CN42" s="81" t="s">
        <v>360</v>
      </c>
      <c r="CO42" s="254">
        <f t="shared" si="0"/>
        <v>0.25371319473315546</v>
      </c>
      <c r="CP42" s="254">
        <f t="shared" si="1"/>
        <v>0.19800000000000001</v>
      </c>
      <c r="CQ42" s="254">
        <f t="shared" si="2"/>
        <v>0.28299999999999997</v>
      </c>
      <c r="CT42" s="258" t="s">
        <v>442</v>
      </c>
      <c r="CU42" s="258" t="s">
        <v>405</v>
      </c>
      <c r="CV42" s="259">
        <v>6.9599999999999995E-2</v>
      </c>
      <c r="CW42" s="259">
        <v>7.6499999999999995E-4</v>
      </c>
      <c r="CX42" s="258">
        <v>91.05</v>
      </c>
      <c r="CY42" s="258" t="s">
        <v>422</v>
      </c>
      <c r="CZ42" s="167">
        <v>2E-16</v>
      </c>
      <c r="DA42" s="81" t="s">
        <v>389</v>
      </c>
      <c r="DB42" s="260" t="s">
        <v>467</v>
      </c>
      <c r="DC42" s="261" t="s">
        <v>428</v>
      </c>
      <c r="DD42" s="261" t="s">
        <v>323</v>
      </c>
      <c r="DE42" s="262">
        <f>CV46</f>
        <v>4.3700000000000003E-2</v>
      </c>
      <c r="DF42" s="260" t="s">
        <v>322</v>
      </c>
    </row>
    <row r="43" spans="1:110" ht="15" customHeight="1" thickTop="1" thickBot="1" x14ac:dyDescent="0.3">
      <c r="A43" s="81" t="s">
        <v>283</v>
      </c>
      <c r="C43" s="81">
        <f>B7/B6</f>
        <v>0.51807879114948729</v>
      </c>
      <c r="D43" s="81" t="s">
        <v>284</v>
      </c>
      <c r="K43" s="81"/>
      <c r="L43" s="81"/>
      <c r="M43" s="81"/>
      <c r="P43" s="81"/>
      <c r="Q43" s="81"/>
      <c r="W43" s="233"/>
      <c r="X43" s="234" t="s">
        <v>27</v>
      </c>
      <c r="Y43" s="234" t="s">
        <v>28</v>
      </c>
      <c r="Z43" s="234" t="s">
        <v>29</v>
      </c>
      <c r="AA43" s="234" t="s">
        <v>30</v>
      </c>
      <c r="AB43" s="234" t="s">
        <v>31</v>
      </c>
      <c r="AC43" s="234" t="s">
        <v>32</v>
      </c>
      <c r="AD43" s="235" t="s">
        <v>33</v>
      </c>
      <c r="AE43" s="14"/>
      <c r="AF43" s="14"/>
      <c r="AG43" s="14"/>
      <c r="AL43" s="159" t="s">
        <v>319</v>
      </c>
      <c r="AM43" s="81" t="s">
        <v>320</v>
      </c>
      <c r="AN43" s="81" t="s">
        <v>360</v>
      </c>
      <c r="AO43" s="81">
        <f>SUM(N26)/SUM(N$17:N$25,N$28,N$26)</f>
        <v>0.25371319473315546</v>
      </c>
      <c r="AP43" s="81" t="s">
        <v>322</v>
      </c>
      <c r="AQ43" s="81" t="s">
        <v>361</v>
      </c>
      <c r="AU43" s="168" t="s">
        <v>319</v>
      </c>
      <c r="AV43" s="168" t="s">
        <v>320</v>
      </c>
      <c r="AW43" s="168" t="s">
        <v>360</v>
      </c>
      <c r="AX43" s="169" t="s">
        <v>323</v>
      </c>
      <c r="AY43" s="162">
        <f t="shared" ref="AY43:AY50" si="15">AO43</f>
        <v>0.25371319473315546</v>
      </c>
      <c r="AZ43" s="168" t="s">
        <v>322</v>
      </c>
      <c r="BB43" s="81" t="s">
        <v>419</v>
      </c>
      <c r="BC43" s="167">
        <v>141</v>
      </c>
      <c r="BD43" s="167">
        <v>4.72</v>
      </c>
      <c r="BE43" s="81">
        <v>29.84</v>
      </c>
      <c r="BF43" s="81" t="s">
        <v>388</v>
      </c>
      <c r="BI43" s="175" t="s">
        <v>319</v>
      </c>
      <c r="BJ43" s="175" t="s">
        <v>320</v>
      </c>
      <c r="BK43" s="175" t="s">
        <v>360</v>
      </c>
      <c r="BL43" s="175" t="s">
        <v>323</v>
      </c>
      <c r="BM43" s="174">
        <f>BC57</f>
        <v>0.19800000000000001</v>
      </c>
      <c r="BN43" s="175" t="s">
        <v>322</v>
      </c>
      <c r="BP43" s="81" t="s">
        <v>419</v>
      </c>
      <c r="BQ43" s="167">
        <v>4990</v>
      </c>
      <c r="BR43" s="167">
        <v>2330</v>
      </c>
      <c r="BS43" s="81">
        <v>2.14</v>
      </c>
      <c r="BT43" s="81">
        <v>3.27E-2</v>
      </c>
      <c r="BU43" s="81" t="s">
        <v>434</v>
      </c>
      <c r="BX43" s="178"/>
      <c r="BY43" s="178"/>
      <c r="BZ43" s="178"/>
      <c r="CA43" s="178"/>
      <c r="CB43" s="177"/>
      <c r="CC43" s="178"/>
      <c r="CN43" s="81" t="s">
        <v>362</v>
      </c>
      <c r="CO43" s="256">
        <f t="shared" si="0"/>
        <v>20420677.500000004</v>
      </c>
      <c r="CP43" s="256">
        <f t="shared" si="1"/>
        <v>8270000</v>
      </c>
      <c r="CQ43" s="256">
        <f t="shared" si="2"/>
        <v>19200000</v>
      </c>
      <c r="CT43" s="258" t="s">
        <v>442</v>
      </c>
      <c r="CU43" s="258" t="s">
        <v>406</v>
      </c>
      <c r="CV43" s="259">
        <v>0.13600000000000001</v>
      </c>
      <c r="CW43" s="259">
        <v>8.9300000000000002E-4</v>
      </c>
      <c r="CX43" s="258">
        <v>151.97</v>
      </c>
      <c r="CY43" s="258" t="s">
        <v>422</v>
      </c>
      <c r="CZ43" s="167">
        <v>2E-16</v>
      </c>
      <c r="DA43" s="81" t="s">
        <v>389</v>
      </c>
      <c r="DD43" s="261"/>
    </row>
    <row r="44" spans="1:110" ht="15" customHeight="1" thickTop="1" thickBot="1" x14ac:dyDescent="0.3">
      <c r="A44" s="81" t="s">
        <v>287</v>
      </c>
      <c r="C44" s="81">
        <v>0.7</v>
      </c>
      <c r="E44" s="79"/>
      <c r="K44" s="81"/>
      <c r="L44" s="81"/>
      <c r="M44" s="81"/>
      <c r="P44" s="81"/>
      <c r="Q44" s="81"/>
      <c r="W44" s="239"/>
      <c r="X44" s="240" t="s">
        <v>128</v>
      </c>
      <c r="Y44" s="240">
        <v>0.02</v>
      </c>
      <c r="Z44" s="240">
        <v>1.4</v>
      </c>
      <c r="AA44" s="240">
        <v>2100</v>
      </c>
      <c r="AB44" s="240">
        <v>840</v>
      </c>
      <c r="AC44" s="241">
        <f>Y44/Z44</f>
        <v>1.4285714285714287E-2</v>
      </c>
      <c r="AD44" s="242">
        <f>Y44*AA44*AB44</f>
        <v>35280</v>
      </c>
      <c r="AE44" s="14" t="s">
        <v>104</v>
      </c>
      <c r="AF44" s="14"/>
      <c r="AG44" s="14"/>
      <c r="AL44" s="159" t="s">
        <v>319</v>
      </c>
      <c r="AM44" s="81" t="s">
        <v>320</v>
      </c>
      <c r="AN44" s="81" t="s">
        <v>362</v>
      </c>
      <c r="AO44" s="81">
        <f>T26/2</f>
        <v>20420677.500000004</v>
      </c>
      <c r="AP44" s="81" t="s">
        <v>322</v>
      </c>
      <c r="AQ44" s="81" t="s">
        <v>363</v>
      </c>
      <c r="AU44" s="168" t="s">
        <v>319</v>
      </c>
      <c r="AV44" s="168" t="s">
        <v>320</v>
      </c>
      <c r="AW44" s="168" t="s">
        <v>362</v>
      </c>
      <c r="AX44" s="169" t="s">
        <v>323</v>
      </c>
      <c r="AY44" s="162">
        <f t="shared" si="15"/>
        <v>20420677.500000004</v>
      </c>
      <c r="AZ44" s="168" t="s">
        <v>322</v>
      </c>
      <c r="BB44" s="81" t="s">
        <v>420</v>
      </c>
      <c r="BC44" s="167">
        <v>81.900000000000006</v>
      </c>
      <c r="BD44" s="167">
        <v>0.45900000000000002</v>
      </c>
      <c r="BE44" s="81">
        <v>178.48</v>
      </c>
      <c r="BF44" s="81" t="s">
        <v>388</v>
      </c>
      <c r="BI44" s="175" t="s">
        <v>319</v>
      </c>
      <c r="BJ44" s="175" t="s">
        <v>320</v>
      </c>
      <c r="BK44" s="175" t="s">
        <v>362</v>
      </c>
      <c r="BL44" s="175" t="s">
        <v>323</v>
      </c>
      <c r="BM44" s="174">
        <f>BC87</f>
        <v>8270000</v>
      </c>
      <c r="BN44" s="175" t="s">
        <v>322</v>
      </c>
      <c r="BP44" s="81" t="s">
        <v>420</v>
      </c>
      <c r="BQ44" s="167">
        <v>75.900000000000006</v>
      </c>
      <c r="BR44" s="167">
        <v>3.39</v>
      </c>
      <c r="BS44" s="81">
        <v>22.42</v>
      </c>
      <c r="BT44" s="81" t="s">
        <v>422</v>
      </c>
      <c r="BU44" s="167">
        <v>2E-16</v>
      </c>
      <c r="BV44" s="81" t="s">
        <v>389</v>
      </c>
      <c r="BX44" s="178" t="s">
        <v>319</v>
      </c>
      <c r="BY44" s="178" t="s">
        <v>320</v>
      </c>
      <c r="BZ44" s="178" t="s">
        <v>358</v>
      </c>
      <c r="CA44" s="178" t="s">
        <v>323</v>
      </c>
      <c r="CB44" s="177">
        <f>BQ15</f>
        <v>0.11799999999999999</v>
      </c>
      <c r="CC44" s="178" t="s">
        <v>322</v>
      </c>
      <c r="CN44" s="81" t="s">
        <v>364</v>
      </c>
      <c r="CO44" s="256">
        <f t="shared" si="0"/>
        <v>20420677.500000004</v>
      </c>
      <c r="CP44" s="256">
        <f t="shared" si="1"/>
        <v>25000000</v>
      </c>
      <c r="CQ44" s="256">
        <f t="shared" si="2"/>
        <v>65100000</v>
      </c>
      <c r="CT44" s="258" t="s">
        <v>442</v>
      </c>
      <c r="CU44" s="258" t="s">
        <v>407</v>
      </c>
      <c r="CV44" s="259">
        <v>0.77200000000000002</v>
      </c>
      <c r="CW44" s="259">
        <v>5.1200000000000004E-3</v>
      </c>
      <c r="CX44" s="258">
        <v>150.93</v>
      </c>
      <c r="CY44" s="258" t="s">
        <v>422</v>
      </c>
      <c r="CZ44" s="167">
        <v>2E-16</v>
      </c>
      <c r="DA44" s="81" t="s">
        <v>389</v>
      </c>
      <c r="DB44" s="260" t="s">
        <v>467</v>
      </c>
      <c r="DC44" s="266" t="s">
        <v>489</v>
      </c>
      <c r="DD44" s="261" t="s">
        <v>323</v>
      </c>
      <c r="DE44" s="262">
        <f>CV68</f>
        <v>0.20200000000000001</v>
      </c>
      <c r="DF44" s="260" t="s">
        <v>322</v>
      </c>
    </row>
    <row r="45" spans="1:110" ht="15" customHeight="1" thickTop="1" thickBot="1" x14ac:dyDescent="0.3">
      <c r="A45" s="81" t="s">
        <v>288</v>
      </c>
      <c r="C45" s="81">
        <v>0.5</v>
      </c>
      <c r="E45" s="79"/>
      <c r="K45" s="81"/>
      <c r="L45" s="81"/>
      <c r="M45" s="81"/>
      <c r="P45" s="81"/>
      <c r="Q45" s="81"/>
      <c r="W45" s="188"/>
      <c r="X45" s="189" t="s">
        <v>129</v>
      </c>
      <c r="Y45" s="189">
        <v>0.08</v>
      </c>
      <c r="Z45" s="189">
        <v>0.6</v>
      </c>
      <c r="AA45" s="189">
        <v>1100</v>
      </c>
      <c r="AB45" s="189">
        <v>860</v>
      </c>
      <c r="AC45" s="236">
        <f>Y45/Z45</f>
        <v>0.13333333333333333</v>
      </c>
      <c r="AD45" s="190">
        <f>Y45*AA45*AB45</f>
        <v>75680</v>
      </c>
      <c r="AE45" s="14"/>
      <c r="AF45" s="14"/>
      <c r="AG45" s="14"/>
      <c r="AL45" s="159" t="s">
        <v>319</v>
      </c>
      <c r="AM45" s="81" t="s">
        <v>320</v>
      </c>
      <c r="AN45" s="81" t="s">
        <v>364</v>
      </c>
      <c r="AO45" s="81">
        <f>T26/2</f>
        <v>20420677.500000004</v>
      </c>
      <c r="AP45" s="81" t="s">
        <v>322</v>
      </c>
      <c r="AQ45" s="81" t="s">
        <v>365</v>
      </c>
      <c r="AU45" s="168" t="s">
        <v>319</v>
      </c>
      <c r="AV45" s="168" t="s">
        <v>320</v>
      </c>
      <c r="AW45" s="168" t="s">
        <v>364</v>
      </c>
      <c r="AX45" s="169" t="s">
        <v>323</v>
      </c>
      <c r="AY45" s="162">
        <f t="shared" si="15"/>
        <v>20420677.500000004</v>
      </c>
      <c r="AZ45" s="168" t="s">
        <v>322</v>
      </c>
      <c r="BI45" s="175" t="s">
        <v>319</v>
      </c>
      <c r="BJ45" s="175" t="s">
        <v>320</v>
      </c>
      <c r="BK45" s="175" t="s">
        <v>364</v>
      </c>
      <c r="BL45" s="175" t="s">
        <v>323</v>
      </c>
      <c r="BM45" s="174">
        <f>BC88</f>
        <v>25000000</v>
      </c>
      <c r="BN45" s="175" t="s">
        <v>322</v>
      </c>
      <c r="BX45" s="178" t="s">
        <v>319</v>
      </c>
      <c r="BY45" s="178" t="s">
        <v>320</v>
      </c>
      <c r="BZ45" s="178" t="s">
        <v>360</v>
      </c>
      <c r="CA45" s="178" t="s">
        <v>323</v>
      </c>
      <c r="CB45" s="177">
        <f>BQ56</f>
        <v>0.28299999999999997</v>
      </c>
      <c r="CC45" s="178" t="s">
        <v>322</v>
      </c>
      <c r="CN45" s="81" t="s">
        <v>366</v>
      </c>
      <c r="CO45" s="254">
        <f t="shared" si="0"/>
        <v>7.6580542255895431E-2</v>
      </c>
      <c r="CP45" s="254">
        <f t="shared" si="1"/>
        <v>7.3400000000000007E-2</v>
      </c>
      <c r="CQ45" s="254">
        <f t="shared" si="2"/>
        <v>4.4299999999999999E-2</v>
      </c>
      <c r="CT45" s="258" t="s">
        <v>442</v>
      </c>
      <c r="CU45" s="258" t="s">
        <v>408</v>
      </c>
      <c r="CV45" s="259">
        <v>7.1300000000000002E-2</v>
      </c>
      <c r="CW45" s="259">
        <v>4.6000000000000001E-4</v>
      </c>
      <c r="CX45" s="258">
        <v>154.97999999999999</v>
      </c>
      <c r="CY45" s="258" t="s">
        <v>422</v>
      </c>
      <c r="CZ45" s="167">
        <v>2E-16</v>
      </c>
      <c r="DA45" s="81" t="s">
        <v>389</v>
      </c>
      <c r="DB45" s="260" t="s">
        <v>467</v>
      </c>
      <c r="DC45" s="266" t="s">
        <v>490</v>
      </c>
      <c r="DD45" s="261" t="s">
        <v>323</v>
      </c>
      <c r="DE45" s="262">
        <f t="shared" ref="DE45:DE59" si="16">CV69</f>
        <v>6.2900000000000003E-7</v>
      </c>
      <c r="DF45" s="260" t="s">
        <v>322</v>
      </c>
    </row>
    <row r="46" spans="1:110" ht="15" customHeight="1" thickTop="1" thickBot="1" x14ac:dyDescent="0.3">
      <c r="K46" s="81"/>
      <c r="L46" s="81"/>
      <c r="M46" s="81"/>
      <c r="P46" s="81"/>
      <c r="Q46" s="81"/>
      <c r="W46" s="188"/>
      <c r="X46" s="189" t="s">
        <v>285</v>
      </c>
      <c r="Y46" s="270">
        <v>0.02</v>
      </c>
      <c r="Z46" s="189">
        <v>3.5999999999999997E-2</v>
      </c>
      <c r="AA46" s="189">
        <v>30</v>
      </c>
      <c r="AB46" s="189">
        <v>1470</v>
      </c>
      <c r="AC46" s="236">
        <f>Y46/Z46</f>
        <v>0.55555555555555558</v>
      </c>
      <c r="AD46" s="190">
        <f>Y46*AA46*AB46</f>
        <v>882</v>
      </c>
      <c r="AE46" s="149" t="s">
        <v>286</v>
      </c>
      <c r="AF46" s="14"/>
      <c r="AG46" s="14"/>
      <c r="AL46" s="159" t="s">
        <v>319</v>
      </c>
      <c r="AM46" s="81" t="s">
        <v>320</v>
      </c>
      <c r="AN46" s="81" t="s">
        <v>366</v>
      </c>
      <c r="AO46" s="81">
        <f>AO42*0.3</f>
        <v>7.6580542255895431E-2</v>
      </c>
      <c r="AP46" s="81" t="s">
        <v>322</v>
      </c>
      <c r="AQ46" s="81" t="s">
        <v>367</v>
      </c>
      <c r="AU46" s="168" t="s">
        <v>319</v>
      </c>
      <c r="AV46" s="168" t="s">
        <v>320</v>
      </c>
      <c r="AW46" s="168" t="s">
        <v>366</v>
      </c>
      <c r="AX46" s="169" t="s">
        <v>323</v>
      </c>
      <c r="AY46" s="162">
        <f t="shared" si="15"/>
        <v>7.6580542255895431E-2</v>
      </c>
      <c r="AZ46" s="168" t="s">
        <v>322</v>
      </c>
      <c r="BI46" s="175" t="s">
        <v>319</v>
      </c>
      <c r="BJ46" s="175" t="s">
        <v>320</v>
      </c>
      <c r="BK46" s="175" t="s">
        <v>366</v>
      </c>
      <c r="BL46" s="175" t="s">
        <v>323</v>
      </c>
      <c r="BM46" s="174">
        <f>BC31</f>
        <v>7.3400000000000007E-2</v>
      </c>
      <c r="BN46" s="175" t="s">
        <v>322</v>
      </c>
      <c r="BP46" s="81" t="s">
        <v>433</v>
      </c>
      <c r="BQ46" s="81" t="s">
        <v>421</v>
      </c>
      <c r="BX46" s="178" t="s">
        <v>319</v>
      </c>
      <c r="BY46" s="178" t="s">
        <v>320</v>
      </c>
      <c r="BZ46" s="178" t="s">
        <v>362</v>
      </c>
      <c r="CA46" s="178" t="s">
        <v>323</v>
      </c>
      <c r="CB46" s="177">
        <f>BQ87</f>
        <v>19200000</v>
      </c>
      <c r="CC46" s="178" t="s">
        <v>322</v>
      </c>
      <c r="CN46" s="81" t="s">
        <v>368</v>
      </c>
      <c r="CO46" s="254">
        <f t="shared" si="0"/>
        <v>7.6113958419946628E-2</v>
      </c>
      <c r="CP46" s="254">
        <f t="shared" si="1"/>
        <v>0.126</v>
      </c>
      <c r="CQ46" s="254">
        <f t="shared" si="2"/>
        <v>7.3200000000000001E-2</v>
      </c>
      <c r="CT46" s="258" t="s">
        <v>442</v>
      </c>
      <c r="CU46" s="258" t="s">
        <v>409</v>
      </c>
      <c r="CV46" s="259">
        <v>4.3700000000000003E-2</v>
      </c>
      <c r="CW46" s="259">
        <v>2.8400000000000002E-4</v>
      </c>
      <c r="CX46" s="258">
        <v>154.13999999999999</v>
      </c>
      <c r="CY46" s="258" t="s">
        <v>422</v>
      </c>
      <c r="CZ46" s="167">
        <v>2E-16</v>
      </c>
      <c r="DA46" s="81" t="s">
        <v>389</v>
      </c>
      <c r="DB46" s="260" t="s">
        <v>467</v>
      </c>
      <c r="DC46" s="266" t="s">
        <v>491</v>
      </c>
      <c r="DD46" s="261" t="s">
        <v>323</v>
      </c>
      <c r="DE46" s="262">
        <f t="shared" si="16"/>
        <v>0.77700000000000002</v>
      </c>
      <c r="DF46" s="260" t="s">
        <v>322</v>
      </c>
    </row>
    <row r="47" spans="1:110" ht="15" customHeight="1" thickTop="1" thickBot="1" x14ac:dyDescent="0.3">
      <c r="B47" s="153"/>
      <c r="K47" s="81"/>
      <c r="L47" s="81"/>
      <c r="M47" s="81"/>
      <c r="P47" s="81"/>
      <c r="Q47" s="81"/>
      <c r="W47" s="188"/>
      <c r="X47" s="189" t="s">
        <v>131</v>
      </c>
      <c r="Y47" s="189">
        <v>0.15</v>
      </c>
      <c r="Z47" s="189">
        <v>1.4</v>
      </c>
      <c r="AA47" s="189">
        <v>2100</v>
      </c>
      <c r="AB47" s="189">
        <v>840</v>
      </c>
      <c r="AC47" s="236">
        <f>Y47/Z47</f>
        <v>0.10714285714285715</v>
      </c>
      <c r="AD47" s="190">
        <f>Y47*AA47*AB47</f>
        <v>264600</v>
      </c>
      <c r="AE47" s="14"/>
      <c r="AF47" s="14"/>
      <c r="AG47" s="14"/>
      <c r="AL47" s="159" t="s">
        <v>319</v>
      </c>
      <c r="AM47" s="81" t="s">
        <v>320</v>
      </c>
      <c r="AN47" s="81" t="s">
        <v>368</v>
      </c>
      <c r="AO47" s="81">
        <f>AO43*0.3</f>
        <v>7.6113958419946628E-2</v>
      </c>
      <c r="AP47" s="81" t="s">
        <v>322</v>
      </c>
      <c r="AQ47" s="81" t="s">
        <v>369</v>
      </c>
      <c r="AU47" s="168" t="s">
        <v>319</v>
      </c>
      <c r="AV47" s="168" t="s">
        <v>320</v>
      </c>
      <c r="AW47" s="168" t="s">
        <v>368</v>
      </c>
      <c r="AX47" s="169" t="s">
        <v>323</v>
      </c>
      <c r="AY47" s="162">
        <f t="shared" si="15"/>
        <v>7.6113958419946628E-2</v>
      </c>
      <c r="AZ47" s="168" t="s">
        <v>322</v>
      </c>
      <c r="BC47" s="172" t="s">
        <v>421</v>
      </c>
      <c r="BI47" s="175" t="s">
        <v>319</v>
      </c>
      <c r="BJ47" s="175" t="s">
        <v>320</v>
      </c>
      <c r="BK47" s="175" t="s">
        <v>368</v>
      </c>
      <c r="BL47" s="175" t="s">
        <v>323</v>
      </c>
      <c r="BM47" s="174">
        <f>BC69</f>
        <v>0.126</v>
      </c>
      <c r="BN47" s="175" t="s">
        <v>322</v>
      </c>
      <c r="BP47" s="81" t="s">
        <v>380</v>
      </c>
      <c r="BX47" s="178" t="s">
        <v>319</v>
      </c>
      <c r="BY47" s="178" t="s">
        <v>320</v>
      </c>
      <c r="BZ47" s="178" t="s">
        <v>364</v>
      </c>
      <c r="CA47" s="178" t="s">
        <v>323</v>
      </c>
      <c r="CB47" s="177">
        <f>BQ89</f>
        <v>65100000</v>
      </c>
      <c r="CC47" s="178" t="s">
        <v>322</v>
      </c>
      <c r="CN47" s="81" t="s">
        <v>370</v>
      </c>
      <c r="CO47" s="257">
        <f t="shared" si="0"/>
        <v>532.62958579881661</v>
      </c>
      <c r="CP47" s="257">
        <f t="shared" si="1"/>
        <v>502</v>
      </c>
      <c r="CQ47" s="257">
        <f t="shared" si="2"/>
        <v>198</v>
      </c>
      <c r="CT47" s="258" t="s">
        <v>442</v>
      </c>
      <c r="CU47" s="258" t="s">
        <v>410</v>
      </c>
      <c r="CV47" s="259">
        <v>279</v>
      </c>
      <c r="CW47" s="259">
        <v>2.52</v>
      </c>
      <c r="CX47" s="258">
        <v>110.69</v>
      </c>
      <c r="CY47" s="258" t="s">
        <v>422</v>
      </c>
      <c r="CZ47" s="167">
        <v>2E-16</v>
      </c>
      <c r="DA47" s="81" t="s">
        <v>389</v>
      </c>
      <c r="DB47" s="260" t="s">
        <v>467</v>
      </c>
      <c r="DC47" s="266" t="s">
        <v>492</v>
      </c>
      <c r="DD47" s="261" t="s">
        <v>323</v>
      </c>
      <c r="DE47" s="262">
        <f t="shared" si="16"/>
        <v>0.65400000000000003</v>
      </c>
      <c r="DF47" s="260" t="s">
        <v>322</v>
      </c>
    </row>
    <row r="48" spans="1:110" ht="15" customHeight="1" thickTop="1" thickBot="1" x14ac:dyDescent="0.3">
      <c r="B48" s="153"/>
      <c r="K48" s="81"/>
      <c r="L48" s="81"/>
      <c r="M48" s="81"/>
      <c r="P48" s="81"/>
      <c r="Q48" s="81"/>
      <c r="W48" s="205"/>
      <c r="X48" s="187" t="s">
        <v>132</v>
      </c>
      <c r="Y48" s="271">
        <v>0.11</v>
      </c>
      <c r="Z48" s="187">
        <v>2.4E-2</v>
      </c>
      <c r="AA48" s="187">
        <v>30</v>
      </c>
      <c r="AB48" s="187">
        <v>1470</v>
      </c>
      <c r="AC48" s="237">
        <f>Y48/Z48</f>
        <v>4.583333333333333</v>
      </c>
      <c r="AD48" s="210">
        <f>Y48*AA48*AB48</f>
        <v>4851</v>
      </c>
      <c r="AE48" s="14"/>
      <c r="AF48" s="14"/>
      <c r="AG48" s="14"/>
      <c r="AL48" s="159" t="s">
        <v>319</v>
      </c>
      <c r="AM48" s="81" t="s">
        <v>320</v>
      </c>
      <c r="AN48" s="81" t="s">
        <v>370</v>
      </c>
      <c r="AO48" s="81">
        <f>Z29*4*N26</f>
        <v>532.62958579881661</v>
      </c>
      <c r="AP48" s="81" t="s">
        <v>322</v>
      </c>
      <c r="AQ48" s="81" t="s">
        <v>371</v>
      </c>
      <c r="AU48" s="168" t="s">
        <v>319</v>
      </c>
      <c r="AV48" s="168" t="s">
        <v>320</v>
      </c>
      <c r="AW48" s="168" t="s">
        <v>370</v>
      </c>
      <c r="AX48" s="169" t="s">
        <v>323</v>
      </c>
      <c r="AY48" s="162">
        <f t="shared" si="15"/>
        <v>532.62958579881661</v>
      </c>
      <c r="AZ48" s="168" t="s">
        <v>322</v>
      </c>
      <c r="BB48" s="81" t="s">
        <v>380</v>
      </c>
      <c r="BI48" s="175" t="s">
        <v>319</v>
      </c>
      <c r="BJ48" s="175" t="s">
        <v>320</v>
      </c>
      <c r="BK48" s="175" t="s">
        <v>370</v>
      </c>
      <c r="BL48" s="175" t="s">
        <v>323</v>
      </c>
      <c r="BM48" s="174">
        <f>BC95</f>
        <v>502</v>
      </c>
      <c r="BN48" s="175" t="s">
        <v>322</v>
      </c>
      <c r="BP48" s="81" t="s">
        <v>381</v>
      </c>
      <c r="BQ48" s="81" t="s">
        <v>382</v>
      </c>
      <c r="BR48" s="81" t="s">
        <v>383</v>
      </c>
      <c r="BS48" s="81" t="s">
        <v>384</v>
      </c>
      <c r="BT48" s="81" t="s">
        <v>385</v>
      </c>
      <c r="BU48" s="81" t="s">
        <v>386</v>
      </c>
      <c r="BX48" s="178" t="s">
        <v>319</v>
      </c>
      <c r="BY48" s="178" t="s">
        <v>320</v>
      </c>
      <c r="BZ48" s="178" t="s">
        <v>366</v>
      </c>
      <c r="CA48" s="178" t="s">
        <v>323</v>
      </c>
      <c r="CB48" s="177">
        <f>BQ31</f>
        <v>4.4299999999999999E-2</v>
      </c>
      <c r="CC48" s="178" t="s">
        <v>322</v>
      </c>
      <c r="CN48" s="81" t="s">
        <v>372</v>
      </c>
      <c r="CO48" s="257">
        <f t="shared" si="0"/>
        <v>266.3147928994083</v>
      </c>
      <c r="CP48" s="257">
        <f t="shared" si="1"/>
        <v>393</v>
      </c>
      <c r="CQ48" s="257">
        <f t="shared" si="2"/>
        <v>3.48E-4</v>
      </c>
      <c r="CT48" s="258" t="s">
        <v>442</v>
      </c>
      <c r="CU48" s="258" t="s">
        <v>411</v>
      </c>
      <c r="CV48" s="259">
        <v>219</v>
      </c>
      <c r="CW48" s="259">
        <v>1.3</v>
      </c>
      <c r="CX48" s="258">
        <v>168.77</v>
      </c>
      <c r="CY48" s="258" t="s">
        <v>422</v>
      </c>
      <c r="CZ48" s="167">
        <v>2E-16</v>
      </c>
      <c r="DA48" s="81" t="s">
        <v>389</v>
      </c>
      <c r="DB48" s="260" t="s">
        <v>467</v>
      </c>
      <c r="DC48" s="266" t="s">
        <v>493</v>
      </c>
      <c r="DD48" s="261" t="s">
        <v>323</v>
      </c>
      <c r="DE48" s="262">
        <f t="shared" si="16"/>
        <v>0.23499999999999999</v>
      </c>
      <c r="DF48" s="260" t="s">
        <v>322</v>
      </c>
    </row>
    <row r="49" spans="2:110" ht="15" customHeight="1" thickTop="1" thickBot="1" x14ac:dyDescent="0.3">
      <c r="B49" s="153"/>
      <c r="K49" s="81"/>
      <c r="L49" s="81"/>
      <c r="M49" s="81"/>
      <c r="P49" s="81"/>
      <c r="Q49" s="81"/>
      <c r="W49" s="189"/>
      <c r="X49" s="189"/>
      <c r="Y49" s="189"/>
      <c r="Z49" s="189"/>
      <c r="AA49" s="189"/>
      <c r="AB49" s="189"/>
      <c r="AC49" s="236"/>
      <c r="AD49" s="189"/>
      <c r="AE49" s="14"/>
      <c r="AF49" s="14"/>
      <c r="AG49" s="14"/>
      <c r="AL49" s="159" t="s">
        <v>319</v>
      </c>
      <c r="AM49" s="81" t="s">
        <v>320</v>
      </c>
      <c r="AN49" s="81" t="s">
        <v>372</v>
      </c>
      <c r="AO49" s="81">
        <f>AO50/2</f>
        <v>266.3147928994083</v>
      </c>
      <c r="AP49" s="81" t="s">
        <v>322</v>
      </c>
      <c r="AQ49" s="81" t="s">
        <v>373</v>
      </c>
      <c r="AU49" s="168" t="s">
        <v>319</v>
      </c>
      <c r="AV49" s="168" t="s">
        <v>320</v>
      </c>
      <c r="AW49" s="168" t="s">
        <v>372</v>
      </c>
      <c r="AX49" s="169" t="s">
        <v>323</v>
      </c>
      <c r="AY49" s="162">
        <f t="shared" si="15"/>
        <v>266.3147928994083</v>
      </c>
      <c r="AZ49" s="168" t="s">
        <v>322</v>
      </c>
      <c r="BB49" s="81" t="s">
        <v>381</v>
      </c>
      <c r="BC49" s="81" t="s">
        <v>382</v>
      </c>
      <c r="BD49" s="81" t="s">
        <v>383</v>
      </c>
      <c r="BE49" s="81" t="s">
        <v>384</v>
      </c>
      <c r="BF49" s="81" t="s">
        <v>385</v>
      </c>
      <c r="BG49" s="81" t="s">
        <v>386</v>
      </c>
      <c r="BI49" s="175" t="s">
        <v>319</v>
      </c>
      <c r="BJ49" s="175" t="s">
        <v>320</v>
      </c>
      <c r="BK49" s="175" t="s">
        <v>372</v>
      </c>
      <c r="BL49" s="175" t="s">
        <v>323</v>
      </c>
      <c r="BM49" s="174">
        <f>BC96</f>
        <v>393</v>
      </c>
      <c r="BN49" s="175" t="s">
        <v>322</v>
      </c>
      <c r="BP49" s="81" t="s">
        <v>387</v>
      </c>
      <c r="BQ49" s="167">
        <v>289</v>
      </c>
      <c r="BR49" s="167">
        <v>0.27</v>
      </c>
      <c r="BS49" s="81">
        <v>1069.93</v>
      </c>
      <c r="BT49" s="81" t="s">
        <v>422</v>
      </c>
      <c r="BU49" s="167">
        <v>2E-16</v>
      </c>
      <c r="BV49" s="81" t="s">
        <v>389</v>
      </c>
      <c r="BX49" s="178" t="s">
        <v>319</v>
      </c>
      <c r="BY49" s="178" t="s">
        <v>320</v>
      </c>
      <c r="BZ49" s="178" t="s">
        <v>368</v>
      </c>
      <c r="CA49" s="178" t="s">
        <v>323</v>
      </c>
      <c r="CB49" s="177">
        <f>BQ68</f>
        <v>7.3200000000000001E-2</v>
      </c>
      <c r="CC49" s="178" t="s">
        <v>322</v>
      </c>
      <c r="CN49" s="81" t="s">
        <v>374</v>
      </c>
      <c r="CO49" s="257">
        <f t="shared" si="0"/>
        <v>532.62958579881661</v>
      </c>
      <c r="CP49" s="257">
        <f t="shared" si="1"/>
        <v>506</v>
      </c>
      <c r="CQ49" s="257">
        <f t="shared" si="2"/>
        <v>221</v>
      </c>
      <c r="CT49" s="258" t="s">
        <v>442</v>
      </c>
      <c r="CU49" s="258" t="s">
        <v>295</v>
      </c>
      <c r="CV49" s="259">
        <v>461</v>
      </c>
      <c r="CW49" s="259">
        <v>2.36</v>
      </c>
      <c r="CX49" s="258">
        <v>194.92</v>
      </c>
      <c r="CY49" s="258" t="s">
        <v>422</v>
      </c>
      <c r="CZ49" s="167">
        <v>2E-16</v>
      </c>
      <c r="DA49" s="81" t="s">
        <v>389</v>
      </c>
      <c r="DB49" s="260" t="s">
        <v>467</v>
      </c>
      <c r="DC49" s="266" t="s">
        <v>494</v>
      </c>
      <c r="DD49" s="261" t="s">
        <v>323</v>
      </c>
      <c r="DE49" s="262">
        <f t="shared" si="16"/>
        <v>0.309</v>
      </c>
      <c r="DF49" s="260" t="s">
        <v>322</v>
      </c>
    </row>
    <row r="50" spans="2:110" ht="15" customHeight="1" thickTop="1" thickBot="1" x14ac:dyDescent="0.3">
      <c r="K50" s="81"/>
      <c r="L50" s="81"/>
      <c r="M50" s="81"/>
      <c r="P50" s="81"/>
      <c r="Q50" s="81"/>
      <c r="W50" s="226"/>
      <c r="X50" s="226"/>
      <c r="Y50" s="245" t="s">
        <v>4</v>
      </c>
      <c r="Z50" s="245">
        <v>4</v>
      </c>
      <c r="AA50" s="245" t="s">
        <v>5</v>
      </c>
      <c r="AB50" s="226"/>
      <c r="AC50" s="226"/>
      <c r="AD50" s="226"/>
      <c r="AE50" s="14"/>
      <c r="AF50" s="14"/>
      <c r="AG50" s="14"/>
      <c r="AL50" s="159" t="s">
        <v>319</v>
      </c>
      <c r="AM50" s="81" t="s">
        <v>320</v>
      </c>
      <c r="AN50" s="81" t="s">
        <v>374</v>
      </c>
      <c r="AO50" s="81">
        <f>AO48</f>
        <v>532.62958579881661</v>
      </c>
      <c r="AP50" s="81" t="s">
        <v>322</v>
      </c>
      <c r="AQ50" s="81" t="s">
        <v>375</v>
      </c>
      <c r="AU50" s="168" t="s">
        <v>319</v>
      </c>
      <c r="AV50" s="168" t="s">
        <v>320</v>
      </c>
      <c r="AW50" s="168" t="s">
        <v>374</v>
      </c>
      <c r="AX50" s="169" t="s">
        <v>323</v>
      </c>
      <c r="AY50" s="162">
        <f t="shared" si="15"/>
        <v>532.62958579881661</v>
      </c>
      <c r="AZ50" s="168" t="s">
        <v>322</v>
      </c>
      <c r="BB50" s="81" t="s">
        <v>387</v>
      </c>
      <c r="BC50" s="167">
        <v>291</v>
      </c>
      <c r="BD50" s="167">
        <v>5.11E-2</v>
      </c>
      <c r="BE50" s="81">
        <v>5694.69</v>
      </c>
      <c r="BF50" s="81" t="s">
        <v>422</v>
      </c>
      <c r="BG50" s="167">
        <v>2E-16</v>
      </c>
      <c r="BH50" s="81" t="s">
        <v>389</v>
      </c>
      <c r="BI50" s="175" t="s">
        <v>319</v>
      </c>
      <c r="BJ50" s="175" t="s">
        <v>320</v>
      </c>
      <c r="BK50" s="175" t="s">
        <v>374</v>
      </c>
      <c r="BL50" s="175" t="s">
        <v>323</v>
      </c>
      <c r="BM50" s="174">
        <f>BC97</f>
        <v>506</v>
      </c>
      <c r="BN50" s="175" t="s">
        <v>322</v>
      </c>
      <c r="BP50" s="81" t="s">
        <v>390</v>
      </c>
      <c r="BQ50" s="167">
        <v>285</v>
      </c>
      <c r="BR50" s="167">
        <v>0.32700000000000001</v>
      </c>
      <c r="BS50" s="81">
        <v>872.45</v>
      </c>
      <c r="BT50" s="81" t="s">
        <v>422</v>
      </c>
      <c r="BU50" s="167">
        <v>2E-16</v>
      </c>
      <c r="BV50" s="81" t="s">
        <v>389</v>
      </c>
      <c r="BX50" s="178" t="s">
        <v>319</v>
      </c>
      <c r="BY50" s="178" t="s">
        <v>320</v>
      </c>
      <c r="BZ50" s="178" t="s">
        <v>370</v>
      </c>
      <c r="CA50" s="178" t="s">
        <v>323</v>
      </c>
      <c r="CB50" s="177">
        <f>BQ94</f>
        <v>198</v>
      </c>
      <c r="CC50" s="178" t="s">
        <v>322</v>
      </c>
      <c r="CT50" s="258" t="s">
        <v>442</v>
      </c>
      <c r="CU50" s="258" t="s">
        <v>120</v>
      </c>
      <c r="CV50" s="259">
        <v>272</v>
      </c>
      <c r="CW50" s="259">
        <v>2.13</v>
      </c>
      <c r="CX50" s="258">
        <v>127.81</v>
      </c>
      <c r="CY50" s="258" t="s">
        <v>422</v>
      </c>
      <c r="CZ50" s="167">
        <v>2E-16</v>
      </c>
      <c r="DA50" s="81" t="s">
        <v>389</v>
      </c>
      <c r="DB50" s="260" t="s">
        <v>467</v>
      </c>
      <c r="DC50" s="266" t="s">
        <v>495</v>
      </c>
      <c r="DD50" s="261" t="s">
        <v>323</v>
      </c>
      <c r="DE50" s="262">
        <f t="shared" si="16"/>
        <v>0.17599999999999999</v>
      </c>
      <c r="DF50" s="260" t="s">
        <v>322</v>
      </c>
    </row>
    <row r="51" spans="2:110" ht="15" customHeight="1" thickTop="1" thickBot="1" x14ac:dyDescent="0.3">
      <c r="K51" s="81"/>
      <c r="L51" s="81"/>
      <c r="M51" s="81"/>
      <c r="P51" s="81"/>
      <c r="Q51" s="81"/>
      <c r="W51" s="246" t="s">
        <v>68</v>
      </c>
      <c r="X51" s="247"/>
      <c r="Y51" s="248" t="s">
        <v>21</v>
      </c>
      <c r="Z51" s="249">
        <v>4</v>
      </c>
      <c r="AA51" s="247" t="s">
        <v>5</v>
      </c>
      <c r="AB51" s="247"/>
      <c r="AC51" s="247" t="s">
        <v>22</v>
      </c>
      <c r="AD51" s="250">
        <f>0.04*550*1660</f>
        <v>36520</v>
      </c>
      <c r="AE51" s="14" t="s">
        <v>23</v>
      </c>
      <c r="AF51" s="14">
        <f>SUM(AD53:AD54)</f>
        <v>181020.00000000003</v>
      </c>
      <c r="AG51" s="14"/>
      <c r="BB51" s="81" t="s">
        <v>390</v>
      </c>
      <c r="BC51" s="167">
        <v>289</v>
      </c>
      <c r="BD51" s="167">
        <v>0.17199999999999999</v>
      </c>
      <c r="BE51" s="81">
        <v>1674.64</v>
      </c>
      <c r="BF51" s="81" t="s">
        <v>422</v>
      </c>
      <c r="BG51" s="167">
        <v>2E-16</v>
      </c>
      <c r="BH51" s="81" t="s">
        <v>389</v>
      </c>
      <c r="BP51" s="81" t="s">
        <v>391</v>
      </c>
      <c r="BQ51" s="167">
        <v>291</v>
      </c>
      <c r="BR51" s="167">
        <v>0.14000000000000001</v>
      </c>
      <c r="BS51" s="81">
        <v>2086.0700000000002</v>
      </c>
      <c r="BT51" s="81" t="s">
        <v>422</v>
      </c>
      <c r="BU51" s="167">
        <v>2E-16</v>
      </c>
      <c r="BV51" s="81" t="s">
        <v>389</v>
      </c>
      <c r="BX51" s="178" t="s">
        <v>319</v>
      </c>
      <c r="BY51" s="178" t="s">
        <v>320</v>
      </c>
      <c r="BZ51" s="178" t="s">
        <v>372</v>
      </c>
      <c r="CA51" s="178" t="s">
        <v>323</v>
      </c>
      <c r="CB51" s="177">
        <f>BQ95</f>
        <v>3.48E-4</v>
      </c>
      <c r="CC51" s="178" t="s">
        <v>322</v>
      </c>
      <c r="CT51" s="258" t="s">
        <v>442</v>
      </c>
      <c r="CU51" s="258" t="s">
        <v>412</v>
      </c>
      <c r="CV51" s="259">
        <v>-5.48</v>
      </c>
      <c r="CW51" s="259">
        <v>2.1600000000000001E-2</v>
      </c>
      <c r="CX51" s="258">
        <v>-253.35</v>
      </c>
      <c r="CY51" s="258" t="s">
        <v>422</v>
      </c>
      <c r="CZ51" s="167">
        <v>2E-16</v>
      </c>
      <c r="DA51" s="81" t="s">
        <v>389</v>
      </c>
      <c r="DB51" s="260" t="s">
        <v>467</v>
      </c>
      <c r="DC51" s="266" t="s">
        <v>496</v>
      </c>
      <c r="DD51" s="261" t="s">
        <v>323</v>
      </c>
      <c r="DE51" s="262">
        <f t="shared" si="16"/>
        <v>0.13</v>
      </c>
      <c r="DF51" s="260" t="s">
        <v>322</v>
      </c>
    </row>
    <row r="52" spans="2:110" thickTop="1" thickBot="1" x14ac:dyDescent="0.3">
      <c r="W52" s="251"/>
      <c r="X52" s="252" t="s">
        <v>16</v>
      </c>
      <c r="Y52" s="252">
        <v>4</v>
      </c>
      <c r="Z52" s="252" t="s">
        <v>5</v>
      </c>
      <c r="AA52" s="252"/>
      <c r="AB52" s="252" t="s">
        <v>313</v>
      </c>
      <c r="AC52" s="252">
        <f>0.11*(1/Z51-1/23-1/8)</f>
        <v>8.9673913043478264E-3</v>
      </c>
      <c r="AD52" s="253"/>
      <c r="AE52" s="14"/>
      <c r="AF52" s="14"/>
      <c r="AG52" s="14"/>
      <c r="BB52" s="81" t="s">
        <v>391</v>
      </c>
      <c r="BC52" s="167">
        <v>293</v>
      </c>
      <c r="BD52" s="167">
        <v>2.9399999999999999E-2</v>
      </c>
      <c r="BE52" s="81">
        <v>9948.2000000000007</v>
      </c>
      <c r="BF52" s="81" t="s">
        <v>422</v>
      </c>
      <c r="BG52" s="167">
        <v>2E-16</v>
      </c>
      <c r="BH52" s="81" t="s">
        <v>389</v>
      </c>
      <c r="BP52" s="81" t="s">
        <v>392</v>
      </c>
      <c r="BQ52" s="167">
        <v>293</v>
      </c>
      <c r="BR52" s="167">
        <v>0.214</v>
      </c>
      <c r="BS52" s="81">
        <v>1373.31</v>
      </c>
      <c r="BT52" s="81" t="s">
        <v>422</v>
      </c>
      <c r="BU52" s="167">
        <v>2E-16</v>
      </c>
      <c r="BV52" s="81" t="s">
        <v>389</v>
      </c>
      <c r="BX52" s="178" t="s">
        <v>319</v>
      </c>
      <c r="BY52" s="178" t="s">
        <v>320</v>
      </c>
      <c r="BZ52" s="178" t="s">
        <v>374</v>
      </c>
      <c r="CA52" s="178" t="s">
        <v>323</v>
      </c>
      <c r="CB52" s="177">
        <f>BQ96</f>
        <v>221</v>
      </c>
      <c r="CC52" s="178" t="s">
        <v>322</v>
      </c>
      <c r="CT52" s="258" t="s">
        <v>442</v>
      </c>
      <c r="CU52" s="258" t="s">
        <v>413</v>
      </c>
      <c r="CV52" s="259">
        <v>-6.05</v>
      </c>
      <c r="CW52" s="259">
        <v>2.3199999999999998E-2</v>
      </c>
      <c r="CX52" s="258">
        <v>-261.05</v>
      </c>
      <c r="CY52" s="258" t="s">
        <v>422</v>
      </c>
      <c r="CZ52" s="167">
        <v>2E-16</v>
      </c>
      <c r="DA52" s="81" t="s">
        <v>389</v>
      </c>
      <c r="DB52" s="260" t="s">
        <v>467</v>
      </c>
      <c r="DC52" s="266" t="s">
        <v>497</v>
      </c>
      <c r="DD52" s="261" t="s">
        <v>323</v>
      </c>
      <c r="DE52" s="262">
        <f t="shared" si="16"/>
        <v>0.253</v>
      </c>
      <c r="DF52" s="260" t="s">
        <v>322</v>
      </c>
    </row>
    <row r="53" spans="2:110" thickTop="1" thickBot="1" x14ac:dyDescent="0.3">
      <c r="W53" s="226"/>
      <c r="X53" s="226"/>
      <c r="Y53" s="227"/>
      <c r="Z53" s="227"/>
      <c r="AA53" s="227"/>
      <c r="AB53" s="226"/>
      <c r="AC53" s="226"/>
      <c r="AD53" s="226"/>
      <c r="AE53" s="14"/>
      <c r="AF53" s="14"/>
      <c r="AG53" s="14"/>
      <c r="BB53" s="81" t="s">
        <v>392</v>
      </c>
      <c r="BC53" s="167">
        <v>294</v>
      </c>
      <c r="BD53" s="167">
        <v>4.8099999999999997E-2</v>
      </c>
      <c r="BE53" s="81">
        <v>6117.24</v>
      </c>
      <c r="BF53" s="81" t="s">
        <v>422</v>
      </c>
      <c r="BG53" s="167">
        <v>2E-16</v>
      </c>
      <c r="BH53" s="81" t="s">
        <v>389</v>
      </c>
      <c r="BP53" s="81" t="s">
        <v>394</v>
      </c>
      <c r="BQ53" s="167">
        <v>0.46800000000000003</v>
      </c>
      <c r="BR53" s="167">
        <v>1.24E-2</v>
      </c>
      <c r="BS53" s="81">
        <v>37.76</v>
      </c>
      <c r="BT53" s="81" t="s">
        <v>422</v>
      </c>
      <c r="BU53" s="167">
        <v>2E-16</v>
      </c>
      <c r="BV53" s="81" t="s">
        <v>389</v>
      </c>
      <c r="CT53" s="258" t="s">
        <v>442</v>
      </c>
      <c r="CU53" s="258" t="s">
        <v>414</v>
      </c>
      <c r="CV53" s="259">
        <v>-7.01</v>
      </c>
      <c r="CW53" s="259">
        <v>3.3599999999999998E-2</v>
      </c>
      <c r="CX53" s="258">
        <v>-208.86</v>
      </c>
      <c r="CY53" s="258" t="s">
        <v>422</v>
      </c>
      <c r="CZ53" s="167">
        <v>2E-16</v>
      </c>
      <c r="DA53" s="81" t="s">
        <v>389</v>
      </c>
      <c r="DB53" s="260" t="s">
        <v>467</v>
      </c>
      <c r="DC53" s="266" t="s">
        <v>498</v>
      </c>
      <c r="DD53" s="261" t="s">
        <v>323</v>
      </c>
      <c r="DE53" s="262">
        <f t="shared" si="16"/>
        <v>4.2300000000000004E-12</v>
      </c>
      <c r="DF53" s="260" t="s">
        <v>322</v>
      </c>
    </row>
    <row r="54" spans="2:110" thickTop="1" thickBot="1" x14ac:dyDescent="0.3">
      <c r="W54" s="274" t="s">
        <v>517</v>
      </c>
      <c r="X54" s="275"/>
      <c r="Y54" s="276" t="s">
        <v>21</v>
      </c>
      <c r="Z54" s="277">
        <f>(1/(1/8+SUM(AC56:AC58)+1/8))</f>
        <v>1.8430034129692836</v>
      </c>
      <c r="AA54" s="275" t="s">
        <v>5</v>
      </c>
      <c r="AB54" s="275"/>
      <c r="AC54" s="275" t="s">
        <v>22</v>
      </c>
      <c r="AD54" s="278">
        <f>SUM(AD56:AD60)</f>
        <v>181020.00000000003</v>
      </c>
      <c r="AN54" s="170" t="s">
        <v>376</v>
      </c>
      <c r="AO54" s="170">
        <f>SUM(AO42,AO4:AO7)</f>
        <v>1</v>
      </c>
      <c r="AP54" s="170"/>
      <c r="BB54" s="81" t="s">
        <v>394</v>
      </c>
      <c r="BC54" s="167">
        <v>0.44900000000000001</v>
      </c>
      <c r="BD54" s="167">
        <v>1.77E-2</v>
      </c>
      <c r="BE54" s="81">
        <v>25.4</v>
      </c>
      <c r="BF54" s="81" t="s">
        <v>422</v>
      </c>
      <c r="BG54" s="167">
        <v>2E-16</v>
      </c>
      <c r="BH54" s="81" t="s">
        <v>389</v>
      </c>
      <c r="BP54" s="81" t="s">
        <v>395</v>
      </c>
      <c r="BQ54" s="167">
        <v>0.14099999999999999</v>
      </c>
      <c r="BR54" s="167">
        <v>2.1800000000000001E-3</v>
      </c>
      <c r="BS54" s="81">
        <v>64.91</v>
      </c>
      <c r="BT54" s="81" t="s">
        <v>422</v>
      </c>
      <c r="BU54" s="167">
        <v>2E-16</v>
      </c>
      <c r="BV54" s="81" t="s">
        <v>389</v>
      </c>
      <c r="CT54" s="258" t="s">
        <v>442</v>
      </c>
      <c r="CU54" s="258" t="s">
        <v>415</v>
      </c>
      <c r="CV54" s="259">
        <v>-6.2</v>
      </c>
      <c r="CW54" s="259">
        <v>2.3300000000000001E-2</v>
      </c>
      <c r="CX54" s="258">
        <v>-266.51</v>
      </c>
      <c r="CY54" s="258" t="s">
        <v>422</v>
      </c>
      <c r="CZ54" s="167">
        <v>2E-16</v>
      </c>
      <c r="DA54" s="81" t="s">
        <v>389</v>
      </c>
      <c r="DB54" s="260" t="s">
        <v>467</v>
      </c>
      <c r="DC54" s="266" t="s">
        <v>499</v>
      </c>
      <c r="DD54" s="261" t="s">
        <v>323</v>
      </c>
      <c r="DE54" s="262">
        <f t="shared" si="16"/>
        <v>2.4899999999999999E-2</v>
      </c>
      <c r="DF54" s="260" t="s">
        <v>322</v>
      </c>
    </row>
    <row r="55" spans="2:110" thickTop="1" thickBot="1" x14ac:dyDescent="0.3">
      <c r="W55" s="279"/>
      <c r="X55" s="234" t="s">
        <v>27</v>
      </c>
      <c r="Y55" s="234" t="s">
        <v>28</v>
      </c>
      <c r="Z55" s="234" t="s">
        <v>29</v>
      </c>
      <c r="AA55" s="234" t="s">
        <v>30</v>
      </c>
      <c r="AB55" s="234" t="s">
        <v>31</v>
      </c>
      <c r="AC55" s="234" t="s">
        <v>32</v>
      </c>
      <c r="AD55" s="280" t="s">
        <v>33</v>
      </c>
      <c r="AN55" s="170" t="s">
        <v>376</v>
      </c>
      <c r="AO55" s="170">
        <f>SUM(AO43,AO26:AO28)</f>
        <v>1</v>
      </c>
      <c r="AP55" s="170"/>
      <c r="BB55" s="81" t="s">
        <v>395</v>
      </c>
      <c r="BC55" s="167">
        <v>0.111</v>
      </c>
      <c r="BD55" s="167">
        <v>1.1199999999999999E-3</v>
      </c>
      <c r="BE55" s="81">
        <v>99.15</v>
      </c>
      <c r="BF55" s="81" t="s">
        <v>422</v>
      </c>
      <c r="BG55" s="167">
        <v>2E-16</v>
      </c>
      <c r="BH55" s="81" t="s">
        <v>389</v>
      </c>
      <c r="BP55" s="81" t="s">
        <v>396</v>
      </c>
      <c r="BQ55" s="167">
        <v>0.108</v>
      </c>
      <c r="BR55" s="167">
        <v>2.07E-2</v>
      </c>
      <c r="BS55" s="81">
        <v>5.23</v>
      </c>
      <c r="BT55" s="167">
        <v>1.8E-7</v>
      </c>
      <c r="BU55" s="81" t="s">
        <v>389</v>
      </c>
      <c r="CT55" s="258" t="s">
        <v>442</v>
      </c>
      <c r="CU55" s="258" t="s">
        <v>416</v>
      </c>
      <c r="CV55" s="259">
        <v>-6.69</v>
      </c>
      <c r="CW55" s="259">
        <v>2.6800000000000001E-2</v>
      </c>
      <c r="CX55" s="258">
        <v>-249.6</v>
      </c>
      <c r="CY55" s="258" t="s">
        <v>422</v>
      </c>
      <c r="CZ55" s="167">
        <v>2E-16</v>
      </c>
      <c r="DA55" s="81" t="s">
        <v>389</v>
      </c>
      <c r="DB55" s="260" t="s">
        <v>467</v>
      </c>
      <c r="DC55" s="266" t="s">
        <v>500</v>
      </c>
      <c r="DD55" s="261" t="s">
        <v>323</v>
      </c>
      <c r="DE55" s="262">
        <f t="shared" si="16"/>
        <v>0.114</v>
      </c>
      <c r="DF55" s="260" t="s">
        <v>322</v>
      </c>
    </row>
    <row r="56" spans="2:110" thickTop="1" thickBot="1" x14ac:dyDescent="0.3">
      <c r="W56" s="281"/>
      <c r="X56" s="189" t="s">
        <v>90</v>
      </c>
      <c r="Y56" s="189">
        <v>0.02</v>
      </c>
      <c r="Z56" s="189">
        <v>0.6</v>
      </c>
      <c r="AA56" s="189">
        <v>975</v>
      </c>
      <c r="AB56" s="189">
        <v>840</v>
      </c>
      <c r="AC56" s="236">
        <f>Y56/Z56</f>
        <v>3.3333333333333333E-2</v>
      </c>
      <c r="AD56" s="282">
        <f>Y56*AA56*AB56</f>
        <v>16380</v>
      </c>
      <c r="AN56" s="170" t="s">
        <v>377</v>
      </c>
      <c r="AO56" s="170">
        <f>SUM(AO46,AO14:AO17)</f>
        <v>0.99999999999999989</v>
      </c>
      <c r="AP56" s="170"/>
      <c r="BB56" s="81" t="s">
        <v>396</v>
      </c>
      <c r="BC56" s="167">
        <v>0.255</v>
      </c>
      <c r="BD56" s="167">
        <v>1.8100000000000002E-2</v>
      </c>
      <c r="BE56" s="81">
        <v>14.05</v>
      </c>
      <c r="BF56" s="81" t="s">
        <v>422</v>
      </c>
      <c r="BG56" s="167">
        <v>2E-16</v>
      </c>
      <c r="BH56" s="81" t="s">
        <v>389</v>
      </c>
      <c r="BP56" s="81" t="s">
        <v>397</v>
      </c>
      <c r="BQ56" s="167">
        <v>0.28299999999999997</v>
      </c>
      <c r="BR56" s="167">
        <v>6.1999999999999998E-3</v>
      </c>
      <c r="BS56" s="81">
        <v>45.61</v>
      </c>
      <c r="BT56" s="81" t="s">
        <v>422</v>
      </c>
      <c r="BU56" s="167">
        <v>2E-16</v>
      </c>
      <c r="BV56" s="81" t="s">
        <v>389</v>
      </c>
      <c r="CT56" s="258" t="s">
        <v>442</v>
      </c>
      <c r="CU56" s="258" t="s">
        <v>417</v>
      </c>
      <c r="CV56" s="259">
        <v>3.0799999999999998E-3</v>
      </c>
      <c r="CW56" s="259">
        <v>5.7800000000000002E-5</v>
      </c>
      <c r="CX56" s="258">
        <v>53.37</v>
      </c>
      <c r="CY56" s="258" t="s">
        <v>422</v>
      </c>
      <c r="CZ56" s="167">
        <v>2E-16</v>
      </c>
      <c r="DA56" s="81" t="s">
        <v>389</v>
      </c>
      <c r="DB56" s="260" t="s">
        <v>467</v>
      </c>
      <c r="DC56" s="266" t="s">
        <v>501</v>
      </c>
      <c r="DD56" s="261" t="s">
        <v>323</v>
      </c>
      <c r="DE56" s="262">
        <f t="shared" si="16"/>
        <v>0.52500000000000002</v>
      </c>
      <c r="DF56" s="260" t="s">
        <v>322</v>
      </c>
    </row>
    <row r="57" spans="2:110" thickTop="1" thickBot="1" x14ac:dyDescent="0.3">
      <c r="W57" s="281"/>
      <c r="X57" s="199" t="s">
        <v>275</v>
      </c>
      <c r="Y57" s="189">
        <v>0.14000000000000001</v>
      </c>
      <c r="Z57" s="189">
        <v>0.54</v>
      </c>
      <c r="AA57" s="189">
        <v>1400</v>
      </c>
      <c r="AB57" s="199">
        <v>840</v>
      </c>
      <c r="AC57" s="236">
        <f>Y57/Z57</f>
        <v>0.25925925925925924</v>
      </c>
      <c r="AD57" s="190">
        <f>Y57*AA57*AB57</f>
        <v>164640.00000000003</v>
      </c>
      <c r="AN57" s="170" t="s">
        <v>377</v>
      </c>
      <c r="AO57" s="170">
        <f>SUM(AO47,AO33:AO35)</f>
        <v>1</v>
      </c>
      <c r="AP57" s="170"/>
      <c r="BB57" s="81" t="s">
        <v>397</v>
      </c>
      <c r="BC57" s="167">
        <v>0.19800000000000001</v>
      </c>
      <c r="BD57" s="167">
        <v>3.8500000000000001E-3</v>
      </c>
      <c r="BE57" s="81">
        <v>51.44</v>
      </c>
      <c r="BF57" s="81" t="s">
        <v>422</v>
      </c>
      <c r="BG57" s="167">
        <v>2E-16</v>
      </c>
      <c r="BH57" s="81" t="s">
        <v>389</v>
      </c>
      <c r="BP57" s="81" t="s">
        <v>308</v>
      </c>
      <c r="BQ57" s="167">
        <v>990000000</v>
      </c>
      <c r="BR57" s="167">
        <v>65000000</v>
      </c>
      <c r="BS57" s="81">
        <v>15.24</v>
      </c>
      <c r="BT57" s="81" t="s">
        <v>422</v>
      </c>
      <c r="BU57" s="167">
        <v>2E-16</v>
      </c>
      <c r="BV57" s="81" t="s">
        <v>389</v>
      </c>
      <c r="CT57" s="258" t="s">
        <v>442</v>
      </c>
      <c r="CU57" s="258" t="s">
        <v>418</v>
      </c>
      <c r="CV57" s="259">
        <v>116</v>
      </c>
      <c r="CW57" s="259">
        <v>0.83099999999999996</v>
      </c>
      <c r="CX57" s="258">
        <v>139.01</v>
      </c>
      <c r="CY57" s="258" t="s">
        <v>422</v>
      </c>
      <c r="CZ57" s="167">
        <v>2E-16</v>
      </c>
      <c r="DA57" s="81" t="s">
        <v>389</v>
      </c>
      <c r="DB57" s="260" t="s">
        <v>467</v>
      </c>
      <c r="DC57" s="266" t="s">
        <v>502</v>
      </c>
      <c r="DD57" s="261" t="s">
        <v>323</v>
      </c>
      <c r="DE57" s="262">
        <f t="shared" si="16"/>
        <v>1</v>
      </c>
      <c r="DF57" s="260" t="s">
        <v>322</v>
      </c>
    </row>
    <row r="58" spans="2:110" thickTop="1" thickBot="1" x14ac:dyDescent="0.3">
      <c r="W58" s="283"/>
      <c r="X58" s="284" t="s">
        <v>273</v>
      </c>
      <c r="Y58" s="285">
        <v>0</v>
      </c>
      <c r="Z58" s="285">
        <v>3.5999999999999997E-2</v>
      </c>
      <c r="AA58" s="285">
        <v>26</v>
      </c>
      <c r="AB58" s="285">
        <v>1470</v>
      </c>
      <c r="AC58" s="286">
        <f>Y58/Z58</f>
        <v>0</v>
      </c>
      <c r="AD58" s="287">
        <f>Y58*AA58*AB58</f>
        <v>0</v>
      </c>
      <c r="BB58" s="81" t="s">
        <v>308</v>
      </c>
      <c r="BC58" s="167">
        <v>29000000</v>
      </c>
      <c r="BD58" s="167">
        <v>522000</v>
      </c>
      <c r="BE58" s="81">
        <v>55.58</v>
      </c>
      <c r="BF58" s="81" t="s">
        <v>422</v>
      </c>
      <c r="BG58" s="167">
        <v>2E-16</v>
      </c>
      <c r="BH58" s="81" t="s">
        <v>389</v>
      </c>
      <c r="BP58" s="81" t="s">
        <v>399</v>
      </c>
      <c r="BQ58" s="167">
        <v>752000</v>
      </c>
      <c r="BR58" s="167">
        <v>20000</v>
      </c>
      <c r="BS58" s="81">
        <v>37.6</v>
      </c>
      <c r="BT58" s="81" t="s">
        <v>422</v>
      </c>
      <c r="BU58" s="167">
        <v>2E-16</v>
      </c>
      <c r="BV58" s="81" t="s">
        <v>389</v>
      </c>
      <c r="CT58" s="258" t="s">
        <v>442</v>
      </c>
      <c r="CU58" s="258" t="s">
        <v>419</v>
      </c>
      <c r="CV58" s="259">
        <v>5410</v>
      </c>
      <c r="CW58" s="259">
        <v>722</v>
      </c>
      <c r="CX58" s="258">
        <v>7.5</v>
      </c>
      <c r="CY58" s="259">
        <v>7.4999999999999996E-14</v>
      </c>
      <c r="CZ58" s="81" t="s">
        <v>389</v>
      </c>
      <c r="DB58" s="260" t="s">
        <v>467</v>
      </c>
      <c r="DC58" s="266" t="s">
        <v>503</v>
      </c>
      <c r="DD58" s="261" t="s">
        <v>323</v>
      </c>
      <c r="DE58" s="262">
        <f t="shared" si="16"/>
        <v>0.309</v>
      </c>
      <c r="DF58" s="260" t="s">
        <v>322</v>
      </c>
    </row>
    <row r="59" spans="2:110" thickTop="1" thickBot="1" x14ac:dyDescent="0.3">
      <c r="BB59" s="81" t="s">
        <v>399</v>
      </c>
      <c r="BC59" s="167">
        <v>858000</v>
      </c>
      <c r="BD59" s="167">
        <v>4620</v>
      </c>
      <c r="BE59" s="81">
        <v>185.74</v>
      </c>
      <c r="BF59" s="81" t="s">
        <v>422</v>
      </c>
      <c r="BG59" s="167">
        <v>2E-16</v>
      </c>
      <c r="BH59" s="81" t="s">
        <v>389</v>
      </c>
      <c r="BP59" s="81" t="s">
        <v>301</v>
      </c>
      <c r="BQ59" s="167">
        <v>8650000</v>
      </c>
      <c r="BR59" s="167">
        <v>780000</v>
      </c>
      <c r="BS59" s="81">
        <v>11.09</v>
      </c>
      <c r="BT59" s="81" t="s">
        <v>422</v>
      </c>
      <c r="BU59" s="167">
        <v>2E-16</v>
      </c>
      <c r="BV59" s="81" t="s">
        <v>389</v>
      </c>
      <c r="CT59" s="258" t="s">
        <v>442</v>
      </c>
      <c r="CU59" s="258" t="s">
        <v>420</v>
      </c>
      <c r="CV59" s="259">
        <v>76.2</v>
      </c>
      <c r="CW59" s="259">
        <v>1.42</v>
      </c>
      <c r="CX59" s="258">
        <v>53.52</v>
      </c>
      <c r="CY59" s="258" t="s">
        <v>422</v>
      </c>
      <c r="CZ59" s="167">
        <v>2E-16</v>
      </c>
      <c r="DA59" s="81" t="s">
        <v>389</v>
      </c>
      <c r="DB59" s="260" t="s">
        <v>467</v>
      </c>
      <c r="DC59" s="266" t="s">
        <v>504</v>
      </c>
      <c r="DD59" s="261" t="s">
        <v>323</v>
      </c>
      <c r="DE59" s="262">
        <f t="shared" si="16"/>
        <v>0.25900000000000001</v>
      </c>
      <c r="DF59" s="260" t="s">
        <v>322</v>
      </c>
    </row>
    <row r="60" spans="2:110" thickTop="1" thickBot="1" x14ac:dyDescent="0.3">
      <c r="BB60" s="81" t="s">
        <v>301</v>
      </c>
      <c r="BC60" s="167">
        <v>2990000</v>
      </c>
      <c r="BD60" s="167">
        <v>49000</v>
      </c>
      <c r="BE60" s="81">
        <v>61.12</v>
      </c>
      <c r="BF60" s="81" t="s">
        <v>422</v>
      </c>
      <c r="BG60" s="167">
        <v>2E-16</v>
      </c>
      <c r="BH60" s="81" t="s">
        <v>389</v>
      </c>
      <c r="BP60" s="81" t="s">
        <v>303</v>
      </c>
      <c r="BQ60" s="167">
        <v>17100000</v>
      </c>
      <c r="BR60" s="167">
        <v>4790000</v>
      </c>
      <c r="BS60" s="81">
        <v>3.56</v>
      </c>
      <c r="BT60" s="81">
        <v>3.6999999999999999E-4</v>
      </c>
      <c r="BU60" s="81" t="s">
        <v>389</v>
      </c>
      <c r="DC60" s="266"/>
      <c r="DD60" s="261"/>
      <c r="DE60" s="262"/>
    </row>
    <row r="61" spans="2:110" thickTop="1" thickBot="1" x14ac:dyDescent="0.3">
      <c r="BB61" s="81" t="s">
        <v>303</v>
      </c>
      <c r="BC61" s="167">
        <v>5280000</v>
      </c>
      <c r="BD61" s="167">
        <v>21200</v>
      </c>
      <c r="BE61" s="81">
        <v>249</v>
      </c>
      <c r="BF61" s="81" t="s">
        <v>422</v>
      </c>
      <c r="BG61" s="167">
        <v>2E-16</v>
      </c>
      <c r="BH61" s="81" t="s">
        <v>389</v>
      </c>
      <c r="BP61" s="81" t="s">
        <v>400</v>
      </c>
      <c r="BQ61" s="167">
        <v>-20.100000000000001</v>
      </c>
      <c r="BR61" s="167">
        <v>467</v>
      </c>
      <c r="BS61" s="81">
        <v>-0.04</v>
      </c>
      <c r="BT61" s="81">
        <v>0.96562999999999999</v>
      </c>
      <c r="CT61" s="258" t="s">
        <v>442</v>
      </c>
      <c r="CU61" s="258" t="s">
        <v>433</v>
      </c>
      <c r="CV61" s="258" t="s">
        <v>460</v>
      </c>
      <c r="DB61" s="260" t="s">
        <v>467</v>
      </c>
      <c r="DC61" s="266" t="s">
        <v>344</v>
      </c>
      <c r="DD61" s="261" t="s">
        <v>323</v>
      </c>
      <c r="DE61" s="262">
        <f>CV85</f>
        <v>766000</v>
      </c>
      <c r="DF61" s="260" t="s">
        <v>322</v>
      </c>
    </row>
    <row r="62" spans="2:110" thickTop="1" thickBot="1" x14ac:dyDescent="0.3">
      <c r="BB62" s="81" t="s">
        <v>400</v>
      </c>
      <c r="BC62" s="167">
        <v>-24.7</v>
      </c>
      <c r="BD62" s="167">
        <v>0.50900000000000001</v>
      </c>
      <c r="BE62" s="81">
        <v>-48.59</v>
      </c>
      <c r="BF62" s="81" t="s">
        <v>422</v>
      </c>
      <c r="BG62" s="167">
        <v>2E-16</v>
      </c>
      <c r="BH62" s="81" t="s">
        <v>389</v>
      </c>
      <c r="BP62" s="81" t="s">
        <v>401</v>
      </c>
      <c r="BQ62" s="167">
        <v>-13.2</v>
      </c>
      <c r="BR62" s="167">
        <v>543</v>
      </c>
      <c r="BS62" s="81">
        <v>-0.02</v>
      </c>
      <c r="BT62" s="81">
        <v>0.98057000000000005</v>
      </c>
      <c r="CT62" s="258" t="s">
        <v>442</v>
      </c>
      <c r="CU62" s="258" t="s">
        <v>380</v>
      </c>
      <c r="DB62" s="260" t="s">
        <v>467</v>
      </c>
      <c r="DC62" s="266" t="s">
        <v>345</v>
      </c>
      <c r="DD62" s="261" t="s">
        <v>323</v>
      </c>
      <c r="DE62" s="262">
        <f>CV86</f>
        <v>8780000</v>
      </c>
      <c r="DF62" s="260" t="s">
        <v>322</v>
      </c>
    </row>
    <row r="63" spans="2:110" thickTop="1" thickBot="1" x14ac:dyDescent="0.3">
      <c r="BB63" s="81" t="s">
        <v>401</v>
      </c>
      <c r="BC63" s="167">
        <v>-11.8</v>
      </c>
      <c r="BD63" s="167">
        <v>10.6</v>
      </c>
      <c r="BE63" s="81">
        <v>-1.1200000000000001</v>
      </c>
      <c r="BF63" s="81">
        <v>0.26</v>
      </c>
      <c r="BP63" s="81" t="s">
        <v>402</v>
      </c>
      <c r="BQ63" s="167">
        <v>-13.4</v>
      </c>
      <c r="BR63" s="167">
        <v>316</v>
      </c>
      <c r="BS63" s="81">
        <v>-0.04</v>
      </c>
      <c r="BT63" s="81">
        <v>0.96606999999999998</v>
      </c>
      <c r="CT63" s="258" t="s">
        <v>442</v>
      </c>
      <c r="CU63" s="258" t="s">
        <v>381</v>
      </c>
      <c r="CV63" s="258" t="s">
        <v>382</v>
      </c>
      <c r="CW63" s="258" t="s">
        <v>383</v>
      </c>
      <c r="CX63" s="258" t="s">
        <v>384</v>
      </c>
      <c r="CY63" s="258" t="s">
        <v>385</v>
      </c>
      <c r="CZ63" s="81" t="s">
        <v>386</v>
      </c>
      <c r="DB63" s="260" t="s">
        <v>467</v>
      </c>
      <c r="DC63" s="266" t="s">
        <v>346</v>
      </c>
      <c r="DD63" s="261" t="s">
        <v>323</v>
      </c>
      <c r="DE63" s="262">
        <f>CV87</f>
        <v>15100000</v>
      </c>
      <c r="DF63" s="260" t="s">
        <v>322</v>
      </c>
    </row>
    <row r="64" spans="2:110" thickTop="1" thickBot="1" x14ac:dyDescent="0.3">
      <c r="BB64" s="81" t="s">
        <v>402</v>
      </c>
      <c r="BC64" s="167">
        <v>-18.3</v>
      </c>
      <c r="BD64" s="167">
        <v>2.2400000000000002</v>
      </c>
      <c r="BE64" s="81">
        <v>-8.19</v>
      </c>
      <c r="BF64" s="167">
        <v>4.4E-16</v>
      </c>
      <c r="BG64" s="81" t="s">
        <v>389</v>
      </c>
      <c r="BP64" s="81" t="s">
        <v>403</v>
      </c>
      <c r="BQ64" s="167">
        <v>-14.3</v>
      </c>
      <c r="BR64" s="167">
        <v>664</v>
      </c>
      <c r="BS64" s="81">
        <v>-0.02</v>
      </c>
      <c r="BT64" s="81">
        <v>0.98280999999999996</v>
      </c>
      <c r="CT64" s="258" t="s">
        <v>442</v>
      </c>
      <c r="CU64" s="258" t="s">
        <v>387</v>
      </c>
      <c r="CV64" s="259">
        <v>289</v>
      </c>
      <c r="CW64" s="259">
        <v>0.28199999999999997</v>
      </c>
      <c r="CX64" s="258">
        <v>1026.26</v>
      </c>
      <c r="CY64" s="258" t="s">
        <v>422</v>
      </c>
      <c r="CZ64" s="167">
        <v>2E-16</v>
      </c>
      <c r="DA64" s="81" t="s">
        <v>389</v>
      </c>
      <c r="DD64" s="261"/>
    </row>
    <row r="65" spans="54:110" thickTop="1" thickBot="1" x14ac:dyDescent="0.3">
      <c r="BB65" s="81" t="s">
        <v>403</v>
      </c>
      <c r="BC65" s="167">
        <v>-16.100000000000001</v>
      </c>
      <c r="BD65" s="167">
        <v>1.95</v>
      </c>
      <c r="BE65" s="81">
        <v>-8.25</v>
      </c>
      <c r="BF65" s="167">
        <v>2.2E-16</v>
      </c>
      <c r="BG65" s="81" t="s">
        <v>389</v>
      </c>
      <c r="BP65" s="81" t="s">
        <v>405</v>
      </c>
      <c r="BQ65" s="167">
        <v>0.23</v>
      </c>
      <c r="BR65" s="167">
        <v>2.3800000000000002E-3</v>
      </c>
      <c r="BS65" s="81">
        <v>96.68</v>
      </c>
      <c r="BT65" s="81" t="s">
        <v>422</v>
      </c>
      <c r="BU65" s="167">
        <v>2E-16</v>
      </c>
      <c r="BV65" s="81" t="s">
        <v>389</v>
      </c>
      <c r="CT65" s="258" t="s">
        <v>442</v>
      </c>
      <c r="CU65" s="258" t="s">
        <v>390</v>
      </c>
      <c r="CV65" s="259">
        <v>285</v>
      </c>
      <c r="CW65" s="259">
        <v>0.33100000000000002</v>
      </c>
      <c r="CX65" s="258">
        <v>860.44</v>
      </c>
      <c r="CY65" s="258" t="s">
        <v>422</v>
      </c>
      <c r="CZ65" s="167">
        <v>2E-16</v>
      </c>
      <c r="DA65" s="81" t="s">
        <v>389</v>
      </c>
      <c r="DB65" s="260" t="s">
        <v>467</v>
      </c>
      <c r="DC65" s="266" t="s">
        <v>347</v>
      </c>
      <c r="DD65" s="261" t="s">
        <v>323</v>
      </c>
      <c r="DE65" s="262">
        <f>CV92</f>
        <v>0.23100000000000001</v>
      </c>
      <c r="DF65" s="260" t="s">
        <v>322</v>
      </c>
    </row>
    <row r="66" spans="54:110" thickTop="1" thickBot="1" x14ac:dyDescent="0.3">
      <c r="BB66" s="81" t="s">
        <v>405</v>
      </c>
      <c r="BC66" s="167">
        <v>0.38</v>
      </c>
      <c r="BD66" s="167">
        <v>5.0499999999999998E-3</v>
      </c>
      <c r="BE66" s="81">
        <v>75.36</v>
      </c>
      <c r="BF66" s="81" t="s">
        <v>422</v>
      </c>
      <c r="BG66" s="167">
        <v>2E-16</v>
      </c>
      <c r="BH66" s="81" t="s">
        <v>389</v>
      </c>
      <c r="BP66" s="81" t="s">
        <v>406</v>
      </c>
      <c r="BQ66" s="167">
        <v>4.8599999999999997E-2</v>
      </c>
      <c r="BR66" s="167">
        <v>4.2499999999999998E-4</v>
      </c>
      <c r="BS66" s="81">
        <v>114.51</v>
      </c>
      <c r="BT66" s="81" t="s">
        <v>422</v>
      </c>
      <c r="BU66" s="167">
        <v>2E-16</v>
      </c>
      <c r="BV66" s="81" t="s">
        <v>389</v>
      </c>
      <c r="CT66" s="258" t="s">
        <v>442</v>
      </c>
      <c r="CU66" s="258" t="s">
        <v>391</v>
      </c>
      <c r="CV66" s="259">
        <v>291</v>
      </c>
      <c r="CW66" s="259">
        <v>0.13600000000000001</v>
      </c>
      <c r="CX66" s="258">
        <v>2140.7800000000002</v>
      </c>
      <c r="CY66" s="258" t="s">
        <v>422</v>
      </c>
      <c r="CZ66" s="167">
        <v>2E-16</v>
      </c>
      <c r="DA66" s="81" t="s">
        <v>389</v>
      </c>
      <c r="DB66" s="260" t="s">
        <v>467</v>
      </c>
      <c r="DC66" s="266" t="s">
        <v>348</v>
      </c>
      <c r="DD66" s="261" t="s">
        <v>323</v>
      </c>
      <c r="DE66" s="262">
        <f>CV93</f>
        <v>4.8500000000000001E-2</v>
      </c>
      <c r="DF66" s="260" t="s">
        <v>322</v>
      </c>
    </row>
    <row r="67" spans="54:110" thickTop="1" thickBot="1" x14ac:dyDescent="0.3">
      <c r="BB67" s="81" t="s">
        <v>406</v>
      </c>
      <c r="BC67" s="167">
        <v>7.2800000000000004E-2</v>
      </c>
      <c r="BD67" s="167">
        <v>4.1599999999999997E-4</v>
      </c>
      <c r="BE67" s="81">
        <v>175.16</v>
      </c>
      <c r="BF67" s="81" t="s">
        <v>422</v>
      </c>
      <c r="BG67" s="167">
        <v>2E-16</v>
      </c>
      <c r="BH67" s="81" t="s">
        <v>389</v>
      </c>
      <c r="BP67" s="81" t="s">
        <v>407</v>
      </c>
      <c r="BQ67" s="167">
        <v>0.63200000000000001</v>
      </c>
      <c r="BR67" s="167">
        <v>1.03E-2</v>
      </c>
      <c r="BS67" s="81">
        <v>61.45</v>
      </c>
      <c r="BT67" s="81" t="s">
        <v>422</v>
      </c>
      <c r="BU67" s="167">
        <v>2E-16</v>
      </c>
      <c r="BV67" s="81" t="s">
        <v>389</v>
      </c>
      <c r="CT67" s="258" t="s">
        <v>442</v>
      </c>
      <c r="CU67" s="258" t="s">
        <v>392</v>
      </c>
      <c r="CV67" s="259">
        <v>293</v>
      </c>
      <c r="CW67" s="259">
        <v>0.21199999999999999</v>
      </c>
      <c r="CX67" s="258">
        <v>1381.05</v>
      </c>
      <c r="CY67" s="258" t="s">
        <v>422</v>
      </c>
      <c r="CZ67" s="167">
        <v>2E-16</v>
      </c>
      <c r="DA67" s="81" t="s">
        <v>389</v>
      </c>
      <c r="DB67" s="260" t="s">
        <v>467</v>
      </c>
      <c r="DC67" s="266" t="s">
        <v>350</v>
      </c>
      <c r="DD67" s="261" t="s">
        <v>323</v>
      </c>
      <c r="DE67" s="262">
        <f>CV94</f>
        <v>0.64</v>
      </c>
      <c r="DF67" s="260" t="s">
        <v>322</v>
      </c>
    </row>
    <row r="68" spans="54:110" thickTop="1" thickBot="1" x14ac:dyDescent="0.3">
      <c r="BB68" s="81" t="s">
        <v>407</v>
      </c>
      <c r="BC68" s="167">
        <v>0.41799999999999998</v>
      </c>
      <c r="BD68" s="167">
        <v>5.2300000000000003E-3</v>
      </c>
      <c r="BE68" s="81">
        <v>79.87</v>
      </c>
      <c r="BF68" s="81" t="s">
        <v>422</v>
      </c>
      <c r="BG68" s="167">
        <v>2E-16</v>
      </c>
      <c r="BH68" s="81" t="s">
        <v>389</v>
      </c>
      <c r="BP68" s="81" t="s">
        <v>408</v>
      </c>
      <c r="BQ68" s="167">
        <v>7.3200000000000001E-2</v>
      </c>
      <c r="BR68" s="167">
        <v>1.1100000000000001E-3</v>
      </c>
      <c r="BS68" s="81">
        <v>65.86</v>
      </c>
      <c r="BT68" s="81" t="s">
        <v>422</v>
      </c>
      <c r="BU68" s="167">
        <v>2E-16</v>
      </c>
      <c r="BV68" s="81" t="s">
        <v>389</v>
      </c>
      <c r="CT68" s="258" t="s">
        <v>442</v>
      </c>
      <c r="CU68" s="258" t="s">
        <v>444</v>
      </c>
      <c r="CV68" s="259">
        <v>0.20200000000000001</v>
      </c>
      <c r="CW68" s="259">
        <v>7.9100000000000004E-2</v>
      </c>
      <c r="CX68" s="258">
        <v>2.56</v>
      </c>
      <c r="CY68" s="258">
        <v>1.0619999999999999E-2</v>
      </c>
      <c r="CZ68" s="81" t="s">
        <v>434</v>
      </c>
      <c r="DB68" s="260" t="s">
        <v>467</v>
      </c>
      <c r="DC68" s="266" t="s">
        <v>429</v>
      </c>
      <c r="DD68" s="261" t="s">
        <v>323</v>
      </c>
      <c r="DE68" s="262">
        <f>CV95</f>
        <v>7.3200000000000001E-2</v>
      </c>
      <c r="DF68" s="260" t="s">
        <v>322</v>
      </c>
    </row>
    <row r="69" spans="54:110" thickTop="1" thickBot="1" x14ac:dyDescent="0.3">
      <c r="BB69" s="81" t="s">
        <v>408</v>
      </c>
      <c r="BC69" s="167">
        <v>0.126</v>
      </c>
      <c r="BD69" s="167">
        <v>1.1999999999999999E-3</v>
      </c>
      <c r="BE69" s="81">
        <v>104.99</v>
      </c>
      <c r="BF69" s="81" t="s">
        <v>422</v>
      </c>
      <c r="BG69" s="167">
        <v>2E-16</v>
      </c>
      <c r="BH69" s="81" t="s">
        <v>389</v>
      </c>
      <c r="BP69" s="81" t="s">
        <v>410</v>
      </c>
      <c r="BQ69" s="167">
        <v>219</v>
      </c>
      <c r="BR69" s="167">
        <v>4.1900000000000004</v>
      </c>
      <c r="BS69" s="81">
        <v>52.26</v>
      </c>
      <c r="BT69" s="81" t="s">
        <v>422</v>
      </c>
      <c r="BU69" s="167">
        <v>2E-16</v>
      </c>
      <c r="BV69" s="81" t="s">
        <v>389</v>
      </c>
      <c r="CT69" s="258" t="s">
        <v>442</v>
      </c>
      <c r="CU69" s="258" t="s">
        <v>341</v>
      </c>
      <c r="CV69" s="259">
        <v>6.2900000000000003E-7</v>
      </c>
      <c r="CW69" s="259">
        <v>4.5200000000000001E-5</v>
      </c>
      <c r="CX69" s="258">
        <v>0.01</v>
      </c>
      <c r="CY69" s="258">
        <v>0.98889000000000005</v>
      </c>
      <c r="DD69" s="261"/>
    </row>
    <row r="70" spans="54:110" thickTop="1" thickBot="1" x14ac:dyDescent="0.3">
      <c r="BB70" s="81" t="s">
        <v>410</v>
      </c>
      <c r="BC70" s="167">
        <v>568</v>
      </c>
      <c r="BD70" s="167">
        <v>16.100000000000001</v>
      </c>
      <c r="BE70" s="81">
        <v>35.270000000000003</v>
      </c>
      <c r="BF70" s="81" t="s">
        <v>422</v>
      </c>
      <c r="BG70" s="167">
        <v>2E-16</v>
      </c>
      <c r="BH70" s="81" t="s">
        <v>389</v>
      </c>
      <c r="BP70" s="81" t="s">
        <v>295</v>
      </c>
      <c r="BQ70" s="167">
        <v>85.9</v>
      </c>
      <c r="BR70" s="167">
        <v>0.65300000000000002</v>
      </c>
      <c r="BS70" s="81">
        <v>131.52000000000001</v>
      </c>
      <c r="BT70" s="81" t="s">
        <v>422</v>
      </c>
      <c r="BU70" s="167">
        <v>2E-16</v>
      </c>
      <c r="BV70" s="81" t="s">
        <v>389</v>
      </c>
      <c r="CT70" s="258" t="s">
        <v>442</v>
      </c>
      <c r="CU70" s="258" t="s">
        <v>445</v>
      </c>
      <c r="CV70" s="259">
        <v>0.77700000000000002</v>
      </c>
      <c r="CW70" s="259">
        <v>4.0300000000000002E-2</v>
      </c>
      <c r="CX70" s="258">
        <v>19.27</v>
      </c>
      <c r="CY70" s="258" t="s">
        <v>422</v>
      </c>
      <c r="CZ70" s="167">
        <v>2E-16</v>
      </c>
      <c r="DA70" s="81" t="s">
        <v>389</v>
      </c>
      <c r="DB70" s="260" t="s">
        <v>467</v>
      </c>
      <c r="DC70" s="266" t="s">
        <v>505</v>
      </c>
      <c r="DD70" s="261" t="s">
        <v>323</v>
      </c>
      <c r="DE70" s="262">
        <f>CV96</f>
        <v>218</v>
      </c>
      <c r="DF70" s="260" t="s">
        <v>322</v>
      </c>
    </row>
    <row r="71" spans="54:110" thickTop="1" thickBot="1" x14ac:dyDescent="0.3">
      <c r="BB71" s="81" t="s">
        <v>295</v>
      </c>
      <c r="BC71" s="167">
        <v>238</v>
      </c>
      <c r="BD71" s="167">
        <v>1.01</v>
      </c>
      <c r="BE71" s="81">
        <v>236.64</v>
      </c>
      <c r="BF71" s="81" t="s">
        <v>422</v>
      </c>
      <c r="BG71" s="167">
        <v>2E-16</v>
      </c>
      <c r="BH71" s="81" t="s">
        <v>389</v>
      </c>
      <c r="BP71" s="81" t="s">
        <v>120</v>
      </c>
      <c r="BQ71" s="167">
        <v>49.4</v>
      </c>
      <c r="BR71" s="167">
        <v>1.8</v>
      </c>
      <c r="BS71" s="81">
        <v>27.51</v>
      </c>
      <c r="BT71" s="81" t="s">
        <v>422</v>
      </c>
      <c r="BU71" s="167">
        <v>2E-16</v>
      </c>
      <c r="BV71" s="81" t="s">
        <v>389</v>
      </c>
      <c r="CT71" s="258" t="s">
        <v>442</v>
      </c>
      <c r="CU71" s="258" t="s">
        <v>446</v>
      </c>
      <c r="CV71" s="259">
        <v>0.65400000000000003</v>
      </c>
      <c r="CW71" s="259">
        <v>6.2899999999999998E-2</v>
      </c>
      <c r="CX71" s="258">
        <v>10.39</v>
      </c>
      <c r="CY71" s="258" t="s">
        <v>422</v>
      </c>
      <c r="CZ71" s="167">
        <v>2E-16</v>
      </c>
      <c r="DA71" s="81" t="s">
        <v>389</v>
      </c>
      <c r="DB71" s="260" t="s">
        <v>467</v>
      </c>
      <c r="DC71" s="266" t="s">
        <v>354</v>
      </c>
      <c r="DD71" s="261" t="s">
        <v>323</v>
      </c>
      <c r="DE71" s="262">
        <f>CV97</f>
        <v>86.2</v>
      </c>
      <c r="DF71" s="260" t="s">
        <v>322</v>
      </c>
    </row>
    <row r="72" spans="54:110" thickTop="1" thickBot="1" x14ac:dyDescent="0.3">
      <c r="BB72" s="81" t="s">
        <v>120</v>
      </c>
      <c r="BC72" s="167">
        <v>58</v>
      </c>
      <c r="BD72" s="167">
        <v>0.107</v>
      </c>
      <c r="BE72" s="81">
        <v>543.78</v>
      </c>
      <c r="BF72" s="81" t="s">
        <v>422</v>
      </c>
      <c r="BG72" s="167">
        <v>2E-16</v>
      </c>
      <c r="BH72" s="81" t="s">
        <v>389</v>
      </c>
      <c r="BP72" s="81" t="s">
        <v>412</v>
      </c>
      <c r="BQ72" s="167">
        <v>-4.6100000000000003</v>
      </c>
      <c r="BR72" s="167">
        <v>2.1399999999999999E-2</v>
      </c>
      <c r="BS72" s="81">
        <v>-215.25</v>
      </c>
      <c r="BT72" s="81" t="s">
        <v>422</v>
      </c>
      <c r="BU72" s="167">
        <v>2E-16</v>
      </c>
      <c r="BV72" s="81" t="s">
        <v>389</v>
      </c>
      <c r="CT72" s="258" t="s">
        <v>442</v>
      </c>
      <c r="CU72" s="258" t="s">
        <v>447</v>
      </c>
      <c r="CV72" s="259">
        <v>0.23499999999999999</v>
      </c>
      <c r="CW72" s="259">
        <v>1.24E-2</v>
      </c>
      <c r="CX72" s="258">
        <v>18.96</v>
      </c>
      <c r="CY72" s="258" t="s">
        <v>422</v>
      </c>
      <c r="CZ72" s="167">
        <v>2E-16</v>
      </c>
      <c r="DA72" s="81" t="s">
        <v>389</v>
      </c>
      <c r="DB72" s="260" t="s">
        <v>467</v>
      </c>
      <c r="DC72" s="266" t="s">
        <v>355</v>
      </c>
      <c r="DD72" s="261" t="s">
        <v>323</v>
      </c>
      <c r="DE72" s="262">
        <f>CV98</f>
        <v>51.1</v>
      </c>
      <c r="DF72" s="260" t="s">
        <v>322</v>
      </c>
    </row>
    <row r="73" spans="54:110" thickTop="1" thickBot="1" x14ac:dyDescent="0.3">
      <c r="BB73" s="81" t="s">
        <v>412</v>
      </c>
      <c r="BC73" s="167">
        <v>-15.3</v>
      </c>
      <c r="BD73" s="167">
        <v>0.30099999999999999</v>
      </c>
      <c r="BE73" s="81">
        <v>-50.74</v>
      </c>
      <c r="BF73" s="81" t="s">
        <v>422</v>
      </c>
      <c r="BG73" s="167">
        <v>2E-16</v>
      </c>
      <c r="BH73" s="81" t="s">
        <v>389</v>
      </c>
      <c r="BP73" s="81" t="s">
        <v>413</v>
      </c>
      <c r="BQ73" s="167">
        <v>-4.8499999999999996</v>
      </c>
      <c r="BR73" s="167">
        <v>2.2599999999999999E-2</v>
      </c>
      <c r="BS73" s="81">
        <v>-214.32</v>
      </c>
      <c r="BT73" s="81" t="s">
        <v>422</v>
      </c>
      <c r="BU73" s="167">
        <v>2E-16</v>
      </c>
      <c r="BV73" s="81" t="s">
        <v>389</v>
      </c>
      <c r="CT73" s="258" t="s">
        <v>442</v>
      </c>
      <c r="CU73" s="258" t="s">
        <v>342</v>
      </c>
      <c r="CV73" s="259">
        <v>0.309</v>
      </c>
      <c r="CW73" s="259">
        <v>4.1300000000000003E-2</v>
      </c>
      <c r="CX73" s="258">
        <v>7.48</v>
      </c>
      <c r="CY73" s="259">
        <v>9.1000000000000004E-14</v>
      </c>
      <c r="CZ73" s="81" t="s">
        <v>389</v>
      </c>
      <c r="DB73" s="260" t="s">
        <v>467</v>
      </c>
      <c r="DC73" s="266" t="s">
        <v>357</v>
      </c>
      <c r="DD73" s="261" t="s">
        <v>323</v>
      </c>
      <c r="DE73" s="262">
        <f>1/CV103</f>
        <v>353.35689045936397</v>
      </c>
      <c r="DF73" s="260" t="s">
        <v>322</v>
      </c>
    </row>
    <row r="74" spans="54:110" thickTop="1" thickBot="1" x14ac:dyDescent="0.3">
      <c r="BB74" s="81" t="s">
        <v>413</v>
      </c>
      <c r="BC74" s="167">
        <v>-5.4</v>
      </c>
      <c r="BD74" s="167">
        <v>2.6700000000000002E-2</v>
      </c>
      <c r="BE74" s="81">
        <v>-202.07</v>
      </c>
      <c r="BF74" s="81" t="s">
        <v>422</v>
      </c>
      <c r="BG74" s="167">
        <v>2E-16</v>
      </c>
      <c r="BH74" s="81" t="s">
        <v>389</v>
      </c>
      <c r="BP74" s="81" t="s">
        <v>414</v>
      </c>
      <c r="BQ74" s="167">
        <v>-5.68</v>
      </c>
      <c r="BR74" s="167">
        <v>2.2200000000000001E-2</v>
      </c>
      <c r="BS74" s="81">
        <v>-255.8</v>
      </c>
      <c r="BT74" s="81" t="s">
        <v>422</v>
      </c>
      <c r="BU74" s="167">
        <v>2E-16</v>
      </c>
      <c r="BV74" s="81" t="s">
        <v>389</v>
      </c>
      <c r="CT74" s="258" t="s">
        <v>442</v>
      </c>
      <c r="CU74" s="258" t="s">
        <v>448</v>
      </c>
      <c r="CV74" s="259">
        <v>0.17599999999999999</v>
      </c>
      <c r="CW74" s="259">
        <v>7.1799999999999998E-3</v>
      </c>
      <c r="CX74" s="258">
        <v>24.43</v>
      </c>
      <c r="CY74" s="258" t="s">
        <v>422</v>
      </c>
      <c r="CZ74" s="167">
        <v>2E-16</v>
      </c>
      <c r="DA74" s="81" t="s">
        <v>389</v>
      </c>
      <c r="DD74" s="261"/>
    </row>
    <row r="75" spans="54:110" thickTop="1" thickBot="1" x14ac:dyDescent="0.3">
      <c r="BB75" s="81" t="s">
        <v>414</v>
      </c>
      <c r="BC75" s="167">
        <v>-7.38</v>
      </c>
      <c r="BD75" s="167">
        <v>2.1499999999999998E-2</v>
      </c>
      <c r="BE75" s="81">
        <v>-343.38</v>
      </c>
      <c r="BF75" s="81" t="s">
        <v>422</v>
      </c>
      <c r="BG75" s="167">
        <v>2E-16</v>
      </c>
      <c r="BH75" s="81" t="s">
        <v>389</v>
      </c>
      <c r="BP75" s="81" t="s">
        <v>415</v>
      </c>
      <c r="BQ75" s="167">
        <v>-5.31</v>
      </c>
      <c r="BR75" s="167">
        <v>2.2599999999999999E-2</v>
      </c>
      <c r="BS75" s="81">
        <v>-234.52</v>
      </c>
      <c r="BT75" s="81" t="s">
        <v>422</v>
      </c>
      <c r="BU75" s="167">
        <v>2E-16</v>
      </c>
      <c r="BV75" s="81" t="s">
        <v>389</v>
      </c>
      <c r="CT75" s="258" t="s">
        <v>442</v>
      </c>
      <c r="CU75" s="258" t="s">
        <v>449</v>
      </c>
      <c r="CV75" s="259">
        <v>0.13</v>
      </c>
      <c r="CW75" s="259">
        <v>1.12E-2</v>
      </c>
      <c r="CX75" s="258">
        <v>11.62</v>
      </c>
      <c r="CY75" s="258" t="s">
        <v>422</v>
      </c>
      <c r="CZ75" s="167">
        <v>2E-16</v>
      </c>
      <c r="DA75" s="81" t="s">
        <v>389</v>
      </c>
      <c r="DB75" s="260" t="s">
        <v>467</v>
      </c>
      <c r="DC75" s="266" t="s">
        <v>424</v>
      </c>
      <c r="DD75" s="261" t="s">
        <v>323</v>
      </c>
      <c r="DE75" s="262">
        <f>CV116</f>
        <v>19200000</v>
      </c>
      <c r="DF75" s="260" t="s">
        <v>322</v>
      </c>
    </row>
    <row r="76" spans="54:110" thickTop="1" thickBot="1" x14ac:dyDescent="0.3">
      <c r="BB76" s="81" t="s">
        <v>415</v>
      </c>
      <c r="BC76" s="167">
        <v>-6.87</v>
      </c>
      <c r="BD76" s="167">
        <v>1.9699999999999999E-2</v>
      </c>
      <c r="BE76" s="81">
        <v>-347.91</v>
      </c>
      <c r="BF76" s="81" t="s">
        <v>422</v>
      </c>
      <c r="BG76" s="167">
        <v>2E-16</v>
      </c>
      <c r="BH76" s="81" t="s">
        <v>389</v>
      </c>
      <c r="BP76" s="81" t="s">
        <v>417</v>
      </c>
      <c r="BQ76" s="167">
        <v>2.8500000000000001E-3</v>
      </c>
      <c r="BR76" s="167">
        <v>7.6799999999999997E-5</v>
      </c>
      <c r="BS76" s="81">
        <v>37.07</v>
      </c>
      <c r="BT76" s="81" t="s">
        <v>422</v>
      </c>
      <c r="BU76" s="167">
        <v>2E-16</v>
      </c>
      <c r="BV76" s="81" t="s">
        <v>389</v>
      </c>
      <c r="CT76" s="258" t="s">
        <v>442</v>
      </c>
      <c r="CU76" s="258" t="s">
        <v>450</v>
      </c>
      <c r="CV76" s="259">
        <v>0.253</v>
      </c>
      <c r="CW76" s="259">
        <v>0.158</v>
      </c>
      <c r="CX76" s="258">
        <v>1.6</v>
      </c>
      <c r="CY76" s="258">
        <v>0.1087</v>
      </c>
      <c r="DB76" s="260" t="s">
        <v>467</v>
      </c>
      <c r="DC76" s="266" t="s">
        <v>364</v>
      </c>
      <c r="DD76" s="261" t="s">
        <v>323</v>
      </c>
      <c r="DE76" s="262">
        <f>CV117</f>
        <v>65100000</v>
      </c>
      <c r="DF76" s="260" t="s">
        <v>322</v>
      </c>
    </row>
    <row r="77" spans="54:110" thickTop="1" thickBot="1" x14ac:dyDescent="0.3">
      <c r="BB77" s="81" t="s">
        <v>417</v>
      </c>
      <c r="BC77" s="167">
        <v>4.64E-3</v>
      </c>
      <c r="BD77" s="167">
        <v>2.4600000000000002E-5</v>
      </c>
      <c r="BE77" s="81">
        <v>188.79</v>
      </c>
      <c r="BF77" s="81" t="s">
        <v>422</v>
      </c>
      <c r="BG77" s="167">
        <v>2E-16</v>
      </c>
      <c r="BH77" s="81" t="s">
        <v>389</v>
      </c>
      <c r="BP77" s="81" t="s">
        <v>418</v>
      </c>
      <c r="BQ77" s="167">
        <v>170</v>
      </c>
      <c r="BR77" s="167">
        <v>1.77</v>
      </c>
      <c r="BS77" s="81">
        <v>96.07</v>
      </c>
      <c r="BT77" s="81" t="s">
        <v>422</v>
      </c>
      <c r="BU77" s="167">
        <v>2E-16</v>
      </c>
      <c r="BV77" s="81" t="s">
        <v>389</v>
      </c>
      <c r="CT77" s="258" t="s">
        <v>442</v>
      </c>
      <c r="CU77" s="258" t="s">
        <v>343</v>
      </c>
      <c r="CV77" s="259">
        <v>4.2300000000000004E-12</v>
      </c>
      <c r="CW77" s="259">
        <v>4.0999999999999998E-10</v>
      </c>
      <c r="CX77" s="258">
        <v>0.01</v>
      </c>
      <c r="CY77" s="258">
        <v>0.99177999999999999</v>
      </c>
      <c r="DB77" s="260" t="s">
        <v>467</v>
      </c>
      <c r="DC77" s="266" t="s">
        <v>370</v>
      </c>
      <c r="DD77" s="261" t="s">
        <v>323</v>
      </c>
      <c r="DE77" s="262">
        <f>CV122</f>
        <v>198</v>
      </c>
      <c r="DF77" s="260" t="s">
        <v>322</v>
      </c>
    </row>
    <row r="78" spans="54:110" thickTop="1" thickBot="1" x14ac:dyDescent="0.3">
      <c r="BB78" s="81" t="s">
        <v>418</v>
      </c>
      <c r="BC78" s="167">
        <v>492</v>
      </c>
      <c r="BD78" s="167">
        <v>2.67</v>
      </c>
      <c r="BE78" s="81">
        <v>184.53</v>
      </c>
      <c r="BF78" s="81" t="s">
        <v>422</v>
      </c>
      <c r="BG78" s="167">
        <v>2E-16</v>
      </c>
      <c r="BH78" s="81" t="s">
        <v>389</v>
      </c>
      <c r="BP78" s="81" t="s">
        <v>419</v>
      </c>
      <c r="BQ78" s="167">
        <v>1380</v>
      </c>
      <c r="BR78" s="167">
        <v>946</v>
      </c>
      <c r="BS78" s="81">
        <v>1.46</v>
      </c>
      <c r="BT78" s="81">
        <v>0.14507999999999999</v>
      </c>
      <c r="CT78" s="258" t="s">
        <v>442</v>
      </c>
      <c r="CU78" s="258" t="s">
        <v>451</v>
      </c>
      <c r="CV78" s="259">
        <v>2.4899999999999999E-2</v>
      </c>
      <c r="CW78" s="259">
        <v>8.9399999999999993E-2</v>
      </c>
      <c r="CX78" s="258">
        <v>0.28000000000000003</v>
      </c>
      <c r="CY78" s="258">
        <v>0.78047</v>
      </c>
      <c r="DB78" s="260" t="s">
        <v>467</v>
      </c>
      <c r="DC78" s="266" t="s">
        <v>372</v>
      </c>
      <c r="DD78" s="261" t="s">
        <v>323</v>
      </c>
      <c r="DE78" s="262">
        <f>CV123</f>
        <v>3.48E-4</v>
      </c>
      <c r="DF78" s="260" t="s">
        <v>322</v>
      </c>
    </row>
    <row r="79" spans="54:110" thickTop="1" thickBot="1" x14ac:dyDescent="0.3">
      <c r="BB79" s="81" t="s">
        <v>419</v>
      </c>
      <c r="BC79" s="167">
        <v>210</v>
      </c>
      <c r="BD79" s="167">
        <v>7.91</v>
      </c>
      <c r="BE79" s="81">
        <v>26.58</v>
      </c>
      <c r="BF79" s="81" t="s">
        <v>422</v>
      </c>
      <c r="BG79" s="167">
        <v>2E-16</v>
      </c>
      <c r="BH79" s="81" t="s">
        <v>389</v>
      </c>
      <c r="CT79" s="258" t="s">
        <v>442</v>
      </c>
      <c r="CU79" s="258" t="s">
        <v>452</v>
      </c>
      <c r="CV79" s="259">
        <v>0.114</v>
      </c>
      <c r="CW79" s="259">
        <v>0.14199999999999999</v>
      </c>
      <c r="CX79" s="258">
        <v>0.8</v>
      </c>
      <c r="CY79" s="258">
        <v>0.42087999999999998</v>
      </c>
      <c r="DB79" s="260" t="s">
        <v>467</v>
      </c>
      <c r="DC79" s="266" t="s">
        <v>374</v>
      </c>
      <c r="DD79" s="261" t="s">
        <v>323</v>
      </c>
      <c r="DE79" s="262">
        <f>CV124</f>
        <v>221</v>
      </c>
      <c r="DF79" s="260" t="s">
        <v>322</v>
      </c>
    </row>
    <row r="80" spans="54:110" thickTop="1" thickBot="1" x14ac:dyDescent="0.3">
      <c r="BP80" s="81" t="s">
        <v>433</v>
      </c>
      <c r="BQ80" s="81" t="s">
        <v>435</v>
      </c>
      <c r="CT80" s="258" t="s">
        <v>442</v>
      </c>
      <c r="CU80" s="258" t="s">
        <v>453</v>
      </c>
      <c r="CV80" s="259">
        <v>0.52500000000000002</v>
      </c>
      <c r="CW80" s="259">
        <v>3.5099999999999999E-2</v>
      </c>
      <c r="CX80" s="258">
        <v>14.97</v>
      </c>
      <c r="CY80" s="258" t="s">
        <v>422</v>
      </c>
      <c r="CZ80" s="167">
        <v>2E-16</v>
      </c>
      <c r="DA80" s="81" t="s">
        <v>389</v>
      </c>
    </row>
    <row r="81" spans="54:105" thickTop="1" thickBot="1" x14ac:dyDescent="0.3">
      <c r="BP81" s="81" t="s">
        <v>380</v>
      </c>
      <c r="CT81" s="258" t="s">
        <v>442</v>
      </c>
      <c r="CU81" s="258" t="s">
        <v>454</v>
      </c>
      <c r="CV81" s="259">
        <v>1</v>
      </c>
      <c r="CW81" s="259">
        <v>0.114</v>
      </c>
      <c r="CX81" s="258">
        <v>8.81</v>
      </c>
      <c r="CY81" s="258" t="s">
        <v>422</v>
      </c>
      <c r="CZ81" s="167">
        <v>2E-16</v>
      </c>
      <c r="DA81" s="81" t="s">
        <v>389</v>
      </c>
    </row>
    <row r="82" spans="54:105" thickTop="1" thickBot="1" x14ac:dyDescent="0.3">
      <c r="BC82" s="81" t="s">
        <v>431</v>
      </c>
      <c r="BP82" s="81" t="s">
        <v>381</v>
      </c>
      <c r="BQ82" s="81" t="s">
        <v>382</v>
      </c>
      <c r="BR82" s="81" t="s">
        <v>383</v>
      </c>
      <c r="BS82" s="81" t="s">
        <v>384</v>
      </c>
      <c r="BT82" s="81" t="s">
        <v>385</v>
      </c>
      <c r="BU82" s="81" t="s">
        <v>386</v>
      </c>
      <c r="CT82" s="258" t="s">
        <v>442</v>
      </c>
      <c r="CU82" s="258" t="s">
        <v>455</v>
      </c>
      <c r="CV82" s="259">
        <v>0.309</v>
      </c>
      <c r="CW82" s="259">
        <v>1.9800000000000002E-2</v>
      </c>
      <c r="CX82" s="258">
        <v>15.65</v>
      </c>
      <c r="CY82" s="258" t="s">
        <v>422</v>
      </c>
      <c r="CZ82" s="167">
        <v>2E-16</v>
      </c>
      <c r="DA82" s="81" t="s">
        <v>389</v>
      </c>
    </row>
    <row r="83" spans="54:105" thickTop="1" thickBot="1" x14ac:dyDescent="0.3">
      <c r="BC83" s="167">
        <v>297</v>
      </c>
      <c r="BD83" s="167">
        <v>8.0100000000000005E-2</v>
      </c>
      <c r="BE83" s="81">
        <v>3708.09</v>
      </c>
      <c r="BF83" s="81" t="s">
        <v>388</v>
      </c>
      <c r="BG83" s="81" t="s">
        <v>389</v>
      </c>
      <c r="BP83" s="81" t="s">
        <v>436</v>
      </c>
      <c r="BQ83" s="167">
        <v>290</v>
      </c>
      <c r="BR83" s="167">
        <v>0.36799999999999999</v>
      </c>
      <c r="BS83" s="81">
        <v>790.07</v>
      </c>
      <c r="BT83" s="81" t="s">
        <v>422</v>
      </c>
      <c r="BU83" s="167">
        <v>2E-16</v>
      </c>
      <c r="BV83" s="81" t="s">
        <v>389</v>
      </c>
      <c r="CT83" s="258" t="s">
        <v>442</v>
      </c>
      <c r="CU83" s="258" t="s">
        <v>456</v>
      </c>
      <c r="CV83" s="259">
        <v>0.25900000000000001</v>
      </c>
      <c r="CW83" s="259">
        <v>3.2300000000000002E-2</v>
      </c>
      <c r="CX83" s="258">
        <v>8.02</v>
      </c>
      <c r="CY83" s="259">
        <v>1.3E-15</v>
      </c>
      <c r="CZ83" s="81" t="s">
        <v>389</v>
      </c>
    </row>
    <row r="84" spans="54:105" thickTop="1" thickBot="1" x14ac:dyDescent="0.3">
      <c r="BB84" s="81" t="s">
        <v>423</v>
      </c>
      <c r="BC84" s="167">
        <v>294</v>
      </c>
      <c r="BD84" s="167">
        <v>4.2999999999999997E-2</v>
      </c>
      <c r="BE84" s="81">
        <v>6835.63</v>
      </c>
      <c r="BF84" s="81" t="s">
        <v>388</v>
      </c>
      <c r="BG84" s="81" t="s">
        <v>389</v>
      </c>
      <c r="BP84" s="81" t="s">
        <v>423</v>
      </c>
      <c r="BQ84" s="167">
        <v>292</v>
      </c>
      <c r="BR84" s="167">
        <v>0.36699999999999999</v>
      </c>
      <c r="BS84" s="81">
        <v>796.23</v>
      </c>
      <c r="BT84" s="81" t="s">
        <v>422</v>
      </c>
      <c r="BU84" s="167">
        <v>2E-16</v>
      </c>
      <c r="BV84" s="81" t="s">
        <v>389</v>
      </c>
      <c r="CT84" s="258" t="s">
        <v>442</v>
      </c>
      <c r="CU84" s="258" t="s">
        <v>308</v>
      </c>
      <c r="CV84" s="259">
        <v>990000000</v>
      </c>
      <c r="CW84" s="259">
        <v>160000000</v>
      </c>
      <c r="CX84" s="258">
        <v>6.19</v>
      </c>
      <c r="CY84" s="259">
        <v>6.6E-10</v>
      </c>
      <c r="CZ84" s="81" t="s">
        <v>389</v>
      </c>
    </row>
    <row r="85" spans="54:105" thickTop="1" thickBot="1" x14ac:dyDescent="0.3">
      <c r="BB85" s="81" t="s">
        <v>358</v>
      </c>
      <c r="BC85" s="167">
        <v>0.09</v>
      </c>
      <c r="BD85" s="167">
        <v>1.75E-3</v>
      </c>
      <c r="BE85" s="81">
        <v>51.34</v>
      </c>
      <c r="BF85" s="81" t="s">
        <v>388</v>
      </c>
      <c r="BG85" s="81" t="s">
        <v>389</v>
      </c>
      <c r="BP85" s="81" t="s">
        <v>358</v>
      </c>
      <c r="BQ85" s="167">
        <v>1.24E-7</v>
      </c>
      <c r="BR85" s="167">
        <v>2.21E-6</v>
      </c>
      <c r="BS85" s="81">
        <v>0.06</v>
      </c>
      <c r="BT85" s="81">
        <v>0.96</v>
      </c>
      <c r="CT85" s="258" t="s">
        <v>442</v>
      </c>
      <c r="CU85" s="258" t="s">
        <v>399</v>
      </c>
      <c r="CV85" s="259">
        <v>766000</v>
      </c>
      <c r="CW85" s="259">
        <v>21000</v>
      </c>
      <c r="CX85" s="258">
        <v>36.47</v>
      </c>
      <c r="CY85" s="258" t="s">
        <v>422</v>
      </c>
      <c r="CZ85" s="167">
        <v>2E-16</v>
      </c>
      <c r="DA85" s="81" t="s">
        <v>389</v>
      </c>
    </row>
    <row r="86" spans="54:105" thickTop="1" thickBot="1" x14ac:dyDescent="0.3">
      <c r="BB86" s="81" t="s">
        <v>360</v>
      </c>
      <c r="BC86" s="167">
        <v>0.192</v>
      </c>
      <c r="BD86" s="167">
        <v>3.5400000000000002E-3</v>
      </c>
      <c r="BE86" s="81">
        <v>54.37</v>
      </c>
      <c r="BF86" s="81" t="s">
        <v>388</v>
      </c>
      <c r="BG86" s="81" t="s">
        <v>389</v>
      </c>
      <c r="BP86" s="81" t="s">
        <v>360</v>
      </c>
      <c r="BQ86" s="167">
        <v>4.1799999999999997E-8</v>
      </c>
      <c r="BR86" s="167">
        <v>8.2999999999999999E-7</v>
      </c>
      <c r="BS86" s="81">
        <v>0.05</v>
      </c>
      <c r="BT86" s="81">
        <v>0.96</v>
      </c>
      <c r="CT86" s="258" t="s">
        <v>442</v>
      </c>
      <c r="CU86" s="258" t="s">
        <v>301</v>
      </c>
      <c r="CV86" s="259">
        <v>8780000</v>
      </c>
      <c r="CW86" s="259">
        <v>795000</v>
      </c>
      <c r="CX86" s="258">
        <v>11.04</v>
      </c>
      <c r="CY86" s="258" t="s">
        <v>422</v>
      </c>
      <c r="CZ86" s="167">
        <v>2E-16</v>
      </c>
      <c r="DA86" s="81" t="s">
        <v>389</v>
      </c>
    </row>
    <row r="87" spans="54:105" thickTop="1" thickBot="1" x14ac:dyDescent="0.3">
      <c r="BB87" s="81" t="s">
        <v>424</v>
      </c>
      <c r="BC87" s="167">
        <v>8270000</v>
      </c>
      <c r="BD87" s="167">
        <v>124000</v>
      </c>
      <c r="BE87" s="81">
        <v>66.77</v>
      </c>
      <c r="BF87" s="81" t="s">
        <v>388</v>
      </c>
      <c r="BG87" s="81" t="s">
        <v>389</v>
      </c>
      <c r="BP87" s="81" t="s">
        <v>424</v>
      </c>
      <c r="BQ87" s="167">
        <v>19200000</v>
      </c>
      <c r="BR87" s="167">
        <v>2600000</v>
      </c>
      <c r="BS87" s="81">
        <v>7.38</v>
      </c>
      <c r="BT87" s="167">
        <v>2.0999999999999999E-13</v>
      </c>
      <c r="BU87" s="81" t="s">
        <v>389</v>
      </c>
      <c r="CT87" s="258" t="s">
        <v>442</v>
      </c>
      <c r="CU87" s="258" t="s">
        <v>303</v>
      </c>
      <c r="CV87" s="259">
        <v>15100000</v>
      </c>
      <c r="CW87" s="259">
        <v>4420000</v>
      </c>
      <c r="CX87" s="258">
        <v>3.42</v>
      </c>
      <c r="CY87" s="258">
        <v>6.3000000000000003E-4</v>
      </c>
      <c r="CZ87" s="81" t="s">
        <v>389</v>
      </c>
    </row>
    <row r="88" spans="54:105" thickTop="1" thickBot="1" x14ac:dyDescent="0.3">
      <c r="BB88" s="81" t="s">
        <v>364</v>
      </c>
      <c r="BC88" s="167">
        <v>25000000</v>
      </c>
      <c r="BD88" s="167">
        <v>376000</v>
      </c>
      <c r="BE88" s="81">
        <v>66.52</v>
      </c>
      <c r="BF88" s="81" t="s">
        <v>388</v>
      </c>
      <c r="BG88" s="81" t="s">
        <v>389</v>
      </c>
      <c r="CT88" s="258" t="s">
        <v>442</v>
      </c>
      <c r="CU88" s="258" t="s">
        <v>400</v>
      </c>
      <c r="CV88" s="259">
        <v>-18</v>
      </c>
      <c r="CW88" s="259">
        <v>17.399999999999999</v>
      </c>
      <c r="CX88" s="258">
        <v>-1.03</v>
      </c>
      <c r="CY88" s="258">
        <v>0.30201</v>
      </c>
    </row>
    <row r="89" spans="54:105" thickTop="1" thickBot="1" x14ac:dyDescent="0.3">
      <c r="BB89" s="81" t="s">
        <v>404</v>
      </c>
      <c r="BC89" s="167">
        <v>3.73</v>
      </c>
      <c r="BD89" s="167">
        <v>1.42</v>
      </c>
      <c r="BE89" s="81">
        <v>2.62</v>
      </c>
      <c r="BF89" s="81">
        <v>8.6999999999999994E-3</v>
      </c>
      <c r="BG89" s="81" t="s">
        <v>425</v>
      </c>
      <c r="BP89" s="81" t="s">
        <v>364</v>
      </c>
      <c r="BQ89" s="167">
        <v>65100000</v>
      </c>
      <c r="BR89" s="167">
        <v>33200000</v>
      </c>
      <c r="BS89" s="81">
        <v>1.96</v>
      </c>
      <c r="BT89" s="81">
        <v>0.05</v>
      </c>
      <c r="BU89" s="81" t="s">
        <v>434</v>
      </c>
      <c r="CT89" s="258" t="s">
        <v>442</v>
      </c>
      <c r="CU89" s="258" t="s">
        <v>401</v>
      </c>
      <c r="CV89" s="259">
        <v>-12.5</v>
      </c>
      <c r="CW89" s="259">
        <v>439</v>
      </c>
      <c r="CX89" s="258">
        <v>-0.03</v>
      </c>
      <c r="CY89" s="258">
        <v>0.97736000000000001</v>
      </c>
    </row>
    <row r="90" spans="54:105" thickTop="1" thickBot="1" x14ac:dyDescent="0.3">
      <c r="BB90" s="81" t="s">
        <v>426</v>
      </c>
      <c r="BC90" s="167">
        <v>-13.1</v>
      </c>
      <c r="BD90" s="167">
        <v>7.16</v>
      </c>
      <c r="BE90" s="81">
        <v>-1.83</v>
      </c>
      <c r="BF90" s="81">
        <v>6.7599999999999993E-2</v>
      </c>
      <c r="BG90" s="81" t="s">
        <v>427</v>
      </c>
      <c r="BP90" s="81" t="s">
        <v>404</v>
      </c>
      <c r="BQ90" s="167">
        <v>8.17</v>
      </c>
      <c r="BR90" s="167">
        <v>7.2700000000000001E-2</v>
      </c>
      <c r="BS90" s="81">
        <v>112.45</v>
      </c>
      <c r="BT90" s="81" t="s">
        <v>422</v>
      </c>
      <c r="BU90" s="167">
        <v>2E-16</v>
      </c>
      <c r="BV90" s="81" t="s">
        <v>389</v>
      </c>
      <c r="CT90" s="258" t="s">
        <v>442</v>
      </c>
      <c r="CU90" s="258" t="s">
        <v>402</v>
      </c>
      <c r="CV90" s="259">
        <v>-12.7</v>
      </c>
      <c r="CW90" s="259">
        <v>538</v>
      </c>
      <c r="CX90" s="258">
        <v>-0.02</v>
      </c>
      <c r="CY90" s="258">
        <v>0.98109000000000002</v>
      </c>
    </row>
    <row r="91" spans="54:105" thickTop="1" thickBot="1" x14ac:dyDescent="0.3">
      <c r="BB91" s="81" t="s">
        <v>428</v>
      </c>
      <c r="BC91" s="167">
        <v>6.5799999999999997E-2</v>
      </c>
      <c r="BD91" s="167">
        <v>7.0699999999999995E-4</v>
      </c>
      <c r="BE91" s="81">
        <v>93.12</v>
      </c>
      <c r="BF91" s="81" t="s">
        <v>388</v>
      </c>
      <c r="BG91" s="81" t="s">
        <v>389</v>
      </c>
      <c r="BP91" s="81" t="s">
        <v>426</v>
      </c>
      <c r="BQ91" s="167">
        <v>7.12</v>
      </c>
      <c r="BR91" s="167">
        <v>0.13500000000000001</v>
      </c>
      <c r="BS91" s="81">
        <v>52.65</v>
      </c>
      <c r="BT91" s="81" t="s">
        <v>422</v>
      </c>
      <c r="BU91" s="167">
        <v>2E-16</v>
      </c>
      <c r="BV91" s="81" t="s">
        <v>389</v>
      </c>
      <c r="CT91" s="258" t="s">
        <v>442</v>
      </c>
      <c r="CU91" s="258" t="s">
        <v>403</v>
      </c>
      <c r="CV91" s="259">
        <v>-12.2</v>
      </c>
      <c r="CW91" s="259">
        <v>64.3</v>
      </c>
      <c r="CX91" s="258">
        <v>-0.19</v>
      </c>
      <c r="CY91" s="258">
        <v>0.84916999999999998</v>
      </c>
    </row>
    <row r="92" spans="54:105" thickTop="1" thickBot="1" x14ac:dyDescent="0.3">
      <c r="BB92" s="81" t="s">
        <v>429</v>
      </c>
      <c r="BC92" s="167">
        <v>0.11799999999999999</v>
      </c>
      <c r="BD92" s="167">
        <v>1.1299999999999999E-3</v>
      </c>
      <c r="BE92" s="81">
        <v>104.59</v>
      </c>
      <c r="BF92" s="81" t="s">
        <v>388</v>
      </c>
      <c r="BG92" s="81" t="s">
        <v>389</v>
      </c>
      <c r="BP92" s="81" t="s">
        <v>416</v>
      </c>
      <c r="BQ92" s="167">
        <v>-5.0599999999999996</v>
      </c>
      <c r="BR92" s="167">
        <v>5.1200000000000002E-2</v>
      </c>
      <c r="BS92" s="81">
        <v>-98.95</v>
      </c>
      <c r="BT92" s="81" t="s">
        <v>422</v>
      </c>
      <c r="BU92" s="167">
        <v>2E-16</v>
      </c>
      <c r="BV92" s="81" t="s">
        <v>389</v>
      </c>
      <c r="CT92" s="258" t="s">
        <v>442</v>
      </c>
      <c r="CU92" s="258" t="s">
        <v>405</v>
      </c>
      <c r="CV92" s="259">
        <v>0.23100000000000001</v>
      </c>
      <c r="CW92" s="259">
        <v>2.3800000000000002E-3</v>
      </c>
      <c r="CX92" s="258">
        <v>97.12</v>
      </c>
      <c r="CY92" s="258" t="s">
        <v>422</v>
      </c>
      <c r="CZ92" s="167">
        <v>2E-16</v>
      </c>
      <c r="DA92" s="81" t="s">
        <v>389</v>
      </c>
    </row>
    <row r="93" spans="54:105" thickTop="1" thickBot="1" x14ac:dyDescent="0.3">
      <c r="BB93" s="81" t="s">
        <v>416</v>
      </c>
      <c r="BC93" s="167">
        <v>-6.92</v>
      </c>
      <c r="BD93" s="167">
        <v>2.1600000000000001E-2</v>
      </c>
      <c r="BE93" s="81">
        <v>-319.69</v>
      </c>
      <c r="BF93" s="81" t="s">
        <v>388</v>
      </c>
      <c r="BG93" s="81" t="s">
        <v>389</v>
      </c>
      <c r="BP93" s="81" t="s">
        <v>430</v>
      </c>
      <c r="BQ93" s="167">
        <v>-4.8899999999999997</v>
      </c>
      <c r="BR93" s="167">
        <v>3.73E-2</v>
      </c>
      <c r="BS93" s="81">
        <v>-131.12</v>
      </c>
      <c r="BT93" s="81" t="s">
        <v>422</v>
      </c>
      <c r="BU93" s="167">
        <v>2E-16</v>
      </c>
      <c r="BV93" s="81" t="s">
        <v>389</v>
      </c>
      <c r="CT93" s="258" t="s">
        <v>442</v>
      </c>
      <c r="CU93" s="258" t="s">
        <v>406</v>
      </c>
      <c r="CV93" s="259">
        <v>4.8500000000000001E-2</v>
      </c>
      <c r="CW93" s="259">
        <v>4.0299999999999998E-4</v>
      </c>
      <c r="CX93" s="258">
        <v>120.43</v>
      </c>
      <c r="CY93" s="258" t="s">
        <v>422</v>
      </c>
      <c r="CZ93" s="167">
        <v>2E-16</v>
      </c>
      <c r="DA93" s="81" t="s">
        <v>389</v>
      </c>
    </row>
    <row r="94" spans="54:105" thickTop="1" thickBot="1" x14ac:dyDescent="0.3">
      <c r="BB94" s="81" t="s">
        <v>430</v>
      </c>
      <c r="BC94" s="167">
        <v>-6.23</v>
      </c>
      <c r="BD94" s="167">
        <v>3.3000000000000002E-2</v>
      </c>
      <c r="BE94" s="81">
        <v>-188.82</v>
      </c>
      <c r="BF94" s="81" t="s">
        <v>388</v>
      </c>
      <c r="BG94" s="81" t="s">
        <v>389</v>
      </c>
      <c r="BP94" s="81" t="s">
        <v>370</v>
      </c>
      <c r="BQ94" s="167">
        <v>198</v>
      </c>
      <c r="BR94" s="167">
        <v>4.01</v>
      </c>
      <c r="BS94" s="81">
        <v>49.45</v>
      </c>
      <c r="BT94" s="81" t="s">
        <v>422</v>
      </c>
      <c r="BU94" s="167">
        <v>2E-16</v>
      </c>
      <c r="BV94" s="81" t="s">
        <v>389</v>
      </c>
      <c r="CT94" s="258" t="s">
        <v>442</v>
      </c>
      <c r="CU94" s="258" t="s">
        <v>407</v>
      </c>
      <c r="CV94" s="259">
        <v>0.64</v>
      </c>
      <c r="CW94" s="259">
        <v>1.04E-2</v>
      </c>
      <c r="CX94" s="258">
        <v>61.53</v>
      </c>
      <c r="CY94" s="258" t="s">
        <v>422</v>
      </c>
      <c r="CZ94" s="167">
        <v>2E-16</v>
      </c>
      <c r="DA94" s="81" t="s">
        <v>389</v>
      </c>
    </row>
    <row r="95" spans="54:105" thickTop="1" thickBot="1" x14ac:dyDescent="0.3">
      <c r="BB95" s="81" t="s">
        <v>370</v>
      </c>
      <c r="BC95" s="167">
        <v>502</v>
      </c>
      <c r="BD95" s="167">
        <v>7.41</v>
      </c>
      <c r="BE95" s="81">
        <v>67.760000000000005</v>
      </c>
      <c r="BF95" s="81" t="s">
        <v>388</v>
      </c>
      <c r="BG95" s="81" t="s">
        <v>389</v>
      </c>
      <c r="BP95" s="81" t="s">
        <v>372</v>
      </c>
      <c r="BQ95" s="167">
        <v>3.48E-4</v>
      </c>
      <c r="BR95" s="167">
        <v>3.0400000000000002E-3</v>
      </c>
      <c r="BS95" s="81">
        <v>0.11</v>
      </c>
      <c r="BT95" s="81">
        <v>0.91</v>
      </c>
      <c r="CT95" s="258" t="s">
        <v>442</v>
      </c>
      <c r="CU95" s="258" t="s">
        <v>408</v>
      </c>
      <c r="CV95" s="259">
        <v>7.3200000000000001E-2</v>
      </c>
      <c r="CW95" s="259">
        <v>1.07E-3</v>
      </c>
      <c r="CX95" s="258">
        <v>68.22</v>
      </c>
      <c r="CY95" s="258" t="s">
        <v>422</v>
      </c>
      <c r="CZ95" s="167">
        <v>2E-16</v>
      </c>
      <c r="DA95" s="81" t="s">
        <v>389</v>
      </c>
    </row>
    <row r="96" spans="54:105" thickTop="1" thickBot="1" x14ac:dyDescent="0.3">
      <c r="BB96" s="81" t="s">
        <v>372</v>
      </c>
      <c r="BC96" s="167">
        <v>393</v>
      </c>
      <c r="BD96" s="167">
        <v>5.6</v>
      </c>
      <c r="BE96" s="81">
        <v>70.16</v>
      </c>
      <c r="BF96" s="81" t="s">
        <v>388</v>
      </c>
      <c r="BG96" s="81" t="s">
        <v>389</v>
      </c>
      <c r="BP96" s="81" t="s">
        <v>374</v>
      </c>
      <c r="BQ96" s="167">
        <v>221</v>
      </c>
      <c r="BR96" s="167">
        <v>3.53</v>
      </c>
      <c r="BS96" s="81">
        <v>62.76</v>
      </c>
      <c r="BT96" s="81" t="s">
        <v>422</v>
      </c>
      <c r="BU96" s="167">
        <v>2E-16</v>
      </c>
      <c r="BV96" s="81" t="s">
        <v>389</v>
      </c>
      <c r="CT96" s="258" t="s">
        <v>442</v>
      </c>
      <c r="CU96" s="258" t="s">
        <v>410</v>
      </c>
      <c r="CV96" s="259">
        <v>218</v>
      </c>
      <c r="CW96" s="259">
        <v>4.38</v>
      </c>
      <c r="CX96" s="258">
        <v>49.69</v>
      </c>
      <c r="CY96" s="258" t="s">
        <v>422</v>
      </c>
      <c r="CZ96" s="167">
        <v>2E-16</v>
      </c>
      <c r="DA96" s="81" t="s">
        <v>389</v>
      </c>
    </row>
    <row r="97" spans="54:105" thickTop="1" thickBot="1" x14ac:dyDescent="0.3">
      <c r="BB97" s="81" t="s">
        <v>374</v>
      </c>
      <c r="BC97" s="167">
        <v>506</v>
      </c>
      <c r="BD97" s="167">
        <v>2.4900000000000002</v>
      </c>
      <c r="BE97" s="81">
        <v>203.18</v>
      </c>
      <c r="BF97" s="81" t="s">
        <v>388</v>
      </c>
      <c r="BG97" s="81" t="s">
        <v>389</v>
      </c>
      <c r="CT97" s="258" t="s">
        <v>442</v>
      </c>
      <c r="CU97" s="258" t="s">
        <v>295</v>
      </c>
      <c r="CV97" s="259">
        <v>86.2</v>
      </c>
      <c r="CW97" s="259">
        <v>0.67900000000000005</v>
      </c>
      <c r="CX97" s="258">
        <v>127.06</v>
      </c>
      <c r="CY97" s="258" t="s">
        <v>422</v>
      </c>
      <c r="CZ97" s="167">
        <v>2E-16</v>
      </c>
      <c r="DA97" s="81" t="s">
        <v>389</v>
      </c>
    </row>
    <row r="98" spans="54:105" thickTop="1" thickBot="1" x14ac:dyDescent="0.3">
      <c r="CT98" s="258" t="s">
        <v>442</v>
      </c>
      <c r="CU98" s="258" t="s">
        <v>120</v>
      </c>
      <c r="CV98" s="259">
        <v>51.1</v>
      </c>
      <c r="CW98" s="259">
        <v>1.81</v>
      </c>
      <c r="CX98" s="258">
        <v>28.28</v>
      </c>
      <c r="CY98" s="258" t="s">
        <v>422</v>
      </c>
      <c r="CZ98" s="167">
        <v>2E-16</v>
      </c>
      <c r="DA98" s="81" t="s">
        <v>389</v>
      </c>
    </row>
    <row r="99" spans="54:105" thickTop="1" thickBot="1" x14ac:dyDescent="0.3">
      <c r="CT99" s="258" t="s">
        <v>442</v>
      </c>
      <c r="CU99" s="258" t="s">
        <v>412</v>
      </c>
      <c r="CV99" s="259">
        <v>-4.6100000000000003</v>
      </c>
      <c r="CW99" s="259">
        <v>2.1999999999999999E-2</v>
      </c>
      <c r="CX99" s="258">
        <v>-209.33</v>
      </c>
      <c r="CY99" s="258" t="s">
        <v>422</v>
      </c>
      <c r="CZ99" s="167">
        <v>2E-16</v>
      </c>
      <c r="DA99" s="81" t="s">
        <v>389</v>
      </c>
    </row>
    <row r="100" spans="54:105" thickTop="1" thickBot="1" x14ac:dyDescent="0.3">
      <c r="CT100" s="258" t="s">
        <v>442</v>
      </c>
      <c r="CU100" s="258" t="s">
        <v>413</v>
      </c>
      <c r="CV100" s="259">
        <v>-4.8600000000000003</v>
      </c>
      <c r="CW100" s="259">
        <v>2.4500000000000001E-2</v>
      </c>
      <c r="CX100" s="258">
        <v>-198.18</v>
      </c>
      <c r="CY100" s="258" t="s">
        <v>422</v>
      </c>
      <c r="CZ100" s="167">
        <v>2E-16</v>
      </c>
      <c r="DA100" s="81" t="s">
        <v>389</v>
      </c>
    </row>
    <row r="101" spans="54:105" thickTop="1" thickBot="1" x14ac:dyDescent="0.3">
      <c r="CT101" s="258" t="s">
        <v>442</v>
      </c>
      <c r="CU101" s="258" t="s">
        <v>414</v>
      </c>
      <c r="CV101" s="259">
        <v>-5.72</v>
      </c>
      <c r="CW101" s="259">
        <v>2.2599999999999999E-2</v>
      </c>
      <c r="CX101" s="258">
        <v>-252.62</v>
      </c>
      <c r="CY101" s="258" t="s">
        <v>422</v>
      </c>
      <c r="CZ101" s="167">
        <v>2E-16</v>
      </c>
      <c r="DA101" s="81" t="s">
        <v>389</v>
      </c>
    </row>
    <row r="102" spans="54:105" thickTop="1" thickBot="1" x14ac:dyDescent="0.3">
      <c r="CT102" s="258" t="s">
        <v>442</v>
      </c>
      <c r="CU102" s="258" t="s">
        <v>415</v>
      </c>
      <c r="CV102" s="259">
        <v>-5.35</v>
      </c>
      <c r="CW102" s="259">
        <v>2.4400000000000002E-2</v>
      </c>
      <c r="CX102" s="258">
        <v>-219.12</v>
      </c>
      <c r="CY102" s="258" t="s">
        <v>422</v>
      </c>
      <c r="CZ102" s="167">
        <v>2E-16</v>
      </c>
      <c r="DA102" s="81" t="s">
        <v>389</v>
      </c>
    </row>
    <row r="103" spans="54:105" thickTop="1" thickBot="1" x14ac:dyDescent="0.3">
      <c r="CT103" s="258" t="s">
        <v>442</v>
      </c>
      <c r="CU103" s="258" t="s">
        <v>417</v>
      </c>
      <c r="CV103" s="259">
        <v>2.8300000000000001E-3</v>
      </c>
      <c r="CW103" s="259">
        <v>7.9200000000000001E-5</v>
      </c>
      <c r="CX103" s="258">
        <v>35.729999999999997</v>
      </c>
      <c r="CY103" s="258" t="s">
        <v>422</v>
      </c>
      <c r="CZ103" s="167">
        <v>2E-16</v>
      </c>
      <c r="DA103" s="81" t="s">
        <v>389</v>
      </c>
    </row>
    <row r="104" spans="54:105" thickTop="1" thickBot="1" x14ac:dyDescent="0.3">
      <c r="CT104" s="258" t="s">
        <v>442</v>
      </c>
      <c r="CU104" s="258" t="s">
        <v>418</v>
      </c>
      <c r="CV104" s="259">
        <v>171</v>
      </c>
      <c r="CW104" s="259">
        <v>1.87</v>
      </c>
      <c r="CX104" s="258">
        <v>91.34</v>
      </c>
      <c r="CY104" s="258" t="s">
        <v>422</v>
      </c>
      <c r="CZ104" s="167">
        <v>2E-16</v>
      </c>
      <c r="DA104" s="81" t="s">
        <v>389</v>
      </c>
    </row>
    <row r="105" spans="54:105" thickTop="1" thickBot="1" x14ac:dyDescent="0.3">
      <c r="CT105" s="258" t="s">
        <v>442</v>
      </c>
      <c r="CU105" s="258" t="s">
        <v>419</v>
      </c>
      <c r="CV105" s="259">
        <v>934</v>
      </c>
      <c r="CW105" s="259">
        <v>1030</v>
      </c>
      <c r="CX105" s="258">
        <v>0.91</v>
      </c>
      <c r="CY105" s="258">
        <v>0.36307</v>
      </c>
    </row>
    <row r="106" spans="54:105" thickTop="1" thickBot="1" x14ac:dyDescent="0.3">
      <c r="CT106" s="258" t="s">
        <v>442</v>
      </c>
      <c r="CU106" s="258" t="s">
        <v>461</v>
      </c>
    </row>
    <row r="107" spans="54:105" thickTop="1" thickBot="1" x14ac:dyDescent="0.3">
      <c r="CT107" s="258" t="s">
        <v>442</v>
      </c>
      <c r="CU107" s="258" t="s">
        <v>462</v>
      </c>
      <c r="CV107" s="258" t="s">
        <v>463</v>
      </c>
      <c r="CW107" s="258">
        <v>0</v>
      </c>
      <c r="CX107" s="258" t="s">
        <v>464</v>
      </c>
      <c r="CY107" s="258">
        <v>1E-3</v>
      </c>
      <c r="CZ107" s="81" t="s">
        <v>465</v>
      </c>
      <c r="DA107" s="81">
        <v>0.01</v>
      </c>
    </row>
    <row r="109" spans="54:105" thickTop="1" thickBot="1" x14ac:dyDescent="0.3">
      <c r="CT109" s="258" t="s">
        <v>442</v>
      </c>
      <c r="CU109" s="258" t="s">
        <v>433</v>
      </c>
      <c r="CV109" s="258" t="s">
        <v>435</v>
      </c>
    </row>
    <row r="110" spans="54:105" thickTop="1" thickBot="1" x14ac:dyDescent="0.3">
      <c r="CT110" s="258" t="s">
        <v>442</v>
      </c>
      <c r="CU110" s="258" t="s">
        <v>380</v>
      </c>
    </row>
    <row r="111" spans="54:105" thickTop="1" thickBot="1" x14ac:dyDescent="0.3">
      <c r="CT111" s="258" t="s">
        <v>442</v>
      </c>
      <c r="CU111" s="258" t="s">
        <v>381</v>
      </c>
      <c r="CV111" s="258" t="s">
        <v>382</v>
      </c>
      <c r="CW111" s="258" t="s">
        <v>383</v>
      </c>
      <c r="CX111" s="258" t="s">
        <v>384</v>
      </c>
      <c r="CY111" s="258" t="s">
        <v>385</v>
      </c>
      <c r="CZ111" s="81" t="s">
        <v>386</v>
      </c>
    </row>
    <row r="112" spans="54:105" thickTop="1" thickBot="1" x14ac:dyDescent="0.3">
      <c r="CT112" s="258" t="s">
        <v>442</v>
      </c>
      <c r="CU112" s="258" t="s">
        <v>436</v>
      </c>
      <c r="CV112" s="259">
        <v>290</v>
      </c>
      <c r="CW112" s="259">
        <v>0.36799999999999999</v>
      </c>
      <c r="CX112" s="258">
        <v>790.07</v>
      </c>
      <c r="CY112" s="258" t="s">
        <v>422</v>
      </c>
      <c r="CZ112" s="167">
        <v>2E-16</v>
      </c>
      <c r="DA112" s="81" t="s">
        <v>389</v>
      </c>
    </row>
    <row r="113" spans="98:105" thickTop="1" thickBot="1" x14ac:dyDescent="0.3">
      <c r="CT113" s="258" t="s">
        <v>442</v>
      </c>
      <c r="CU113" s="258" t="s">
        <v>423</v>
      </c>
      <c r="CV113" s="259">
        <v>292</v>
      </c>
      <c r="CW113" s="259">
        <v>0.36699999999999999</v>
      </c>
      <c r="CX113" s="258">
        <v>796.23</v>
      </c>
      <c r="CY113" s="258" t="s">
        <v>422</v>
      </c>
      <c r="CZ113" s="167">
        <v>2E-16</v>
      </c>
      <c r="DA113" s="81" t="s">
        <v>389</v>
      </c>
    </row>
    <row r="114" spans="98:105" thickTop="1" thickBot="1" x14ac:dyDescent="0.3">
      <c r="CT114" s="258" t="s">
        <v>442</v>
      </c>
      <c r="CU114" s="258" t="s">
        <v>358</v>
      </c>
      <c r="CV114" s="259">
        <v>1.24E-7</v>
      </c>
      <c r="CW114" s="259">
        <v>2.21E-6</v>
      </c>
      <c r="CX114" s="258">
        <v>0.06</v>
      </c>
      <c r="CY114" s="258">
        <v>0.96</v>
      </c>
    </row>
    <row r="115" spans="98:105" thickTop="1" thickBot="1" x14ac:dyDescent="0.3">
      <c r="CT115" s="258" t="s">
        <v>442</v>
      </c>
      <c r="CU115" s="258" t="s">
        <v>360</v>
      </c>
      <c r="CV115" s="259">
        <v>4.1799999999999997E-8</v>
      </c>
      <c r="CW115" s="259">
        <v>8.2999999999999999E-7</v>
      </c>
      <c r="CX115" s="258">
        <v>0.05</v>
      </c>
      <c r="CY115" s="258">
        <v>0.96</v>
      </c>
    </row>
    <row r="116" spans="98:105" thickTop="1" thickBot="1" x14ac:dyDescent="0.3">
      <c r="CT116" s="258" t="s">
        <v>442</v>
      </c>
      <c r="CU116" s="258" t="s">
        <v>424</v>
      </c>
      <c r="CV116" s="259">
        <v>19200000</v>
      </c>
      <c r="CW116" s="259">
        <v>2600000</v>
      </c>
      <c r="CX116" s="258">
        <v>7.38</v>
      </c>
      <c r="CY116" s="259">
        <v>2.0999999999999999E-13</v>
      </c>
      <c r="CZ116" s="81" t="s">
        <v>389</v>
      </c>
    </row>
    <row r="117" spans="98:105" thickTop="1" thickBot="1" x14ac:dyDescent="0.3">
      <c r="CT117" s="258" t="s">
        <v>442</v>
      </c>
      <c r="CU117" s="258" t="s">
        <v>364</v>
      </c>
      <c r="CV117" s="259">
        <v>65100000</v>
      </c>
      <c r="CW117" s="259">
        <v>33200000</v>
      </c>
      <c r="CX117" s="258">
        <v>1.96</v>
      </c>
      <c r="CY117" s="258">
        <v>0.05</v>
      </c>
      <c r="CZ117" s="81" t="s">
        <v>434</v>
      </c>
    </row>
    <row r="118" spans="98:105" thickTop="1" thickBot="1" x14ac:dyDescent="0.3">
      <c r="CT118" s="258" t="s">
        <v>442</v>
      </c>
      <c r="CU118" s="258" t="s">
        <v>404</v>
      </c>
      <c r="CV118" s="259">
        <v>8.17</v>
      </c>
      <c r="CW118" s="259">
        <v>7.2700000000000001E-2</v>
      </c>
      <c r="CX118" s="258">
        <v>112.45</v>
      </c>
      <c r="CY118" s="258" t="s">
        <v>422</v>
      </c>
      <c r="CZ118" s="167">
        <v>2E-16</v>
      </c>
      <c r="DA118" s="81" t="s">
        <v>389</v>
      </c>
    </row>
    <row r="119" spans="98:105" thickTop="1" thickBot="1" x14ac:dyDescent="0.3">
      <c r="CT119" s="258" t="s">
        <v>442</v>
      </c>
      <c r="CU119" s="258" t="s">
        <v>426</v>
      </c>
      <c r="CV119" s="259">
        <v>7.12</v>
      </c>
      <c r="CW119" s="259">
        <v>0.13500000000000001</v>
      </c>
      <c r="CX119" s="258">
        <v>52.65</v>
      </c>
      <c r="CY119" s="258" t="s">
        <v>422</v>
      </c>
      <c r="CZ119" s="167">
        <v>2E-16</v>
      </c>
      <c r="DA119" s="81" t="s">
        <v>389</v>
      </c>
    </row>
    <row r="120" spans="98:105" thickTop="1" thickBot="1" x14ac:dyDescent="0.3">
      <c r="CT120" s="258" t="s">
        <v>442</v>
      </c>
      <c r="CU120" s="258" t="s">
        <v>416</v>
      </c>
      <c r="CV120" s="259">
        <v>-5.0599999999999996</v>
      </c>
      <c r="CW120" s="259">
        <v>5.1200000000000002E-2</v>
      </c>
      <c r="CX120" s="258">
        <v>-98.95</v>
      </c>
      <c r="CY120" s="258" t="s">
        <v>422</v>
      </c>
      <c r="CZ120" s="167">
        <v>2E-16</v>
      </c>
      <c r="DA120" s="81" t="s">
        <v>389</v>
      </c>
    </row>
    <row r="121" spans="98:105" thickTop="1" thickBot="1" x14ac:dyDescent="0.3">
      <c r="CT121" s="258" t="s">
        <v>442</v>
      </c>
      <c r="CU121" s="258" t="s">
        <v>430</v>
      </c>
      <c r="CV121" s="259">
        <v>-4.8899999999999997</v>
      </c>
      <c r="CW121" s="259">
        <v>3.73E-2</v>
      </c>
      <c r="CX121" s="258">
        <v>-131.12</v>
      </c>
      <c r="CY121" s="258" t="s">
        <v>422</v>
      </c>
      <c r="CZ121" s="167">
        <v>2E-16</v>
      </c>
      <c r="DA121" s="81" t="s">
        <v>389</v>
      </c>
    </row>
    <row r="122" spans="98:105" thickTop="1" thickBot="1" x14ac:dyDescent="0.3">
      <c r="CT122" s="258" t="s">
        <v>442</v>
      </c>
      <c r="CU122" s="258" t="s">
        <v>370</v>
      </c>
      <c r="CV122" s="259">
        <v>198</v>
      </c>
      <c r="CW122" s="259">
        <v>4.01</v>
      </c>
      <c r="CX122" s="258">
        <v>49.45</v>
      </c>
      <c r="CY122" s="258" t="s">
        <v>422</v>
      </c>
      <c r="CZ122" s="167">
        <v>2E-16</v>
      </c>
      <c r="DA122" s="81" t="s">
        <v>389</v>
      </c>
    </row>
    <row r="123" spans="98:105" thickTop="1" thickBot="1" x14ac:dyDescent="0.3">
      <c r="CT123" s="258" t="s">
        <v>442</v>
      </c>
      <c r="CU123" s="258" t="s">
        <v>372</v>
      </c>
      <c r="CV123" s="259">
        <v>3.48E-4</v>
      </c>
      <c r="CW123" s="259">
        <v>3.0400000000000002E-3</v>
      </c>
      <c r="CX123" s="258">
        <v>0.11</v>
      </c>
      <c r="CY123" s="258">
        <v>0.91</v>
      </c>
    </row>
    <row r="124" spans="98:105" thickTop="1" thickBot="1" x14ac:dyDescent="0.3">
      <c r="CT124" s="258" t="s">
        <v>442</v>
      </c>
      <c r="CU124" s="258" t="s">
        <v>374</v>
      </c>
      <c r="CV124" s="259">
        <v>221</v>
      </c>
      <c r="CW124" s="259">
        <v>3.53</v>
      </c>
      <c r="CX124" s="258">
        <v>62.76</v>
      </c>
      <c r="CY124" s="258" t="s">
        <v>422</v>
      </c>
      <c r="CZ124" s="167">
        <v>2E-16</v>
      </c>
      <c r="DA124" s="81" t="s">
        <v>389</v>
      </c>
    </row>
  </sheetData>
  <mergeCells count="8">
    <mergeCell ref="E36:F36"/>
    <mergeCell ref="A1:G1"/>
    <mergeCell ref="A3:H3"/>
    <mergeCell ref="J3:T3"/>
    <mergeCell ref="V3:AG3"/>
    <mergeCell ref="K4:O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126"/>
  <sheetViews>
    <sheetView topLeftCell="N1" zoomScale="70" zoomScaleNormal="70" workbookViewId="0">
      <selection activeCell="AP4" sqref="AP4:AP50"/>
    </sheetView>
  </sheetViews>
  <sheetFormatPr defaultRowHeight="16.5" thickTop="1" thickBottom="1" x14ac:dyDescent="0.3"/>
  <cols>
    <col min="1" max="9" width="9.140625" style="81"/>
    <col min="10" max="10" width="9.140625" style="1"/>
    <col min="11" max="11" width="9.140625" style="81"/>
    <col min="12" max="14" width="9.140625" style="2"/>
    <col min="15" max="16" width="9.140625" style="81"/>
    <col min="17" max="18" width="9.140625" style="153"/>
    <col min="19" max="21" width="9.140625" style="81"/>
    <col min="22" max="22" width="9.140625" style="1"/>
    <col min="23" max="35" width="9.140625" style="81"/>
    <col min="36" max="37" width="9.140625" style="158"/>
    <col min="38" max="38" width="9.140625" style="159"/>
    <col min="39" max="39" width="10.28515625" style="159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9.140625" style="81"/>
    <col min="48" max="51" width="9.140625" style="161"/>
    <col min="52" max="52" width="14.7109375" style="162" bestFit="1" customWidth="1"/>
    <col min="53" max="53" width="9.140625" style="161"/>
    <col min="54" max="54" width="9.140625" style="171"/>
    <col min="55" max="55" width="9.140625" style="81"/>
    <col min="56" max="56" width="16.42578125" style="81" customWidth="1"/>
    <col min="57" max="65" width="9.140625" style="81"/>
    <col min="66" max="66" width="15.7109375" style="81" bestFit="1" customWidth="1"/>
    <col min="67" max="67" width="9.140625" style="81"/>
    <col min="68" max="68" width="9.140625" style="171"/>
    <col min="69" max="80" width="9.140625" style="81"/>
    <col min="81" max="81" width="15.7109375" style="81" bestFit="1" customWidth="1"/>
    <col min="82" max="98" width="9.140625" style="81"/>
    <col min="99" max="104" width="9.140625" style="258"/>
    <col min="105" max="106" width="9.140625" style="81"/>
    <col min="107" max="107" width="15.5703125" style="260" bestFit="1" customWidth="1"/>
    <col min="108" max="109" width="9.140625" style="260"/>
    <col min="110" max="110" width="10.5703125" style="260" bestFit="1" customWidth="1"/>
    <col min="111" max="111" width="9.140625" style="260"/>
    <col min="112" max="16384" width="9.140625" style="81"/>
  </cols>
  <sheetData>
    <row r="1" spans="1:117" ht="20.25" customHeight="1" thickTop="1" thickBot="1" x14ac:dyDescent="0.35">
      <c r="A1" s="310" t="s">
        <v>312</v>
      </c>
      <c r="B1" s="310"/>
      <c r="C1" s="310"/>
      <c r="D1" s="310"/>
      <c r="E1" s="310"/>
      <c r="F1" s="310"/>
      <c r="G1" s="310"/>
      <c r="AO1" s="160" t="s">
        <v>314</v>
      </c>
      <c r="BC1" s="81" t="s">
        <v>378</v>
      </c>
      <c r="BQ1" s="81" t="s">
        <v>432</v>
      </c>
      <c r="DI1" s="170"/>
      <c r="DJ1" s="170"/>
      <c r="DK1" s="170"/>
      <c r="DL1" s="170"/>
      <c r="DM1" s="170"/>
    </row>
    <row r="2" spans="1:117" thickTop="1" thickBot="1" x14ac:dyDescent="0.3">
      <c r="AO2" s="81" t="s">
        <v>315</v>
      </c>
      <c r="CO2" s="81" t="s">
        <v>316</v>
      </c>
      <c r="CP2" s="79" t="s">
        <v>438</v>
      </c>
      <c r="CQ2" s="79" t="s">
        <v>439</v>
      </c>
      <c r="CR2" s="79" t="s">
        <v>440</v>
      </c>
      <c r="CU2" s="258" t="s">
        <v>441</v>
      </c>
      <c r="DI2" s="170"/>
      <c r="DJ2" s="170"/>
      <c r="DK2" s="170"/>
      <c r="DL2" s="170"/>
      <c r="DM2" s="170"/>
    </row>
    <row r="3" spans="1:117" thickTop="1" thickBot="1" x14ac:dyDescent="0.3">
      <c r="A3" s="313" t="s">
        <v>1</v>
      </c>
      <c r="B3" s="314"/>
      <c r="C3" s="314"/>
      <c r="D3" s="314"/>
      <c r="E3" s="314"/>
      <c r="F3" s="314"/>
      <c r="G3" s="314"/>
      <c r="H3" s="315"/>
      <c r="I3" s="290"/>
      <c r="K3" s="307" t="s">
        <v>2</v>
      </c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4"/>
      <c r="W3" s="307" t="s">
        <v>3</v>
      </c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O3" s="163" t="s">
        <v>316</v>
      </c>
      <c r="AP3" s="164" t="s">
        <v>317</v>
      </c>
      <c r="AQ3" s="164"/>
      <c r="AR3" s="165"/>
      <c r="AS3" s="165"/>
      <c r="AT3" s="165"/>
      <c r="AV3" s="166" t="s">
        <v>318</v>
      </c>
      <c r="BC3" s="172"/>
      <c r="BD3" s="172" t="s">
        <v>379</v>
      </c>
      <c r="BE3" s="172"/>
      <c r="BF3" s="172"/>
      <c r="BJ3" s="173" t="s">
        <v>318</v>
      </c>
      <c r="BK3" s="173"/>
      <c r="BL3" s="173"/>
      <c r="BM3" s="173"/>
      <c r="BN3" s="174"/>
      <c r="BO3" s="173"/>
      <c r="BQ3" s="81" t="s">
        <v>433</v>
      </c>
      <c r="BR3" s="81" t="s">
        <v>379</v>
      </c>
      <c r="CO3" s="81" t="s">
        <v>321</v>
      </c>
      <c r="CP3" s="254">
        <f>AZ4</f>
        <v>0.1617299695920503</v>
      </c>
      <c r="CQ3" s="254">
        <f>BN4</f>
        <v>0.16</v>
      </c>
      <c r="CR3" s="254">
        <f>CC6</f>
        <v>0.19</v>
      </c>
      <c r="DC3" s="260" t="s">
        <v>466</v>
      </c>
      <c r="DI3" s="260" t="s">
        <v>519</v>
      </c>
      <c r="DJ3" s="170"/>
      <c r="DK3" s="170"/>
      <c r="DL3" s="170"/>
      <c r="DM3" s="170"/>
    </row>
    <row r="4" spans="1:117" ht="15.75" customHeight="1" thickTop="1" thickBot="1" x14ac:dyDescent="0.3">
      <c r="A4" s="182" t="s">
        <v>6</v>
      </c>
      <c r="B4" s="183">
        <f>'Tabula data'!B5</f>
        <v>509.6</v>
      </c>
      <c r="C4" s="183" t="s">
        <v>7</v>
      </c>
      <c r="D4" s="182" t="s">
        <v>8</v>
      </c>
      <c r="E4" s="183"/>
      <c r="F4" s="183"/>
      <c r="G4" s="184">
        <f>SUM(H6:H13)</f>
        <v>32.299999999999997</v>
      </c>
      <c r="H4" s="185" t="s">
        <v>9</v>
      </c>
      <c r="I4" s="193"/>
      <c r="L4" s="316" t="s">
        <v>2</v>
      </c>
      <c r="M4" s="317"/>
      <c r="N4" s="317"/>
      <c r="O4" s="317"/>
      <c r="P4" s="318"/>
      <c r="X4" s="226"/>
      <c r="Y4" s="226"/>
      <c r="Z4" s="227" t="s">
        <v>4</v>
      </c>
      <c r="AA4" s="227">
        <v>0.85</v>
      </c>
      <c r="AB4" s="227" t="s">
        <v>5</v>
      </c>
      <c r="AC4" s="226"/>
      <c r="AD4" s="226"/>
      <c r="AE4" s="226"/>
      <c r="AM4" s="159" t="s">
        <v>319</v>
      </c>
      <c r="AN4" s="81" t="s">
        <v>320</v>
      </c>
      <c r="AO4" s="81" t="s">
        <v>321</v>
      </c>
      <c r="AP4" s="81">
        <f>SUM(O6:O9)/(SUM($O$6:$O$14,$O$26,O30)+2*SUM($O$27))</f>
        <v>0.1617299695920503</v>
      </c>
      <c r="AQ4" s="81" t="s">
        <v>322</v>
      </c>
      <c r="AR4" s="167">
        <v>0.1641929</v>
      </c>
      <c r="AV4" s="168" t="s">
        <v>319</v>
      </c>
      <c r="AW4" s="168" t="s">
        <v>320</v>
      </c>
      <c r="AX4" s="168" t="s">
        <v>321</v>
      </c>
      <c r="AY4" s="169" t="s">
        <v>323</v>
      </c>
      <c r="AZ4" s="162">
        <f>AP4</f>
        <v>0.1617299695920503</v>
      </c>
      <c r="BA4" s="168" t="s">
        <v>322</v>
      </c>
      <c r="BC4" s="81" t="s">
        <v>380</v>
      </c>
      <c r="BJ4" s="175" t="s">
        <v>319</v>
      </c>
      <c r="BK4" s="175" t="s">
        <v>320</v>
      </c>
      <c r="BL4" s="175" t="s">
        <v>321</v>
      </c>
      <c r="BM4" s="175" t="s">
        <v>323</v>
      </c>
      <c r="BN4" s="174">
        <f>BD11</f>
        <v>0.16</v>
      </c>
      <c r="BO4" s="175" t="s">
        <v>322</v>
      </c>
      <c r="BQ4" s="81" t="s">
        <v>380</v>
      </c>
      <c r="CO4" s="81" t="s">
        <v>324</v>
      </c>
      <c r="CP4" s="254">
        <f t="shared" ref="CP4:CP49" si="0">AZ5</f>
        <v>0.3991139047997368</v>
      </c>
      <c r="CQ4" s="254">
        <f t="shared" ref="CQ4:CQ49" si="1">BN5</f>
        <v>0.318</v>
      </c>
      <c r="CR4" s="254">
        <f t="shared" ref="CR4:CR49" si="2">CC7</f>
        <v>0.38</v>
      </c>
      <c r="CU4" s="258" t="s">
        <v>442</v>
      </c>
      <c r="CV4" s="258" t="s">
        <v>433</v>
      </c>
      <c r="CW4" s="258" t="s">
        <v>443</v>
      </c>
      <c r="DI4" s="170"/>
      <c r="DJ4" s="170"/>
      <c r="DK4" s="170"/>
      <c r="DL4" s="170"/>
      <c r="DM4" s="170"/>
    </row>
    <row r="5" spans="1:117" ht="15" customHeight="1" thickTop="1" thickBot="1" x14ac:dyDescent="0.3">
      <c r="A5" s="186"/>
      <c r="B5" s="187"/>
      <c r="C5" s="187"/>
      <c r="D5" s="188"/>
      <c r="E5" s="189"/>
      <c r="F5" s="189"/>
      <c r="G5" s="189"/>
      <c r="H5" s="190"/>
      <c r="I5" s="189"/>
      <c r="K5" s="81" t="s">
        <v>10</v>
      </c>
      <c r="L5" s="211" t="s">
        <v>11</v>
      </c>
      <c r="M5" s="212" t="s">
        <v>12</v>
      </c>
      <c r="N5" s="212" t="s">
        <v>13</v>
      </c>
      <c r="O5" s="212" t="s">
        <v>14</v>
      </c>
      <c r="P5" s="21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28" t="s">
        <v>20</v>
      </c>
      <c r="Y5" s="229"/>
      <c r="Z5" s="230" t="s">
        <v>21</v>
      </c>
      <c r="AA5" s="231">
        <f>1/(1/10+SUM(AD9:AD12)+1/23)</f>
        <v>0.3127301569316186</v>
      </c>
      <c r="AB5" s="229" t="s">
        <v>5</v>
      </c>
      <c r="AC5" s="229"/>
      <c r="AD5" s="229" t="s">
        <v>22</v>
      </c>
      <c r="AE5" s="232">
        <f>SUM(AE7:AE10)</f>
        <v>56952</v>
      </c>
      <c r="AF5" s="14" t="s">
        <v>23</v>
      </c>
      <c r="AG5" s="14">
        <f>AE10</f>
        <v>16380</v>
      </c>
      <c r="AH5" s="14"/>
      <c r="AM5" s="159" t="s">
        <v>319</v>
      </c>
      <c r="AN5" s="81" t="s">
        <v>320</v>
      </c>
      <c r="AO5" s="81" t="s">
        <v>324</v>
      </c>
      <c r="AP5" s="81">
        <f>(2*O27+O30)/(SUM($O$6:$O$14,$O$26,O30)+2*SUM($O$27))</f>
        <v>0.3991139047997368</v>
      </c>
      <c r="AQ5" s="81" t="s">
        <v>322</v>
      </c>
      <c r="AR5" s="167">
        <v>0.42146270000000002</v>
      </c>
      <c r="AV5" s="168" t="s">
        <v>319</v>
      </c>
      <c r="AW5" s="168" t="s">
        <v>320</v>
      </c>
      <c r="AX5" s="168" t="s">
        <v>324</v>
      </c>
      <c r="AY5" s="169" t="s">
        <v>323</v>
      </c>
      <c r="AZ5" s="162">
        <f>AP5</f>
        <v>0.3991139047997368</v>
      </c>
      <c r="BA5" s="168" t="s">
        <v>322</v>
      </c>
      <c r="BC5" s="81" t="s">
        <v>381</v>
      </c>
      <c r="BD5" s="81" t="s">
        <v>382</v>
      </c>
      <c r="BE5" s="81" t="s">
        <v>383</v>
      </c>
      <c r="BF5" s="81" t="s">
        <v>384</v>
      </c>
      <c r="BG5" s="81" t="s">
        <v>385</v>
      </c>
      <c r="BJ5" s="175" t="s">
        <v>319</v>
      </c>
      <c r="BK5" s="175" t="s">
        <v>320</v>
      </c>
      <c r="BL5" s="175" t="s">
        <v>324</v>
      </c>
      <c r="BM5" s="175" t="s">
        <v>323</v>
      </c>
      <c r="BN5" s="174">
        <f>BD12</f>
        <v>0.318</v>
      </c>
      <c r="BO5" s="175" t="s">
        <v>322</v>
      </c>
      <c r="BQ5" s="81" t="s">
        <v>381</v>
      </c>
      <c r="BR5" s="81" t="s">
        <v>382</v>
      </c>
      <c r="BS5" s="81" t="s">
        <v>383</v>
      </c>
      <c r="BT5" s="81" t="s">
        <v>384</v>
      </c>
      <c r="BU5" s="81" t="s">
        <v>385</v>
      </c>
      <c r="BV5" s="81" t="s">
        <v>386</v>
      </c>
      <c r="BY5" s="176" t="s">
        <v>318</v>
      </c>
      <c r="BZ5" s="176"/>
      <c r="CA5" s="176"/>
      <c r="CB5" s="176"/>
      <c r="CC5" s="177"/>
      <c r="CD5" s="176"/>
      <c r="CO5" s="81" t="s">
        <v>325</v>
      </c>
      <c r="CP5" s="254">
        <f t="shared" si="0"/>
        <v>3.5206609225974871E-2</v>
      </c>
      <c r="CQ5" s="254">
        <f t="shared" si="1"/>
        <v>0.26200000000000001</v>
      </c>
      <c r="CR5" s="254">
        <f t="shared" si="2"/>
        <v>5.0500000000000003E-2</v>
      </c>
      <c r="CU5" s="258" t="s">
        <v>442</v>
      </c>
      <c r="CV5" s="258" t="s">
        <v>380</v>
      </c>
      <c r="DC5" s="260" t="s">
        <v>467</v>
      </c>
      <c r="DD5" s="261" t="s">
        <v>468</v>
      </c>
      <c r="DE5" s="261" t="s">
        <v>323</v>
      </c>
      <c r="DF5" s="262">
        <f>CW12</f>
        <v>0.189</v>
      </c>
      <c r="DG5" s="260" t="s">
        <v>322</v>
      </c>
      <c r="DI5" s="170" t="s">
        <v>467</v>
      </c>
      <c r="DJ5" s="291" t="s">
        <v>468</v>
      </c>
      <c r="DK5" s="291" t="s">
        <v>323</v>
      </c>
      <c r="DL5" s="170">
        <f>$O$11*$Z$37*$AP$4</f>
        <v>0.30405234283305455</v>
      </c>
      <c r="DM5" s="170" t="s">
        <v>322</v>
      </c>
    </row>
    <row r="6" spans="1:117" ht="15" customHeight="1" thickTop="1" thickBot="1" x14ac:dyDescent="0.3">
      <c r="A6" s="191" t="s">
        <v>34</v>
      </c>
      <c r="B6" s="192">
        <f>'Tabula data'!B4</f>
        <v>185.3</v>
      </c>
      <c r="C6" s="193" t="s">
        <v>9</v>
      </c>
      <c r="D6" s="194" t="s">
        <v>35</v>
      </c>
      <c r="E6" s="189" t="s">
        <v>36</v>
      </c>
      <c r="F6" s="195">
        <f t="shared" ref="F6:F13" si="3">H6/$G$4</f>
        <v>0.12074303405572756</v>
      </c>
      <c r="G6" s="189"/>
      <c r="H6" s="196">
        <f>'Tabula data'!B22*'Tabula RefULG 1'!C45</f>
        <v>3.9</v>
      </c>
      <c r="I6" s="208"/>
      <c r="K6" s="81" t="s">
        <v>24</v>
      </c>
      <c r="L6" s="214">
        <v>0</v>
      </c>
      <c r="M6" s="215">
        <v>1</v>
      </c>
      <c r="N6" s="215" t="s">
        <v>25</v>
      </c>
      <c r="O6" s="216">
        <f>'Tabula data'!B19*C43</f>
        <v>19.742421874491026</v>
      </c>
      <c r="P6" s="217" t="s">
        <v>26</v>
      </c>
      <c r="Q6" s="30">
        <f t="shared" ref="Q6:Q31" si="4">VLOOKUP(N6,$X$5:$AA$391,4,0)</f>
        <v>0.99033657090706906</v>
      </c>
      <c r="R6" s="30">
        <f t="shared" ref="R6:R31" si="5">Q6*O6</f>
        <v>19.551642380584152</v>
      </c>
      <c r="S6" s="30">
        <f t="shared" ref="S6:S14" si="6">VLOOKUP(N6,$X$5:$AE$391,8,0)*O6</f>
        <v>8781472.6831017341</v>
      </c>
      <c r="T6" s="30">
        <f t="shared" ref="T6:T14" si="7">S6/O6</f>
        <v>444802.20000000013</v>
      </c>
      <c r="U6" s="30">
        <f t="shared" ref="U6:U14" si="8">VLOOKUP(N6,$X$5:$AG$391,10,0)*O6</f>
        <v>3573773.2077203658</v>
      </c>
      <c r="V6" s="31"/>
      <c r="W6" s="153"/>
      <c r="X6" s="233"/>
      <c r="Y6" s="234" t="s">
        <v>27</v>
      </c>
      <c r="Z6" s="234" t="s">
        <v>28</v>
      </c>
      <c r="AA6" s="234" t="s">
        <v>29</v>
      </c>
      <c r="AB6" s="234" t="s">
        <v>30</v>
      </c>
      <c r="AC6" s="234" t="s">
        <v>31</v>
      </c>
      <c r="AD6" s="234" t="s">
        <v>32</v>
      </c>
      <c r="AE6" s="235" t="s">
        <v>33</v>
      </c>
      <c r="AF6" s="14"/>
      <c r="AG6" s="14"/>
      <c r="AH6" s="14"/>
      <c r="AM6" s="159" t="s">
        <v>319</v>
      </c>
      <c r="AN6" s="81" t="s">
        <v>320</v>
      </c>
      <c r="AO6" s="81" t="s">
        <v>325</v>
      </c>
      <c r="AP6" s="81">
        <f>SUM(O10:O13)/(SUM($O$6:$O$14,$O$26,O30)+2*SUM($O$27))</f>
        <v>3.5206609225974871E-2</v>
      </c>
      <c r="AQ6" s="81" t="s">
        <v>322</v>
      </c>
      <c r="AR6" s="167">
        <v>0.13510150000000001</v>
      </c>
      <c r="AV6" s="168" t="s">
        <v>319</v>
      </c>
      <c r="AW6" s="168" t="s">
        <v>320</v>
      </c>
      <c r="AX6" s="168" t="s">
        <v>325</v>
      </c>
      <c r="AY6" s="169" t="s">
        <v>323</v>
      </c>
      <c r="AZ6" s="162">
        <f>AP6</f>
        <v>3.5206609225974871E-2</v>
      </c>
      <c r="BA6" s="168" t="s">
        <v>322</v>
      </c>
      <c r="BC6" s="81" t="s">
        <v>387</v>
      </c>
      <c r="BD6" s="167">
        <v>299</v>
      </c>
      <c r="BE6" s="167">
        <v>9.6299999999999997E-2</v>
      </c>
      <c r="BF6" s="81">
        <v>3101.23</v>
      </c>
      <c r="BG6" s="81" t="s">
        <v>388</v>
      </c>
      <c r="BJ6" s="175" t="s">
        <v>319</v>
      </c>
      <c r="BK6" s="175" t="s">
        <v>320</v>
      </c>
      <c r="BL6" s="175" t="s">
        <v>325</v>
      </c>
      <c r="BM6" s="175" t="s">
        <v>323</v>
      </c>
      <c r="BN6" s="174">
        <f>BD13</f>
        <v>0.26200000000000001</v>
      </c>
      <c r="BO6" s="175" t="s">
        <v>322</v>
      </c>
      <c r="BQ6" s="81" t="s">
        <v>387</v>
      </c>
      <c r="BR6" s="167">
        <v>291</v>
      </c>
      <c r="BS6" s="167">
        <v>0.14199999999999999</v>
      </c>
      <c r="BT6" s="81">
        <v>2053.1799999999998</v>
      </c>
      <c r="BU6" s="81" t="s">
        <v>422</v>
      </c>
      <c r="BV6" s="167">
        <v>2E-16</v>
      </c>
      <c r="BW6" s="81" t="s">
        <v>389</v>
      </c>
      <c r="BY6" s="178" t="s">
        <v>319</v>
      </c>
      <c r="BZ6" s="178" t="s">
        <v>320</v>
      </c>
      <c r="CA6" s="178" t="s">
        <v>321</v>
      </c>
      <c r="CB6" s="178" t="s">
        <v>323</v>
      </c>
      <c r="CC6" s="177">
        <f>BR11</f>
        <v>0.19</v>
      </c>
      <c r="CD6" s="178" t="s">
        <v>322</v>
      </c>
      <c r="CO6" s="81" t="s">
        <v>326</v>
      </c>
      <c r="CP6" s="254">
        <f t="shared" si="0"/>
        <v>0.20927767713272988</v>
      </c>
      <c r="CQ6" s="254">
        <f t="shared" si="1"/>
        <v>0.156</v>
      </c>
      <c r="CR6" s="254">
        <f t="shared" si="2"/>
        <v>0.20300000000000001</v>
      </c>
      <c r="CU6" s="258" t="s">
        <v>442</v>
      </c>
      <c r="CV6" s="258" t="s">
        <v>381</v>
      </c>
      <c r="CW6" s="258" t="s">
        <v>382</v>
      </c>
      <c r="CX6" s="258" t="s">
        <v>383</v>
      </c>
      <c r="CY6" s="258" t="s">
        <v>384</v>
      </c>
      <c r="CZ6" s="258" t="s">
        <v>385</v>
      </c>
      <c r="DA6" s="81" t="s">
        <v>386</v>
      </c>
      <c r="DC6" s="260" t="s">
        <v>467</v>
      </c>
      <c r="DD6" s="261" t="s">
        <v>469</v>
      </c>
      <c r="DE6" s="261" t="s">
        <v>323</v>
      </c>
      <c r="DF6" s="262">
        <f t="shared" ref="DF6:DF24" si="9">CW13</f>
        <v>0.317</v>
      </c>
      <c r="DG6" s="260" t="s">
        <v>322</v>
      </c>
      <c r="DI6" s="170" t="s">
        <v>467</v>
      </c>
      <c r="DJ6" s="291" t="s">
        <v>469</v>
      </c>
      <c r="DK6" s="291" t="s">
        <v>323</v>
      </c>
      <c r="DL6" s="170">
        <f>$O$10*$Z$37*$AP$4</f>
        <v>0.29645103426222819</v>
      </c>
      <c r="DM6" s="170" t="s">
        <v>322</v>
      </c>
    </row>
    <row r="7" spans="1:117" ht="15" customHeight="1" thickTop="1" thickBot="1" x14ac:dyDescent="0.3">
      <c r="A7" s="194" t="s">
        <v>42</v>
      </c>
      <c r="B7" s="197">
        <f>'Tabula data'!B14</f>
        <v>96</v>
      </c>
      <c r="C7" s="198" t="s">
        <v>9</v>
      </c>
      <c r="D7" s="194" t="s">
        <v>43</v>
      </c>
      <c r="E7" s="189" t="s">
        <v>36</v>
      </c>
      <c r="F7" s="195">
        <f t="shared" si="3"/>
        <v>0.12383900928792571</v>
      </c>
      <c r="G7" s="189"/>
      <c r="H7" s="196">
        <f>'Tabula data'!B23*'Tabula RefULG 1'!C45</f>
        <v>4</v>
      </c>
      <c r="I7" s="208"/>
      <c r="K7" s="81" t="s">
        <v>38</v>
      </c>
      <c r="L7" s="218">
        <v>0</v>
      </c>
      <c r="M7" s="219">
        <v>1</v>
      </c>
      <c r="N7" s="219" t="s">
        <v>25</v>
      </c>
      <c r="O7" s="220">
        <f>'Tabula data'!B20*C43</f>
        <v>34.704039143624534</v>
      </c>
      <c r="P7" s="221" t="s">
        <v>39</v>
      </c>
      <c r="Q7" s="30">
        <f t="shared" si="4"/>
        <v>0.99033657090706906</v>
      </c>
      <c r="R7" s="30">
        <f t="shared" si="5"/>
        <v>34.368679122121819</v>
      </c>
      <c r="S7" s="30">
        <f t="shared" si="6"/>
        <v>15436432.959970312</v>
      </c>
      <c r="T7" s="30">
        <f t="shared" si="7"/>
        <v>444802.20000000007</v>
      </c>
      <c r="U7" s="30">
        <f t="shared" si="8"/>
        <v>6282125.1657789145</v>
      </c>
      <c r="V7" s="31"/>
      <c r="W7" s="153"/>
      <c r="X7" s="188"/>
      <c r="Y7" s="189" t="s">
        <v>40</v>
      </c>
      <c r="Z7" s="189">
        <v>2.5000000000000001E-2</v>
      </c>
      <c r="AA7" s="189">
        <v>1.3</v>
      </c>
      <c r="AB7" s="189">
        <v>1700</v>
      </c>
      <c r="AC7" s="189">
        <v>840</v>
      </c>
      <c r="AD7" s="236">
        <f>Z7/AA7</f>
        <v>1.9230769230769232E-2</v>
      </c>
      <c r="AE7" s="190">
        <f>Z7*AB7*AC7</f>
        <v>35700</v>
      </c>
      <c r="AF7" s="14" t="s">
        <v>41</v>
      </c>
      <c r="AG7" s="14"/>
      <c r="AH7" s="14"/>
      <c r="AM7" s="159" t="s">
        <v>319</v>
      </c>
      <c r="AN7" s="81" t="s">
        <v>320</v>
      </c>
      <c r="AO7" s="81" t="s">
        <v>326</v>
      </c>
      <c r="AP7" s="81">
        <f>SUM(O14)/(SUM($O$6:$O$14,$O$26,O30)+2*SUM($O$27))</f>
        <v>0.20927767713272988</v>
      </c>
      <c r="AQ7" s="81" t="s">
        <v>322</v>
      </c>
      <c r="AR7" s="167">
        <v>0.161666</v>
      </c>
      <c r="AV7" s="168" t="s">
        <v>319</v>
      </c>
      <c r="AW7" s="168" t="s">
        <v>320</v>
      </c>
      <c r="AX7" s="168" t="s">
        <v>326</v>
      </c>
      <c r="AY7" s="169" t="s">
        <v>323</v>
      </c>
      <c r="AZ7" s="162">
        <f>AP7</f>
        <v>0.20927767713272988</v>
      </c>
      <c r="BA7" s="168" t="s">
        <v>322</v>
      </c>
      <c r="BC7" s="81" t="s">
        <v>390</v>
      </c>
      <c r="BD7" s="167">
        <v>295</v>
      </c>
      <c r="BE7" s="167">
        <v>4.9200000000000001E-2</v>
      </c>
      <c r="BF7" s="81">
        <v>5996.7</v>
      </c>
      <c r="BG7" s="81" t="s">
        <v>388</v>
      </c>
      <c r="BJ7" s="175" t="s">
        <v>319</v>
      </c>
      <c r="BK7" s="175" t="s">
        <v>320</v>
      </c>
      <c r="BL7" s="175" t="s">
        <v>326</v>
      </c>
      <c r="BM7" s="175" t="s">
        <v>323</v>
      </c>
      <c r="BN7" s="174">
        <f>BD14</f>
        <v>0.156</v>
      </c>
      <c r="BO7" s="175" t="s">
        <v>322</v>
      </c>
      <c r="BQ7" s="81" t="s">
        <v>390</v>
      </c>
      <c r="BR7" s="167">
        <v>289</v>
      </c>
      <c r="BS7" s="167">
        <v>0.112</v>
      </c>
      <c r="BT7" s="81">
        <v>2573.84</v>
      </c>
      <c r="BU7" s="81" t="s">
        <v>422</v>
      </c>
      <c r="BV7" s="167">
        <v>2E-16</v>
      </c>
      <c r="BW7" s="81" t="s">
        <v>389</v>
      </c>
      <c r="BY7" s="178" t="s">
        <v>319</v>
      </c>
      <c r="BZ7" s="178" t="s">
        <v>320</v>
      </c>
      <c r="CA7" s="178" t="s">
        <v>324</v>
      </c>
      <c r="CB7" s="178" t="s">
        <v>323</v>
      </c>
      <c r="CC7" s="177">
        <f>BR12</f>
        <v>0.38</v>
      </c>
      <c r="CD7" s="178" t="s">
        <v>322</v>
      </c>
      <c r="CP7" s="255"/>
      <c r="CQ7" s="255"/>
      <c r="CR7" s="255"/>
      <c r="CU7" s="258" t="s">
        <v>442</v>
      </c>
      <c r="CV7" s="258" t="s">
        <v>387</v>
      </c>
      <c r="CW7" s="259">
        <v>293</v>
      </c>
      <c r="CX7" s="259">
        <v>4.1500000000000002E-2</v>
      </c>
      <c r="CY7" s="258">
        <v>7051.08</v>
      </c>
      <c r="CZ7" s="258" t="s">
        <v>422</v>
      </c>
      <c r="DA7" s="167">
        <v>2E-16</v>
      </c>
      <c r="DB7" s="81" t="s">
        <v>389</v>
      </c>
      <c r="DC7" s="260" t="s">
        <v>467</v>
      </c>
      <c r="DD7" s="263" t="s">
        <v>470</v>
      </c>
      <c r="DE7" s="261" t="s">
        <v>323</v>
      </c>
      <c r="DF7" s="262">
        <f t="shared" si="9"/>
        <v>0.27700000000000002</v>
      </c>
      <c r="DG7" s="260" t="s">
        <v>322</v>
      </c>
      <c r="DI7" s="170" t="s">
        <v>467</v>
      </c>
      <c r="DJ7" s="292" t="s">
        <v>470</v>
      </c>
      <c r="DK7" s="291" t="s">
        <v>323</v>
      </c>
      <c r="DL7" s="170">
        <f>$O$12*$Z$37*$AP$4</f>
        <v>0.34585953997259949</v>
      </c>
      <c r="DM7" s="170" t="s">
        <v>322</v>
      </c>
    </row>
    <row r="8" spans="1:117" ht="15" customHeight="1" thickTop="1" thickBot="1" x14ac:dyDescent="0.3">
      <c r="A8" s="194" t="s">
        <v>47</v>
      </c>
      <c r="B8" s="197">
        <f>B6-B7</f>
        <v>89.300000000000011</v>
      </c>
      <c r="C8" s="189" t="s">
        <v>9</v>
      </c>
      <c r="D8" s="194" t="s">
        <v>48</v>
      </c>
      <c r="E8" s="189" t="s">
        <v>36</v>
      </c>
      <c r="F8" s="195">
        <f t="shared" si="3"/>
        <v>0.1408668730650155</v>
      </c>
      <c r="G8" s="189"/>
      <c r="H8" s="196">
        <f>'Tabula data'!B24*C45</f>
        <v>4.55</v>
      </c>
      <c r="I8" s="208"/>
      <c r="K8" s="81" t="s">
        <v>44</v>
      </c>
      <c r="L8" s="218">
        <v>0</v>
      </c>
      <c r="M8" s="219">
        <v>1</v>
      </c>
      <c r="N8" s="219" t="s">
        <v>25</v>
      </c>
      <c r="O8" s="220">
        <f>O6</f>
        <v>19.742421874491026</v>
      </c>
      <c r="P8" s="221" t="s">
        <v>45</v>
      </c>
      <c r="Q8" s="30">
        <f t="shared" si="4"/>
        <v>0.99033657090706906</v>
      </c>
      <c r="R8" s="30">
        <f t="shared" si="5"/>
        <v>19.551642380584152</v>
      </c>
      <c r="S8" s="30">
        <f t="shared" si="6"/>
        <v>8781472.6831017341</v>
      </c>
      <c r="T8" s="30">
        <f t="shared" si="7"/>
        <v>444802.20000000013</v>
      </c>
      <c r="U8" s="30">
        <f t="shared" si="8"/>
        <v>3573773.2077203658</v>
      </c>
      <c r="V8" s="31"/>
      <c r="W8" s="153"/>
      <c r="X8" s="188"/>
      <c r="Y8" s="189" t="s">
        <v>46</v>
      </c>
      <c r="Z8" s="189">
        <v>0.03</v>
      </c>
      <c r="AA8" s="189">
        <f>0.18/Z8</f>
        <v>6</v>
      </c>
      <c r="AB8" s="189">
        <v>0</v>
      </c>
      <c r="AC8" s="189">
        <v>0</v>
      </c>
      <c r="AD8" s="236">
        <v>0.18</v>
      </c>
      <c r="AE8" s="190">
        <f>Z8*AB8*AC8</f>
        <v>0</v>
      </c>
      <c r="AF8" s="14"/>
      <c r="AG8" s="14"/>
      <c r="AH8" s="14"/>
      <c r="AQ8" s="81" t="s">
        <v>322</v>
      </c>
      <c r="AR8" s="167"/>
      <c r="AV8" s="168"/>
      <c r="AW8" s="168"/>
      <c r="AX8" s="168"/>
      <c r="AY8" s="169"/>
      <c r="BA8" s="168"/>
      <c r="BC8" s="81" t="s">
        <v>391</v>
      </c>
      <c r="BD8" s="167">
        <v>299</v>
      </c>
      <c r="BE8" s="167">
        <v>2.6599999999999999E-2</v>
      </c>
      <c r="BF8" s="81">
        <v>11253.68</v>
      </c>
      <c r="BG8" s="81" t="s">
        <v>388</v>
      </c>
      <c r="BJ8" s="175"/>
      <c r="BK8" s="175"/>
      <c r="BL8" s="175"/>
      <c r="BM8" s="175"/>
      <c r="BN8" s="174"/>
      <c r="BO8" s="175"/>
      <c r="BQ8" s="81" t="s">
        <v>391</v>
      </c>
      <c r="BR8" s="167">
        <v>295</v>
      </c>
      <c r="BS8" s="167">
        <v>5.5100000000000003E-2</v>
      </c>
      <c r="BT8" s="81">
        <v>5345.13</v>
      </c>
      <c r="BU8" s="81" t="s">
        <v>422</v>
      </c>
      <c r="BV8" s="167">
        <v>2E-16</v>
      </c>
      <c r="BW8" s="81" t="s">
        <v>389</v>
      </c>
      <c r="BY8" s="178" t="s">
        <v>319</v>
      </c>
      <c r="BZ8" s="178" t="s">
        <v>320</v>
      </c>
      <c r="CA8" s="178" t="s">
        <v>325</v>
      </c>
      <c r="CB8" s="178" t="s">
        <v>323</v>
      </c>
      <c r="CC8" s="177">
        <f>BR13</f>
        <v>5.0500000000000003E-2</v>
      </c>
      <c r="CD8" s="178" t="s">
        <v>322</v>
      </c>
      <c r="CO8" s="81" t="s">
        <v>327</v>
      </c>
      <c r="CP8" s="256">
        <f t="shared" si="0"/>
        <v>1768166.3999999999</v>
      </c>
      <c r="CQ8" s="256">
        <f t="shared" si="1"/>
        <v>2950000</v>
      </c>
      <c r="CR8" s="256">
        <f t="shared" si="2"/>
        <v>3560000</v>
      </c>
      <c r="CU8" s="258" t="s">
        <v>442</v>
      </c>
      <c r="CV8" s="258" t="s">
        <v>390</v>
      </c>
      <c r="CW8" s="259">
        <v>291</v>
      </c>
      <c r="CX8" s="259">
        <v>4.0399999999999998E-2</v>
      </c>
      <c r="CY8" s="258">
        <v>7196.53</v>
      </c>
      <c r="CZ8" s="258" t="s">
        <v>422</v>
      </c>
      <c r="DA8" s="167">
        <v>2E-16</v>
      </c>
      <c r="DB8" s="81" t="s">
        <v>389</v>
      </c>
      <c r="DC8" s="260" t="s">
        <v>467</v>
      </c>
      <c r="DD8" s="264" t="s">
        <v>471</v>
      </c>
      <c r="DE8" s="261" t="s">
        <v>323</v>
      </c>
      <c r="DF8" s="262">
        <f t="shared" si="9"/>
        <v>0.14399999999999999</v>
      </c>
      <c r="DG8" s="260" t="s">
        <v>322</v>
      </c>
      <c r="DI8" s="170" t="s">
        <v>467</v>
      </c>
      <c r="DJ8" s="293" t="s">
        <v>471</v>
      </c>
      <c r="DK8" s="291" t="s">
        <v>323</v>
      </c>
      <c r="DL8" s="170">
        <f>$O$13*$Z$37*$AP$4</f>
        <v>0.28124841712057547</v>
      </c>
      <c r="DM8" s="170" t="s">
        <v>322</v>
      </c>
    </row>
    <row r="9" spans="1:117" ht="15" customHeight="1" thickTop="1" thickBot="1" x14ac:dyDescent="0.3">
      <c r="A9" s="188"/>
      <c r="B9" s="189"/>
      <c r="C9" s="189"/>
      <c r="D9" s="194" t="s">
        <v>52</v>
      </c>
      <c r="E9" s="199" t="s">
        <v>36</v>
      </c>
      <c r="F9" s="195">
        <f t="shared" si="3"/>
        <v>0.11455108359133129</v>
      </c>
      <c r="G9" s="189"/>
      <c r="H9" s="196">
        <f>'Tabula data'!B25*'Tabula RefULG 1'!C45</f>
        <v>3.7</v>
      </c>
      <c r="I9" s="208"/>
      <c r="K9" s="81" t="s">
        <v>49</v>
      </c>
      <c r="L9" s="218">
        <v>0</v>
      </c>
      <c r="M9" s="219">
        <v>1</v>
      </c>
      <c r="N9" s="219" t="s">
        <v>25</v>
      </c>
      <c r="O9" s="220">
        <v>0</v>
      </c>
      <c r="P9" s="221" t="s">
        <v>50</v>
      </c>
      <c r="Q9" s="30">
        <f t="shared" si="4"/>
        <v>0.99033657090706906</v>
      </c>
      <c r="R9" s="30">
        <f t="shared" si="5"/>
        <v>0</v>
      </c>
      <c r="S9" s="30">
        <f t="shared" si="6"/>
        <v>0</v>
      </c>
      <c r="T9" s="30" t="e">
        <f t="shared" si="7"/>
        <v>#DIV/0!</v>
      </c>
      <c r="U9" s="30">
        <f t="shared" si="8"/>
        <v>0</v>
      </c>
      <c r="V9" s="31"/>
      <c r="W9" s="153"/>
      <c r="X9" s="188"/>
      <c r="Y9" s="199" t="s">
        <v>51</v>
      </c>
      <c r="Z9" s="270">
        <v>7.2499999999999995E-2</v>
      </c>
      <c r="AA9" s="270">
        <v>2.4E-2</v>
      </c>
      <c r="AB9" s="189">
        <v>80</v>
      </c>
      <c r="AC9" s="189">
        <v>840</v>
      </c>
      <c r="AD9" s="236">
        <f>Z9/AA9</f>
        <v>3.020833333333333</v>
      </c>
      <c r="AE9" s="190">
        <f>Z9*AB9*AC9</f>
        <v>4872</v>
      </c>
      <c r="AF9" s="149" t="s">
        <v>270</v>
      </c>
      <c r="AG9" s="14"/>
      <c r="AH9" s="14"/>
      <c r="AM9" s="159" t="s">
        <v>319</v>
      </c>
      <c r="AN9" s="81" t="s">
        <v>320</v>
      </c>
      <c r="AO9" s="81" t="s">
        <v>327</v>
      </c>
      <c r="AP9" s="167">
        <f>B34*1.04*1012*5</f>
        <v>1768166.3999999999</v>
      </c>
      <c r="AQ9" s="81" t="s">
        <v>322</v>
      </c>
      <c r="AR9" s="167">
        <v>2745646</v>
      </c>
      <c r="AV9" s="168" t="s">
        <v>319</v>
      </c>
      <c r="AW9" s="168" t="s">
        <v>320</v>
      </c>
      <c r="AX9" s="168" t="s">
        <v>327</v>
      </c>
      <c r="AY9" s="169" t="s">
        <v>323</v>
      </c>
      <c r="AZ9" s="162">
        <f>AP9</f>
        <v>1768166.3999999999</v>
      </c>
      <c r="BA9" s="168" t="s">
        <v>322</v>
      </c>
      <c r="BC9" s="81" t="s">
        <v>392</v>
      </c>
      <c r="BD9" s="167">
        <v>297</v>
      </c>
      <c r="BE9" s="167">
        <v>9.3200000000000005E-2</v>
      </c>
      <c r="BF9" s="81">
        <v>3182.59</v>
      </c>
      <c r="BG9" s="81" t="s">
        <v>388</v>
      </c>
      <c r="BJ9" s="175" t="s">
        <v>319</v>
      </c>
      <c r="BK9" s="175" t="s">
        <v>320</v>
      </c>
      <c r="BL9" s="175" t="s">
        <v>327</v>
      </c>
      <c r="BM9" s="175" t="s">
        <v>323</v>
      </c>
      <c r="BN9" s="174">
        <f>BD19</f>
        <v>2950000</v>
      </c>
      <c r="BO9" s="175" t="s">
        <v>322</v>
      </c>
      <c r="BQ9" s="81" t="s">
        <v>392</v>
      </c>
      <c r="BR9" s="167">
        <v>290</v>
      </c>
      <c r="BS9" s="167">
        <v>0.124</v>
      </c>
      <c r="BT9" s="81">
        <v>2333.5300000000002</v>
      </c>
      <c r="BU9" s="81" t="s">
        <v>422</v>
      </c>
      <c r="BV9" s="167">
        <v>2E-16</v>
      </c>
      <c r="BW9" s="81" t="s">
        <v>389</v>
      </c>
      <c r="BY9" s="178" t="s">
        <v>319</v>
      </c>
      <c r="BZ9" s="178" t="s">
        <v>320</v>
      </c>
      <c r="CA9" s="178" t="s">
        <v>326</v>
      </c>
      <c r="CB9" s="178" t="s">
        <v>323</v>
      </c>
      <c r="CC9" s="177">
        <f>BR14</f>
        <v>0.20300000000000001</v>
      </c>
      <c r="CD9" s="178" t="s">
        <v>322</v>
      </c>
      <c r="CO9" s="81" t="s">
        <v>328</v>
      </c>
      <c r="CP9" s="256">
        <f t="shared" si="0"/>
        <v>13429671.581219645</v>
      </c>
      <c r="CQ9" s="256">
        <f t="shared" si="1"/>
        <v>23100000</v>
      </c>
      <c r="CR9" s="256">
        <f t="shared" si="2"/>
        <v>32200000</v>
      </c>
      <c r="CU9" s="258" t="s">
        <v>442</v>
      </c>
      <c r="CV9" s="258" t="s">
        <v>391</v>
      </c>
      <c r="CW9" s="259">
        <v>295</v>
      </c>
      <c r="CX9" s="259">
        <v>3.7999999999999999E-2</v>
      </c>
      <c r="CY9" s="258">
        <v>7771.35</v>
      </c>
      <c r="CZ9" s="258" t="s">
        <v>422</v>
      </c>
      <c r="DA9" s="167">
        <v>2E-16</v>
      </c>
      <c r="DB9" s="81" t="s">
        <v>389</v>
      </c>
      <c r="DC9" s="260" t="s">
        <v>467</v>
      </c>
      <c r="DD9" s="264" t="s">
        <v>472</v>
      </c>
      <c r="DE9" s="261" t="s">
        <v>323</v>
      </c>
      <c r="DF9" s="262">
        <f t="shared" si="9"/>
        <v>0.372</v>
      </c>
      <c r="DG9" s="260" t="s">
        <v>322</v>
      </c>
      <c r="DI9" s="170" t="s">
        <v>467</v>
      </c>
      <c r="DJ9" s="293" t="s">
        <v>472</v>
      </c>
      <c r="DK9" s="291" t="s">
        <v>323</v>
      </c>
      <c r="DL9" s="170">
        <f>$O$11*$Z$37*$AP$5</f>
        <v>0.75033414102350515</v>
      </c>
      <c r="DM9" s="170" t="s">
        <v>322</v>
      </c>
    </row>
    <row r="10" spans="1:117" ht="15" customHeight="1" thickTop="1" thickBot="1" x14ac:dyDescent="0.3">
      <c r="A10" s="188"/>
      <c r="B10" s="189"/>
      <c r="C10" s="189"/>
      <c r="D10" s="194" t="s">
        <v>35</v>
      </c>
      <c r="E10" s="199" t="s">
        <v>56</v>
      </c>
      <c r="F10" s="195">
        <f t="shared" si="3"/>
        <v>0.12074303405572756</v>
      </c>
      <c r="G10" s="189"/>
      <c r="H10" s="200">
        <f>'Tabula data'!B22*(1-C45)</f>
        <v>3.9</v>
      </c>
      <c r="I10" s="206"/>
      <c r="K10" s="81" t="s">
        <v>53</v>
      </c>
      <c r="L10" s="218">
        <v>0</v>
      </c>
      <c r="M10" s="219">
        <v>1</v>
      </c>
      <c r="N10" s="219" t="s">
        <v>54</v>
      </c>
      <c r="O10" s="220">
        <f>H6</f>
        <v>3.9</v>
      </c>
      <c r="P10" s="221" t="s">
        <v>26</v>
      </c>
      <c r="Q10" s="30">
        <f t="shared" si="4"/>
        <v>2</v>
      </c>
      <c r="R10" s="30">
        <f t="shared" si="5"/>
        <v>7.8</v>
      </c>
      <c r="S10" s="30">
        <f t="shared" si="6"/>
        <v>0</v>
      </c>
      <c r="T10" s="30">
        <f t="shared" si="7"/>
        <v>0</v>
      </c>
      <c r="U10" s="30">
        <f t="shared" si="8"/>
        <v>0</v>
      </c>
      <c r="V10" s="31"/>
      <c r="W10" s="153"/>
      <c r="X10" s="205"/>
      <c r="Y10" s="187" t="s">
        <v>58</v>
      </c>
      <c r="Z10" s="187">
        <v>0.02</v>
      </c>
      <c r="AA10" s="187">
        <v>0.6</v>
      </c>
      <c r="AB10" s="187">
        <v>975</v>
      </c>
      <c r="AC10" s="187">
        <v>840</v>
      </c>
      <c r="AD10" s="237">
        <f>Z10/AA10</f>
        <v>3.3333333333333333E-2</v>
      </c>
      <c r="AE10" s="210">
        <f>Z10*AB10*AC10</f>
        <v>16380</v>
      </c>
      <c r="AF10" s="14"/>
      <c r="AG10" s="14"/>
      <c r="AH10" s="14"/>
      <c r="AM10" s="159" t="s">
        <v>319</v>
      </c>
      <c r="AN10" s="81" t="s">
        <v>320</v>
      </c>
      <c r="AO10" s="81" t="s">
        <v>328</v>
      </c>
      <c r="AP10" s="167">
        <f>SUM(U6:U9)</f>
        <v>13429671.581219645</v>
      </c>
      <c r="AQ10" s="81" t="s">
        <v>322</v>
      </c>
      <c r="AR10" s="167">
        <v>14395560</v>
      </c>
      <c r="AV10" s="168" t="s">
        <v>319</v>
      </c>
      <c r="AW10" s="168" t="s">
        <v>320</v>
      </c>
      <c r="AX10" s="168" t="s">
        <v>328</v>
      </c>
      <c r="AY10" s="169" t="s">
        <v>323</v>
      </c>
      <c r="AZ10" s="162">
        <f>AP10</f>
        <v>13429671.581219645</v>
      </c>
      <c r="BA10" s="168" t="s">
        <v>322</v>
      </c>
      <c r="BC10" s="81" t="s">
        <v>393</v>
      </c>
      <c r="BD10" s="167">
        <v>297</v>
      </c>
      <c r="BE10" s="167">
        <v>2.92E-2</v>
      </c>
      <c r="BF10" s="81">
        <v>10162.700000000001</v>
      </c>
      <c r="BG10" s="81" t="s">
        <v>388</v>
      </c>
      <c r="BJ10" s="175" t="s">
        <v>319</v>
      </c>
      <c r="BK10" s="175" t="s">
        <v>320</v>
      </c>
      <c r="BL10" s="175" t="s">
        <v>328</v>
      </c>
      <c r="BM10" s="175" t="s">
        <v>323</v>
      </c>
      <c r="BN10" s="174">
        <f>BD20</f>
        <v>23100000</v>
      </c>
      <c r="BO10" s="175" t="s">
        <v>322</v>
      </c>
      <c r="BQ10" s="81" t="s">
        <v>393</v>
      </c>
      <c r="BR10" s="167">
        <v>292</v>
      </c>
      <c r="BS10" s="167">
        <v>7.2499999999999995E-2</v>
      </c>
      <c r="BT10" s="81">
        <v>4026.39</v>
      </c>
      <c r="BU10" s="81" t="s">
        <v>422</v>
      </c>
      <c r="BV10" s="167">
        <v>2E-16</v>
      </c>
      <c r="BW10" s="81" t="s">
        <v>389</v>
      </c>
      <c r="BY10" s="178"/>
      <c r="BZ10" s="178"/>
      <c r="CA10" s="178"/>
      <c r="CB10" s="178"/>
      <c r="CC10" s="179"/>
      <c r="CD10" s="178"/>
      <c r="CO10" s="81" t="s">
        <v>329</v>
      </c>
      <c r="CP10" s="256">
        <f t="shared" si="0"/>
        <v>7322442.7415002715</v>
      </c>
      <c r="CQ10" s="256">
        <f t="shared" si="1"/>
        <v>30400000</v>
      </c>
      <c r="CR10" s="256">
        <f t="shared" si="2"/>
        <v>25400000</v>
      </c>
      <c r="CU10" s="258" t="s">
        <v>442</v>
      </c>
      <c r="CV10" s="258" t="s">
        <v>392</v>
      </c>
      <c r="CW10" s="259">
        <v>292</v>
      </c>
      <c r="CX10" s="259">
        <v>5.7799999999999997E-2</v>
      </c>
      <c r="CY10" s="258">
        <v>5050.6899999999996</v>
      </c>
      <c r="CZ10" s="258" t="s">
        <v>422</v>
      </c>
      <c r="DA10" s="167">
        <v>2E-16</v>
      </c>
      <c r="DB10" s="81" t="s">
        <v>389</v>
      </c>
      <c r="DC10" s="260" t="s">
        <v>467</v>
      </c>
      <c r="DD10" s="264" t="s">
        <v>473</v>
      </c>
      <c r="DE10" s="261" t="s">
        <v>323</v>
      </c>
      <c r="DF10" s="262">
        <f t="shared" si="9"/>
        <v>0.38</v>
      </c>
      <c r="DG10" s="260" t="s">
        <v>322</v>
      </c>
      <c r="DI10" s="170" t="s">
        <v>467</v>
      </c>
      <c r="DJ10" s="293" t="s">
        <v>473</v>
      </c>
      <c r="DK10" s="291" t="s">
        <v>323</v>
      </c>
      <c r="DL10" s="170">
        <f>$O$10*$Z$37*$AP$5</f>
        <v>0.73157578749791752</v>
      </c>
      <c r="DM10" s="170" t="s">
        <v>322</v>
      </c>
    </row>
    <row r="11" spans="1:117" ht="15" customHeight="1" thickTop="1" thickBot="1" x14ac:dyDescent="0.3">
      <c r="A11" s="188"/>
      <c r="B11" s="189"/>
      <c r="C11" s="189"/>
      <c r="D11" s="194" t="s">
        <v>43</v>
      </c>
      <c r="E11" s="199" t="s">
        <v>56</v>
      </c>
      <c r="F11" s="195">
        <f t="shared" si="3"/>
        <v>0.12383900928792571</v>
      </c>
      <c r="G11" s="189"/>
      <c r="H11" s="200">
        <f>'Tabula data'!B23*(1-'Tabula RefULG 1'!C45)</f>
        <v>4</v>
      </c>
      <c r="I11" s="206"/>
      <c r="K11" s="81" t="s">
        <v>57</v>
      </c>
      <c r="L11" s="218">
        <v>0</v>
      </c>
      <c r="M11" s="219">
        <v>1</v>
      </c>
      <c r="N11" s="219" t="s">
        <v>54</v>
      </c>
      <c r="O11" s="220">
        <f>H7</f>
        <v>4</v>
      </c>
      <c r="P11" s="221" t="s">
        <v>39</v>
      </c>
      <c r="Q11" s="30">
        <f t="shared" si="4"/>
        <v>2</v>
      </c>
      <c r="R11" s="30">
        <f t="shared" si="5"/>
        <v>8</v>
      </c>
      <c r="S11" s="30">
        <f t="shared" si="6"/>
        <v>0</v>
      </c>
      <c r="T11" s="30">
        <f t="shared" si="7"/>
        <v>0</v>
      </c>
      <c r="U11" s="30">
        <f t="shared" si="8"/>
        <v>0</v>
      </c>
      <c r="V11" s="31"/>
      <c r="W11" s="153"/>
      <c r="X11" s="189"/>
      <c r="Y11" s="189"/>
      <c r="Z11" s="238"/>
      <c r="AA11" s="238"/>
      <c r="AB11" s="238"/>
      <c r="AC11" s="189"/>
      <c r="AD11" s="236"/>
      <c r="AE11" s="189"/>
      <c r="AF11" s="14"/>
      <c r="AG11" s="14"/>
      <c r="AH11" s="14"/>
      <c r="AM11" s="159" t="s">
        <v>319</v>
      </c>
      <c r="AN11" s="81" t="s">
        <v>320</v>
      </c>
      <c r="AO11" s="81" t="s">
        <v>329</v>
      </c>
      <c r="AP11" s="167">
        <f>SUM(U27,U30)/2</f>
        <v>7322442.7415002715</v>
      </c>
      <c r="AQ11" s="81" t="s">
        <v>322</v>
      </c>
      <c r="AR11" s="167">
        <v>26154150</v>
      </c>
      <c r="AV11" s="168" t="s">
        <v>319</v>
      </c>
      <c r="AW11" s="168" t="s">
        <v>320</v>
      </c>
      <c r="AX11" s="168" t="s">
        <v>329</v>
      </c>
      <c r="AY11" s="169" t="s">
        <v>323</v>
      </c>
      <c r="AZ11" s="162">
        <f>AP11</f>
        <v>7322442.7415002715</v>
      </c>
      <c r="BA11" s="168" t="s">
        <v>322</v>
      </c>
      <c r="BC11" s="81" t="s">
        <v>394</v>
      </c>
      <c r="BD11" s="167">
        <v>0.16</v>
      </c>
      <c r="BE11" s="167">
        <v>1.5399999999999999E-3</v>
      </c>
      <c r="BF11" s="81">
        <v>103.9</v>
      </c>
      <c r="BG11" s="81" t="s">
        <v>388</v>
      </c>
      <c r="BJ11" s="175" t="s">
        <v>319</v>
      </c>
      <c r="BK11" s="175" t="s">
        <v>320</v>
      </c>
      <c r="BL11" s="175" t="s">
        <v>329</v>
      </c>
      <c r="BM11" s="175" t="s">
        <v>323</v>
      </c>
      <c r="BN11" s="174">
        <f>BD21</f>
        <v>30400000</v>
      </c>
      <c r="BO11" s="175" t="s">
        <v>322</v>
      </c>
      <c r="BQ11" s="81" t="s">
        <v>394</v>
      </c>
      <c r="BR11" s="167">
        <v>0.19</v>
      </c>
      <c r="BS11" s="167">
        <v>2.31E-3</v>
      </c>
      <c r="BT11" s="81">
        <v>82.21</v>
      </c>
      <c r="BU11" s="81" t="s">
        <v>422</v>
      </c>
      <c r="BV11" s="167">
        <v>2E-16</v>
      </c>
      <c r="BW11" s="81" t="s">
        <v>389</v>
      </c>
      <c r="BY11" s="178" t="s">
        <v>319</v>
      </c>
      <c r="BZ11" s="178" t="s">
        <v>320</v>
      </c>
      <c r="CA11" s="178" t="s">
        <v>327</v>
      </c>
      <c r="CB11" s="178" t="s">
        <v>323</v>
      </c>
      <c r="CC11" s="179">
        <f>BR19</f>
        <v>3560000</v>
      </c>
      <c r="CD11" s="178" t="s">
        <v>322</v>
      </c>
      <c r="CO11" s="81" t="s">
        <v>330</v>
      </c>
      <c r="CP11" s="256">
        <f t="shared" si="0"/>
        <v>10652160</v>
      </c>
      <c r="CQ11" s="256">
        <f t="shared" si="1"/>
        <v>15600000</v>
      </c>
      <c r="CR11" s="256">
        <f t="shared" si="2"/>
        <v>0</v>
      </c>
      <c r="CU11" s="258" t="s">
        <v>442</v>
      </c>
      <c r="CV11" s="258" t="s">
        <v>393</v>
      </c>
      <c r="CW11" s="259">
        <v>293</v>
      </c>
      <c r="CX11" s="259">
        <v>3.5700000000000003E-2</v>
      </c>
      <c r="CY11" s="258">
        <v>8192.74</v>
      </c>
      <c r="CZ11" s="258" t="s">
        <v>422</v>
      </c>
      <c r="DA11" s="167">
        <v>2E-16</v>
      </c>
      <c r="DB11" s="81" t="s">
        <v>389</v>
      </c>
      <c r="DC11" s="260" t="s">
        <v>467</v>
      </c>
      <c r="DD11" s="264" t="s">
        <v>474</v>
      </c>
      <c r="DE11" s="261" t="s">
        <v>323</v>
      </c>
      <c r="DF11" s="262">
        <f t="shared" si="9"/>
        <v>0.40799999999999997</v>
      </c>
      <c r="DG11" s="260" t="s">
        <v>322</v>
      </c>
      <c r="DI11" s="170" t="s">
        <v>467</v>
      </c>
      <c r="DJ11" s="293" t="s">
        <v>474</v>
      </c>
      <c r="DK11" s="291" t="s">
        <v>323</v>
      </c>
      <c r="DL11" s="170">
        <f>$O$12*$Z$37*$AP$5</f>
        <v>0.85350508541423697</v>
      </c>
      <c r="DM11" s="170" t="s">
        <v>322</v>
      </c>
    </row>
    <row r="12" spans="1:117" ht="15" customHeight="1" thickTop="1" thickBot="1" x14ac:dyDescent="0.3">
      <c r="A12" s="188"/>
      <c r="B12" s="189"/>
      <c r="C12" s="189"/>
      <c r="D12" s="194" t="s">
        <v>48</v>
      </c>
      <c r="E12" s="199" t="s">
        <v>56</v>
      </c>
      <c r="F12" s="195">
        <f t="shared" si="3"/>
        <v>0.1408668730650155</v>
      </c>
      <c r="G12" s="189"/>
      <c r="H12" s="200">
        <f>'Tabula data'!B24*(1-'Tabula RefULG 1'!C45)</f>
        <v>4.55</v>
      </c>
      <c r="I12" s="206"/>
      <c r="K12" s="81" t="s">
        <v>59</v>
      </c>
      <c r="L12" s="218">
        <v>0</v>
      </c>
      <c r="M12" s="219">
        <v>1</v>
      </c>
      <c r="N12" s="219" t="s">
        <v>54</v>
      </c>
      <c r="O12" s="220">
        <f>H8</f>
        <v>4.55</v>
      </c>
      <c r="P12" s="221" t="s">
        <v>45</v>
      </c>
      <c r="Q12" s="30">
        <f t="shared" si="4"/>
        <v>2</v>
      </c>
      <c r="R12" s="30">
        <f t="shared" si="5"/>
        <v>9.1</v>
      </c>
      <c r="S12" s="30">
        <f t="shared" si="6"/>
        <v>0</v>
      </c>
      <c r="T12" s="30">
        <f t="shared" si="7"/>
        <v>0</v>
      </c>
      <c r="U12" s="30">
        <f t="shared" si="8"/>
        <v>0</v>
      </c>
      <c r="V12" s="31"/>
      <c r="W12" s="153"/>
      <c r="X12" s="226"/>
      <c r="Y12" s="226"/>
      <c r="Z12" s="227" t="s">
        <v>4</v>
      </c>
      <c r="AA12" s="227">
        <v>1</v>
      </c>
      <c r="AB12" s="227" t="s">
        <v>5</v>
      </c>
      <c r="AC12" s="226"/>
      <c r="AD12" s="226"/>
      <c r="AE12" s="226"/>
      <c r="AF12" s="14"/>
      <c r="AG12" s="14"/>
      <c r="AH12" s="14"/>
      <c r="AM12" s="159" t="s">
        <v>319</v>
      </c>
      <c r="AN12" s="81" t="s">
        <v>320</v>
      </c>
      <c r="AO12" s="81" t="s">
        <v>330</v>
      </c>
      <c r="AP12" s="167">
        <f>SUM(U14)</f>
        <v>10652160</v>
      </c>
      <c r="AQ12" s="81" t="s">
        <v>322</v>
      </c>
      <c r="AR12" s="167">
        <v>12228720</v>
      </c>
      <c r="AV12" s="168" t="s">
        <v>319</v>
      </c>
      <c r="AW12" s="168" t="s">
        <v>320</v>
      </c>
      <c r="AX12" s="168" t="s">
        <v>330</v>
      </c>
      <c r="AY12" s="169" t="s">
        <v>323</v>
      </c>
      <c r="AZ12" s="162">
        <f>AP12</f>
        <v>10652160</v>
      </c>
      <c r="BA12" s="168" t="s">
        <v>322</v>
      </c>
      <c r="BC12" s="81" t="s">
        <v>395</v>
      </c>
      <c r="BD12" s="167">
        <v>0.318</v>
      </c>
      <c r="BE12" s="167">
        <v>2.1299999999999999E-3</v>
      </c>
      <c r="BF12" s="81">
        <v>149.15</v>
      </c>
      <c r="BG12" s="81" t="s">
        <v>388</v>
      </c>
      <c r="BJ12" s="175" t="s">
        <v>319</v>
      </c>
      <c r="BK12" s="175" t="s">
        <v>320</v>
      </c>
      <c r="BL12" s="175" t="s">
        <v>330</v>
      </c>
      <c r="BM12" s="175" t="s">
        <v>323</v>
      </c>
      <c r="BN12" s="174">
        <f>BD18</f>
        <v>15600000</v>
      </c>
      <c r="BO12" s="175" t="s">
        <v>322</v>
      </c>
      <c r="BQ12" s="81" t="s">
        <v>395</v>
      </c>
      <c r="BR12" s="167">
        <v>0.38</v>
      </c>
      <c r="BS12" s="167">
        <v>1.3600000000000001E-3</v>
      </c>
      <c r="BT12" s="81">
        <v>278.99</v>
      </c>
      <c r="BU12" s="81" t="s">
        <v>422</v>
      </c>
      <c r="BV12" s="167">
        <v>2E-16</v>
      </c>
      <c r="BW12" s="81" t="s">
        <v>389</v>
      </c>
      <c r="BY12" s="178" t="s">
        <v>319</v>
      </c>
      <c r="BZ12" s="178" t="s">
        <v>320</v>
      </c>
      <c r="CA12" s="178" t="s">
        <v>328</v>
      </c>
      <c r="CB12" s="178" t="s">
        <v>323</v>
      </c>
      <c r="CC12" s="179">
        <f>BR20</f>
        <v>32200000</v>
      </c>
      <c r="CD12" s="178" t="s">
        <v>322</v>
      </c>
      <c r="CP12" s="255"/>
      <c r="CQ12" s="255"/>
      <c r="CR12" s="255"/>
      <c r="CU12" s="258" t="s">
        <v>442</v>
      </c>
      <c r="CV12" s="258" t="s">
        <v>444</v>
      </c>
      <c r="CW12" s="259">
        <v>0.189</v>
      </c>
      <c r="CX12" s="259">
        <v>1.2500000000000001E-2</v>
      </c>
      <c r="CY12" s="258">
        <v>15.05</v>
      </c>
      <c r="CZ12" s="258" t="s">
        <v>422</v>
      </c>
      <c r="DA12" s="167">
        <v>2E-16</v>
      </c>
      <c r="DB12" s="81" t="s">
        <v>389</v>
      </c>
      <c r="DC12" s="260" t="s">
        <v>467</v>
      </c>
      <c r="DD12" s="263" t="s">
        <v>475</v>
      </c>
      <c r="DE12" s="261" t="s">
        <v>323</v>
      </c>
      <c r="DF12" s="262">
        <f t="shared" si="9"/>
        <v>0.34599999999999997</v>
      </c>
      <c r="DG12" s="260" t="s">
        <v>322</v>
      </c>
      <c r="DI12" s="170" t="s">
        <v>467</v>
      </c>
      <c r="DJ12" s="292" t="s">
        <v>475</v>
      </c>
      <c r="DK12" s="291" t="s">
        <v>323</v>
      </c>
      <c r="DL12" s="170">
        <f>$O$13*$Z$37*$AP$5</f>
        <v>0.69405908044674225</v>
      </c>
      <c r="DM12" s="170" t="s">
        <v>322</v>
      </c>
    </row>
    <row r="13" spans="1:117" ht="15" customHeight="1" thickTop="1" thickBot="1" x14ac:dyDescent="0.3">
      <c r="A13" s="188"/>
      <c r="B13" s="189"/>
      <c r="C13" s="189"/>
      <c r="D13" s="194" t="s">
        <v>52</v>
      </c>
      <c r="E13" s="199" t="s">
        <v>56</v>
      </c>
      <c r="F13" s="195">
        <f t="shared" si="3"/>
        <v>0.11455108359133129</v>
      </c>
      <c r="G13" s="189"/>
      <c r="H13" s="200">
        <f>'Tabula data'!B25*(1-'Tabula RefULG 1'!C45)</f>
        <v>3.7</v>
      </c>
      <c r="I13" s="206"/>
      <c r="K13" s="81" t="s">
        <v>60</v>
      </c>
      <c r="L13" s="218">
        <v>0</v>
      </c>
      <c r="M13" s="219">
        <v>1</v>
      </c>
      <c r="N13" s="219" t="s">
        <v>54</v>
      </c>
      <c r="O13" s="220">
        <f>H9</f>
        <v>3.7</v>
      </c>
      <c r="P13" s="221" t="s">
        <v>50</v>
      </c>
      <c r="Q13" s="30">
        <f t="shared" si="4"/>
        <v>2</v>
      </c>
      <c r="R13" s="30">
        <f t="shared" si="5"/>
        <v>7.4</v>
      </c>
      <c r="S13" s="30">
        <f t="shared" si="6"/>
        <v>0</v>
      </c>
      <c r="T13" s="30">
        <f t="shared" si="7"/>
        <v>0</v>
      </c>
      <c r="U13" s="30">
        <f t="shared" si="8"/>
        <v>0</v>
      </c>
      <c r="V13" s="31"/>
      <c r="W13" s="153"/>
      <c r="X13" s="228" t="s">
        <v>64</v>
      </c>
      <c r="Y13" s="229"/>
      <c r="Z13" s="230" t="s">
        <v>21</v>
      </c>
      <c r="AA13" s="231">
        <f>1/(1/8+SUM(AD15:AD19)+1/23)</f>
        <v>0.99033657090706906</v>
      </c>
      <c r="AB13" s="229" t="s">
        <v>5</v>
      </c>
      <c r="AC13" s="229"/>
      <c r="AD13" s="229" t="s">
        <v>22</v>
      </c>
      <c r="AE13" s="232">
        <f>SUM(AE15:AE20)</f>
        <v>444802.20000000007</v>
      </c>
      <c r="AF13" s="14" t="s">
        <v>23</v>
      </c>
      <c r="AG13" s="14">
        <f>SUM(AE18:AE19)</f>
        <v>181020.00000000003</v>
      </c>
      <c r="AH13" s="14"/>
      <c r="AP13" s="167"/>
      <c r="AQ13" s="81" t="s">
        <v>322</v>
      </c>
      <c r="AR13" s="167"/>
      <c r="AV13" s="168"/>
      <c r="AW13" s="168"/>
      <c r="AX13" s="168"/>
      <c r="AY13" s="169"/>
      <c r="BA13" s="168"/>
      <c r="BC13" s="81" t="s">
        <v>396</v>
      </c>
      <c r="BD13" s="167">
        <v>0.26200000000000001</v>
      </c>
      <c r="BE13" s="167">
        <v>8.6800000000000002E-3</v>
      </c>
      <c r="BF13" s="81">
        <v>30.21</v>
      </c>
      <c r="BG13" s="81" t="s">
        <v>388</v>
      </c>
      <c r="BJ13" s="175"/>
      <c r="BK13" s="175"/>
      <c r="BL13" s="175"/>
      <c r="BM13" s="175"/>
      <c r="BN13" s="174"/>
      <c r="BO13" s="175"/>
      <c r="BQ13" s="81" t="s">
        <v>396</v>
      </c>
      <c r="BR13" s="167">
        <v>5.0500000000000003E-2</v>
      </c>
      <c r="BS13" s="167">
        <v>8.2699999999999996E-3</v>
      </c>
      <c r="BT13" s="81">
        <v>6.11</v>
      </c>
      <c r="BU13" s="167">
        <v>1.0999999999999999E-9</v>
      </c>
      <c r="BV13" s="81" t="s">
        <v>389</v>
      </c>
      <c r="BY13" s="178" t="s">
        <v>319</v>
      </c>
      <c r="BZ13" s="178" t="s">
        <v>320</v>
      </c>
      <c r="CA13" s="178" t="s">
        <v>329</v>
      </c>
      <c r="CB13" s="178" t="s">
        <v>323</v>
      </c>
      <c r="CC13" s="179">
        <f>BR21</f>
        <v>25400000</v>
      </c>
      <c r="CD13" s="178" t="s">
        <v>322</v>
      </c>
      <c r="CO13" s="81" t="s">
        <v>331</v>
      </c>
      <c r="CP13" s="254">
        <f t="shared" si="0"/>
        <v>4.851899087761509E-2</v>
      </c>
      <c r="CQ13" s="254">
        <f t="shared" si="1"/>
        <v>0.11700000000000001</v>
      </c>
      <c r="CR13" s="254">
        <f t="shared" si="2"/>
        <v>7.0400000000000004E-2</v>
      </c>
      <c r="CU13" s="258" t="s">
        <v>442</v>
      </c>
      <c r="CV13" s="258" t="s">
        <v>341</v>
      </c>
      <c r="CW13" s="259">
        <v>0.317</v>
      </c>
      <c r="CX13" s="259">
        <v>3.7199999999999997E-2</v>
      </c>
      <c r="CY13" s="258">
        <v>8.5299999999999994</v>
      </c>
      <c r="CZ13" s="259" t="s">
        <v>422</v>
      </c>
      <c r="DA13" s="167">
        <v>2E-16</v>
      </c>
      <c r="DB13" s="81" t="s">
        <v>389</v>
      </c>
      <c r="DC13" s="260" t="s">
        <v>467</v>
      </c>
      <c r="DD13" s="265" t="s">
        <v>476</v>
      </c>
      <c r="DE13" s="261" t="s">
        <v>323</v>
      </c>
      <c r="DF13" s="262">
        <f t="shared" si="9"/>
        <v>0.26300000000000001</v>
      </c>
      <c r="DG13" s="260" t="s">
        <v>322</v>
      </c>
      <c r="DI13" s="170" t="s">
        <v>467</v>
      </c>
      <c r="DJ13" s="294" t="s">
        <v>476</v>
      </c>
      <c r="DK13" s="291" t="s">
        <v>323</v>
      </c>
      <c r="DL13" s="170">
        <f>$O$11*$Z$37*$AP$6</f>
        <v>6.6188425344832755E-2</v>
      </c>
      <c r="DM13" s="170" t="s">
        <v>322</v>
      </c>
    </row>
    <row r="14" spans="1:117" ht="15" customHeight="1" thickTop="1" thickBot="1" x14ac:dyDescent="0.3">
      <c r="A14" s="188"/>
      <c r="B14" s="189"/>
      <c r="C14" s="189"/>
      <c r="D14" s="201" t="s">
        <v>65</v>
      </c>
      <c r="E14" s="202"/>
      <c r="F14" s="202"/>
      <c r="G14" s="202"/>
      <c r="H14" s="203"/>
      <c r="I14" s="193"/>
      <c r="K14" s="81" t="s">
        <v>61</v>
      </c>
      <c r="L14" s="218" t="s">
        <v>62</v>
      </c>
      <c r="M14" s="219">
        <v>1</v>
      </c>
      <c r="N14" s="219" t="s">
        <v>63</v>
      </c>
      <c r="O14" s="220">
        <f>B7</f>
        <v>96</v>
      </c>
      <c r="P14" s="221"/>
      <c r="Q14" s="30">
        <f t="shared" si="4"/>
        <v>0.84168336673346678</v>
      </c>
      <c r="R14" s="30">
        <f t="shared" si="5"/>
        <v>80.801603206412807</v>
      </c>
      <c r="S14" s="30">
        <f t="shared" si="6"/>
        <v>36180768</v>
      </c>
      <c r="T14" s="30">
        <f t="shared" si="7"/>
        <v>376883</v>
      </c>
      <c r="U14" s="30">
        <f t="shared" si="8"/>
        <v>10652160</v>
      </c>
      <c r="V14" s="31"/>
      <c r="W14" s="153"/>
      <c r="X14" s="233"/>
      <c r="Y14" s="234" t="s">
        <v>27</v>
      </c>
      <c r="Z14" s="234" t="s">
        <v>28</v>
      </c>
      <c r="AA14" s="234" t="s">
        <v>29</v>
      </c>
      <c r="AB14" s="234" t="s">
        <v>30</v>
      </c>
      <c r="AC14" s="234" t="s">
        <v>31</v>
      </c>
      <c r="AD14" s="234" t="s">
        <v>32</v>
      </c>
      <c r="AE14" s="235" t="s">
        <v>33</v>
      </c>
      <c r="AF14" s="14"/>
      <c r="AG14" s="14"/>
      <c r="AH14" s="14"/>
      <c r="AM14" s="159" t="s">
        <v>319</v>
      </c>
      <c r="AN14" s="81" t="s">
        <v>320</v>
      </c>
      <c r="AO14" s="81" t="s">
        <v>331</v>
      </c>
      <c r="AP14" s="81">
        <f>AP4*0.3</f>
        <v>4.851899087761509E-2</v>
      </c>
      <c r="AQ14" s="81" t="s">
        <v>322</v>
      </c>
      <c r="AR14" s="167">
        <v>6.5890790000000005E-2</v>
      </c>
      <c r="AV14" s="168" t="s">
        <v>319</v>
      </c>
      <c r="AW14" s="168" t="s">
        <v>320</v>
      </c>
      <c r="AX14" s="168" t="s">
        <v>331</v>
      </c>
      <c r="AY14" s="169" t="s">
        <v>323</v>
      </c>
      <c r="AZ14" s="162">
        <f>AZ4*0.3</f>
        <v>4.851899087761509E-2</v>
      </c>
      <c r="BA14" s="168" t="s">
        <v>322</v>
      </c>
      <c r="BC14" s="81" t="s">
        <v>397</v>
      </c>
      <c r="BD14" s="167">
        <v>0.156</v>
      </c>
      <c r="BE14" s="167">
        <v>1.4499999999999999E-3</v>
      </c>
      <c r="BF14" s="81">
        <v>107.8</v>
      </c>
      <c r="BG14" s="81" t="s">
        <v>388</v>
      </c>
      <c r="BJ14" s="175" t="s">
        <v>319</v>
      </c>
      <c r="BK14" s="175" t="s">
        <v>320</v>
      </c>
      <c r="BL14" s="175" t="s">
        <v>331</v>
      </c>
      <c r="BM14" s="175" t="s">
        <v>323</v>
      </c>
      <c r="BN14" s="174">
        <f>BD27</f>
        <v>0.11700000000000001</v>
      </c>
      <c r="BO14" s="175" t="s">
        <v>322</v>
      </c>
      <c r="BQ14" s="81" t="s">
        <v>397</v>
      </c>
      <c r="BR14" s="167">
        <v>0.20300000000000001</v>
      </c>
      <c r="BS14" s="167">
        <v>1.14E-3</v>
      </c>
      <c r="BT14" s="81">
        <v>177.92</v>
      </c>
      <c r="BU14" s="81" t="s">
        <v>422</v>
      </c>
      <c r="BV14" s="167">
        <v>2E-16</v>
      </c>
      <c r="BW14" s="81" t="s">
        <v>389</v>
      </c>
      <c r="BY14" s="178" t="s">
        <v>319</v>
      </c>
      <c r="BZ14" s="178" t="s">
        <v>320</v>
      </c>
      <c r="CA14" s="178" t="s">
        <v>330</v>
      </c>
      <c r="CB14" s="178" t="s">
        <v>323</v>
      </c>
      <c r="CC14" s="179">
        <v>0</v>
      </c>
      <c r="CD14" s="178" t="s">
        <v>322</v>
      </c>
      <c r="CO14" s="81" t="s">
        <v>332</v>
      </c>
      <c r="CP14" s="254">
        <f t="shared" si="0"/>
        <v>0.11973417143992103</v>
      </c>
      <c r="CQ14" s="254">
        <f t="shared" si="1"/>
        <v>0.22500000000000001</v>
      </c>
      <c r="CR14" s="254">
        <f t="shared" si="2"/>
        <v>0.13700000000000001</v>
      </c>
      <c r="CU14" s="258" t="s">
        <v>442</v>
      </c>
      <c r="CV14" s="258" t="s">
        <v>445</v>
      </c>
      <c r="CW14" s="259">
        <v>0.27700000000000002</v>
      </c>
      <c r="CX14" s="259">
        <v>8.5599999999999999E-3</v>
      </c>
      <c r="CY14" s="258">
        <v>32.409999999999997</v>
      </c>
      <c r="CZ14" s="258" t="s">
        <v>422</v>
      </c>
      <c r="DA14" s="167">
        <v>2E-16</v>
      </c>
      <c r="DB14" s="81" t="s">
        <v>389</v>
      </c>
      <c r="DC14" s="260" t="s">
        <v>467</v>
      </c>
      <c r="DD14" s="265" t="s">
        <v>477</v>
      </c>
      <c r="DE14" s="261" t="s">
        <v>323</v>
      </c>
      <c r="DF14" s="262">
        <f t="shared" si="9"/>
        <v>0.35499999999999998</v>
      </c>
      <c r="DG14" s="260" t="s">
        <v>322</v>
      </c>
      <c r="DI14" s="170" t="s">
        <v>467</v>
      </c>
      <c r="DJ14" s="294" t="s">
        <v>477</v>
      </c>
      <c r="DK14" s="291" t="s">
        <v>323</v>
      </c>
      <c r="DL14" s="170">
        <f>$O$10*$Z$37*$AP$6</f>
        <v>6.4533714711211942E-2</v>
      </c>
      <c r="DM14" s="170" t="s">
        <v>322</v>
      </c>
    </row>
    <row r="15" spans="1:117" ht="15" customHeight="1" thickTop="1" thickBot="1" x14ac:dyDescent="0.3">
      <c r="A15" s="188"/>
      <c r="B15" s="189"/>
      <c r="C15" s="189"/>
      <c r="D15" s="204"/>
      <c r="E15" s="189"/>
      <c r="F15" s="189"/>
      <c r="G15" s="189"/>
      <c r="H15" s="190"/>
      <c r="I15" s="189"/>
      <c r="K15" s="81" t="s">
        <v>66</v>
      </c>
      <c r="L15" s="218">
        <v>0</v>
      </c>
      <c r="M15" s="219">
        <v>1</v>
      </c>
      <c r="N15" s="219" t="s">
        <v>20</v>
      </c>
      <c r="O15" s="222">
        <v>0</v>
      </c>
      <c r="P15" s="221"/>
      <c r="Q15" s="30">
        <f t="shared" si="4"/>
        <v>0.3127301569316186</v>
      </c>
      <c r="R15" s="30">
        <f t="shared" si="5"/>
        <v>0</v>
      </c>
      <c r="S15" s="30">
        <f>VLOOKUP(N15,$X$5:$AE$391,8,0)*O25</f>
        <v>6179292</v>
      </c>
      <c r="T15" s="30">
        <f>S15/O25</f>
        <v>56952</v>
      </c>
      <c r="U15" s="30">
        <f>VLOOKUP(N15,$X$5:$AG$391,10,0)*O25</f>
        <v>1777230</v>
      </c>
      <c r="V15" s="31"/>
      <c r="W15" s="153"/>
      <c r="X15" s="188"/>
      <c r="Y15" s="189" t="s">
        <v>271</v>
      </c>
      <c r="Z15" s="189">
        <v>0.1</v>
      </c>
      <c r="AA15" s="189">
        <v>1.1000000000000001</v>
      </c>
      <c r="AB15" s="189">
        <v>1850</v>
      </c>
      <c r="AC15" s="199">
        <v>840</v>
      </c>
      <c r="AD15" s="236">
        <f>Z15/AA15</f>
        <v>9.0909090909090912E-2</v>
      </c>
      <c r="AE15" s="190">
        <f>AB15*AC15*Z15</f>
        <v>155400</v>
      </c>
      <c r="AF15" s="14"/>
      <c r="AG15" s="14"/>
      <c r="AH15" s="14"/>
      <c r="AM15" s="159" t="s">
        <v>319</v>
      </c>
      <c r="AN15" s="81" t="s">
        <v>320</v>
      </c>
      <c r="AO15" s="81" t="s">
        <v>332</v>
      </c>
      <c r="AP15" s="81">
        <f>AP5*0.3</f>
        <v>0.11973417143992103</v>
      </c>
      <c r="AQ15" s="81" t="s">
        <v>322</v>
      </c>
      <c r="AR15" s="167">
        <v>0.1612856</v>
      </c>
      <c r="AV15" s="168" t="s">
        <v>319</v>
      </c>
      <c r="AW15" s="168" t="s">
        <v>320</v>
      </c>
      <c r="AX15" s="168" t="s">
        <v>332</v>
      </c>
      <c r="AY15" s="169" t="s">
        <v>323</v>
      </c>
      <c r="AZ15" s="162">
        <f>AZ5*0.3</f>
        <v>0.11973417143992103</v>
      </c>
      <c r="BA15" s="168" t="s">
        <v>322</v>
      </c>
      <c r="BC15" s="81" t="s">
        <v>398</v>
      </c>
      <c r="BD15" s="167">
        <v>9.35E-2</v>
      </c>
      <c r="BE15" s="167">
        <v>1.6000000000000001E-3</v>
      </c>
      <c r="BF15" s="81">
        <v>58.4</v>
      </c>
      <c r="BG15" s="81" t="s">
        <v>388</v>
      </c>
      <c r="BJ15" s="175" t="s">
        <v>319</v>
      </c>
      <c r="BK15" s="175" t="s">
        <v>320</v>
      </c>
      <c r="BL15" s="175" t="s">
        <v>332</v>
      </c>
      <c r="BM15" s="175" t="s">
        <v>323</v>
      </c>
      <c r="BN15" s="174">
        <f>BD28</f>
        <v>0.22500000000000001</v>
      </c>
      <c r="BO15" s="175" t="s">
        <v>322</v>
      </c>
      <c r="BQ15" s="81" t="s">
        <v>398</v>
      </c>
      <c r="BR15" s="167">
        <v>0.11799999999999999</v>
      </c>
      <c r="BS15" s="167">
        <v>5.9500000000000004E-4</v>
      </c>
      <c r="BT15" s="81">
        <v>198</v>
      </c>
      <c r="BU15" s="81" t="s">
        <v>422</v>
      </c>
      <c r="BV15" s="167">
        <v>2E-16</v>
      </c>
      <c r="BW15" s="81" t="s">
        <v>389</v>
      </c>
      <c r="BY15" s="178"/>
      <c r="BZ15" s="178"/>
      <c r="CA15" s="178"/>
      <c r="CB15" s="178"/>
      <c r="CC15" s="179"/>
      <c r="CD15" s="178"/>
      <c r="CO15" s="81" t="s">
        <v>333</v>
      </c>
      <c r="CP15" s="254">
        <f t="shared" si="0"/>
        <v>0.71056198276779237</v>
      </c>
      <c r="CQ15" s="254">
        <f t="shared" si="1"/>
        <v>0.46500000000000002</v>
      </c>
      <c r="CR15" s="254">
        <f t="shared" si="2"/>
        <v>0.76900000000000002</v>
      </c>
      <c r="CU15" s="258" t="s">
        <v>442</v>
      </c>
      <c r="CV15" s="258" t="s">
        <v>446</v>
      </c>
      <c r="CW15" s="259">
        <v>0.14399999999999999</v>
      </c>
      <c r="CX15" s="259">
        <v>6.6699999999999997E-3</v>
      </c>
      <c r="CY15" s="258">
        <v>21.61</v>
      </c>
      <c r="CZ15" s="258" t="s">
        <v>422</v>
      </c>
      <c r="DA15" s="167">
        <v>2E-16</v>
      </c>
      <c r="DB15" s="81" t="s">
        <v>389</v>
      </c>
      <c r="DC15" s="260" t="s">
        <v>467</v>
      </c>
      <c r="DD15" s="265" t="s">
        <v>478</v>
      </c>
      <c r="DE15" s="261" t="s">
        <v>323</v>
      </c>
      <c r="DF15" s="262">
        <f t="shared" si="9"/>
        <v>0.10100000000000001</v>
      </c>
      <c r="DG15" s="260" t="s">
        <v>322</v>
      </c>
      <c r="DI15" s="170" t="s">
        <v>467</v>
      </c>
      <c r="DJ15" s="294" t="s">
        <v>478</v>
      </c>
      <c r="DK15" s="291" t="s">
        <v>323</v>
      </c>
      <c r="DL15" s="170">
        <f>$O$12*$Z$37*$AP$6</f>
        <v>7.5289333829747243E-2</v>
      </c>
      <c r="DM15" s="170" t="s">
        <v>322</v>
      </c>
    </row>
    <row r="16" spans="1:117" ht="15" customHeight="1" thickTop="1" thickBot="1" x14ac:dyDescent="0.3">
      <c r="A16" s="205"/>
      <c r="B16" s="187"/>
      <c r="C16" s="187"/>
      <c r="D16" s="194" t="s">
        <v>69</v>
      </c>
      <c r="E16" s="189"/>
      <c r="F16" s="206">
        <f>B4/B26</f>
        <v>1.3080082135523614</v>
      </c>
      <c r="G16" s="199" t="s">
        <v>70</v>
      </c>
      <c r="H16" s="190"/>
      <c r="I16" s="189"/>
      <c r="K16" s="81" t="s">
        <v>67</v>
      </c>
      <c r="L16" s="218">
        <v>0</v>
      </c>
      <c r="M16" s="219">
        <v>1</v>
      </c>
      <c r="N16" s="219" t="s">
        <v>68</v>
      </c>
      <c r="O16" s="220">
        <f>'Tabula data'!B21</f>
        <v>9.5</v>
      </c>
      <c r="P16" s="221"/>
      <c r="Q16" s="30">
        <f t="shared" si="4"/>
        <v>4</v>
      </c>
      <c r="R16" s="30">
        <f t="shared" si="5"/>
        <v>38</v>
      </c>
      <c r="S16" s="30">
        <f t="shared" ref="S16:S31" si="10">VLOOKUP(N16,$X$5:$AE$391,8,0)*O16</f>
        <v>346940</v>
      </c>
      <c r="T16" s="30">
        <f t="shared" ref="T16:T31" si="11">S16/O16</f>
        <v>36520</v>
      </c>
      <c r="U16" s="30">
        <f t="shared" ref="U16:U31" si="12">VLOOKUP(N16,$X$5:$AG$391,10,0)*O16</f>
        <v>0</v>
      </c>
      <c r="V16" s="31"/>
      <c r="W16" s="153"/>
      <c r="X16" s="188"/>
      <c r="Y16" s="189" t="s">
        <v>272</v>
      </c>
      <c r="Z16" s="189">
        <v>0.06</v>
      </c>
      <c r="AA16" s="189">
        <v>1</v>
      </c>
      <c r="AB16" s="189">
        <v>1800</v>
      </c>
      <c r="AC16" s="189">
        <v>1000</v>
      </c>
      <c r="AD16" s="236">
        <v>0.18</v>
      </c>
      <c r="AE16" s="190">
        <f>Z16*AB16*AC16</f>
        <v>108000</v>
      </c>
      <c r="AF16" s="14"/>
      <c r="AG16" s="14"/>
      <c r="AH16" s="14"/>
      <c r="AM16" s="159" t="s">
        <v>319</v>
      </c>
      <c r="AN16" s="81" t="s">
        <v>320</v>
      </c>
      <c r="AO16" s="81" t="s">
        <v>333</v>
      </c>
      <c r="AP16" s="81">
        <f>AP6*0.3+0.7</f>
        <v>0.71056198276779237</v>
      </c>
      <c r="AQ16" s="81" t="s">
        <v>322</v>
      </c>
      <c r="AR16" s="167">
        <v>0.64236059999999995</v>
      </c>
      <c r="AV16" s="168" t="s">
        <v>319</v>
      </c>
      <c r="AW16" s="168" t="s">
        <v>320</v>
      </c>
      <c r="AX16" s="168" t="s">
        <v>333</v>
      </c>
      <c r="AY16" s="169" t="s">
        <v>323</v>
      </c>
      <c r="AZ16" s="162">
        <f>AZ6*0.3+0.7</f>
        <v>0.71056198276779237</v>
      </c>
      <c r="BA16" s="168" t="s">
        <v>322</v>
      </c>
      <c r="BC16" s="81" t="s">
        <v>308</v>
      </c>
      <c r="BD16" s="167">
        <v>13100000</v>
      </c>
      <c r="BE16" s="167">
        <v>252000</v>
      </c>
      <c r="BF16" s="81">
        <v>51.84</v>
      </c>
      <c r="BG16" s="81" t="s">
        <v>388</v>
      </c>
      <c r="BJ16" s="175" t="s">
        <v>319</v>
      </c>
      <c r="BK16" s="175" t="s">
        <v>320</v>
      </c>
      <c r="BL16" s="175" t="s">
        <v>333</v>
      </c>
      <c r="BM16" s="175" t="s">
        <v>323</v>
      </c>
      <c r="BN16" s="174">
        <f>BD29</f>
        <v>0.46500000000000002</v>
      </c>
      <c r="BO16" s="175" t="s">
        <v>322</v>
      </c>
      <c r="BQ16" s="81" t="s">
        <v>308</v>
      </c>
      <c r="BR16" s="167">
        <v>812000000</v>
      </c>
      <c r="BS16" s="167">
        <v>25300000</v>
      </c>
      <c r="BT16" s="81">
        <v>32.119999999999997</v>
      </c>
      <c r="BU16" s="81" t="s">
        <v>422</v>
      </c>
      <c r="BV16" s="167">
        <v>2E-16</v>
      </c>
      <c r="BW16" s="81" t="s">
        <v>389</v>
      </c>
      <c r="BY16" s="178" t="s">
        <v>319</v>
      </c>
      <c r="BZ16" s="178" t="s">
        <v>320</v>
      </c>
      <c r="CA16" s="178" t="s">
        <v>331</v>
      </c>
      <c r="CB16" s="178" t="s">
        <v>323</v>
      </c>
      <c r="CC16" s="177">
        <f>BR27</f>
        <v>7.0400000000000004E-2</v>
      </c>
      <c r="CD16" s="178" t="s">
        <v>322</v>
      </c>
      <c r="CO16" s="81" t="s">
        <v>334</v>
      </c>
      <c r="CP16" s="254">
        <f t="shared" si="0"/>
        <v>6.2783303139818961E-2</v>
      </c>
      <c r="CQ16" s="254">
        <f t="shared" si="1"/>
        <v>0.11</v>
      </c>
      <c r="CR16" s="254">
        <f t="shared" si="2"/>
        <v>7.2499999999999995E-2</v>
      </c>
      <c r="CU16" s="258" t="s">
        <v>442</v>
      </c>
      <c r="CV16" s="258" t="s">
        <v>447</v>
      </c>
      <c r="CW16" s="259">
        <v>0.372</v>
      </c>
      <c r="CX16" s="259">
        <v>2.4899999999999999E-2</v>
      </c>
      <c r="CY16" s="258">
        <v>14.96</v>
      </c>
      <c r="CZ16" s="258" t="s">
        <v>422</v>
      </c>
      <c r="DA16" s="167">
        <v>2E-16</v>
      </c>
      <c r="DB16" s="81" t="s">
        <v>389</v>
      </c>
      <c r="DC16" s="260" t="s">
        <v>467</v>
      </c>
      <c r="DD16" s="265" t="s">
        <v>479</v>
      </c>
      <c r="DE16" s="261" t="s">
        <v>323</v>
      </c>
      <c r="DF16" s="262">
        <f t="shared" si="9"/>
        <v>0.27200000000000002</v>
      </c>
      <c r="DG16" s="260" t="s">
        <v>322</v>
      </c>
      <c r="DI16" s="170" t="s">
        <v>467</v>
      </c>
      <c r="DJ16" s="294" t="s">
        <v>479</v>
      </c>
      <c r="DK16" s="291" t="s">
        <v>323</v>
      </c>
      <c r="DL16" s="170">
        <f>$O$13*$Z$37*$AP$6</f>
        <v>6.1224293443970297E-2</v>
      </c>
      <c r="DM16" s="170" t="s">
        <v>322</v>
      </c>
    </row>
    <row r="17" spans="1:117" ht="15" customHeight="1" thickTop="1" thickBot="1" x14ac:dyDescent="0.3">
      <c r="A17" s="191" t="s">
        <v>73</v>
      </c>
      <c r="B17" s="192">
        <v>0</v>
      </c>
      <c r="C17" s="202" t="s">
        <v>9</v>
      </c>
      <c r="D17" s="194" t="s">
        <v>74</v>
      </c>
      <c r="E17" s="189"/>
      <c r="F17" s="206">
        <f>B26/B23</f>
        <v>2.1025364274150027</v>
      </c>
      <c r="G17" s="199"/>
      <c r="H17" s="190"/>
      <c r="I17" s="189"/>
      <c r="K17" s="81" t="s">
        <v>71</v>
      </c>
      <c r="L17" s="218">
        <v>0</v>
      </c>
      <c r="M17" s="219">
        <v>2</v>
      </c>
      <c r="N17" s="219" t="s">
        <v>25</v>
      </c>
      <c r="O17" s="220">
        <f>'Tabula data'!B19*(1-C43)</f>
        <v>18.364565347833842</v>
      </c>
      <c r="P17" s="221" t="s">
        <v>26</v>
      </c>
      <c r="Q17" s="30">
        <f t="shared" si="4"/>
        <v>0.99033657090706906</v>
      </c>
      <c r="R17" s="30">
        <f t="shared" si="5"/>
        <v>18.187100672772555</v>
      </c>
      <c r="S17" s="30">
        <f t="shared" si="10"/>
        <v>8168599.06876026</v>
      </c>
      <c r="T17" s="30">
        <f t="shared" si="11"/>
        <v>444802.20000000007</v>
      </c>
      <c r="U17" s="30">
        <f t="shared" si="12"/>
        <v>3324353.6192648825</v>
      </c>
      <c r="V17" s="31"/>
      <c r="W17" s="153"/>
      <c r="X17" s="188"/>
      <c r="Y17" s="189" t="s">
        <v>273</v>
      </c>
      <c r="Z17" s="189">
        <v>0.01</v>
      </c>
      <c r="AA17" s="189">
        <v>3.5999999999999997E-2</v>
      </c>
      <c r="AB17" s="189">
        <v>26</v>
      </c>
      <c r="AC17" s="189">
        <v>1470</v>
      </c>
      <c r="AD17" s="236">
        <f>Z17/AA17</f>
        <v>0.27777777777777779</v>
      </c>
      <c r="AE17" s="190">
        <f>Z17*AB17*AC17</f>
        <v>382.2</v>
      </c>
      <c r="AF17" s="149" t="s">
        <v>274</v>
      </c>
      <c r="AG17" s="14"/>
      <c r="AH17" s="14"/>
      <c r="AM17" s="159" t="s">
        <v>319</v>
      </c>
      <c r="AN17" s="81" t="s">
        <v>320</v>
      </c>
      <c r="AO17" s="81" t="s">
        <v>334</v>
      </c>
      <c r="AP17" s="81">
        <f>AP7*0.3</f>
        <v>6.2783303139818961E-2</v>
      </c>
      <c r="AQ17" s="81" t="s">
        <v>322</v>
      </c>
      <c r="AR17" s="167">
        <v>6.4977720000000003E-2</v>
      </c>
      <c r="AV17" s="168" t="s">
        <v>319</v>
      </c>
      <c r="AW17" s="168" t="s">
        <v>320</v>
      </c>
      <c r="AX17" s="168" t="s">
        <v>334</v>
      </c>
      <c r="AY17" s="169" t="s">
        <v>323</v>
      </c>
      <c r="AZ17" s="162">
        <f>AZ7*0.3</f>
        <v>6.2783303139818961E-2</v>
      </c>
      <c r="BA17" s="168" t="s">
        <v>322</v>
      </c>
      <c r="BJ17" s="175" t="s">
        <v>319</v>
      </c>
      <c r="BK17" s="175" t="s">
        <v>320</v>
      </c>
      <c r="BL17" s="175" t="s">
        <v>334</v>
      </c>
      <c r="BM17" s="175" t="s">
        <v>323</v>
      </c>
      <c r="BN17" s="174">
        <f>BD30</f>
        <v>0.11</v>
      </c>
      <c r="BO17" s="175" t="s">
        <v>322</v>
      </c>
      <c r="BY17" s="178" t="s">
        <v>319</v>
      </c>
      <c r="BZ17" s="178" t="s">
        <v>320</v>
      </c>
      <c r="CA17" s="178" t="s">
        <v>332</v>
      </c>
      <c r="CB17" s="178" t="s">
        <v>323</v>
      </c>
      <c r="CC17" s="177">
        <f>BR28</f>
        <v>0.13700000000000001</v>
      </c>
      <c r="CD17" s="178" t="s">
        <v>322</v>
      </c>
      <c r="CP17" s="255"/>
      <c r="CQ17" s="255"/>
      <c r="CR17" s="255"/>
      <c r="CU17" s="258" t="s">
        <v>442</v>
      </c>
      <c r="CV17" s="258" t="s">
        <v>342</v>
      </c>
      <c r="CW17" s="259">
        <v>0.38</v>
      </c>
      <c r="CX17" s="259">
        <v>5.67E-2</v>
      </c>
      <c r="CY17" s="258">
        <v>6.7</v>
      </c>
      <c r="CZ17" s="259">
        <v>2.2000000000000002E-11</v>
      </c>
      <c r="DA17" s="167" t="s">
        <v>389</v>
      </c>
      <c r="DC17" s="260" t="s">
        <v>467</v>
      </c>
      <c r="DD17" s="265" t="s">
        <v>480</v>
      </c>
      <c r="DE17" s="261" t="s">
        <v>323</v>
      </c>
      <c r="DF17" s="262">
        <f t="shared" si="9"/>
        <v>0.30399999999999999</v>
      </c>
      <c r="DG17" s="260" t="s">
        <v>322</v>
      </c>
      <c r="DI17" s="170" t="s">
        <v>467</v>
      </c>
      <c r="DJ17" s="294" t="s">
        <v>480</v>
      </c>
      <c r="DK17" s="291" t="s">
        <v>323</v>
      </c>
      <c r="DL17" s="170">
        <f>$O$11*$Z$37*$AP$7</f>
        <v>0.39344203300953212</v>
      </c>
      <c r="DM17" s="170" t="s">
        <v>322</v>
      </c>
    </row>
    <row r="18" spans="1:117" ht="15" customHeight="1" thickTop="1" thickBot="1" x14ac:dyDescent="0.3">
      <c r="A18" s="188" t="s">
        <v>77</v>
      </c>
      <c r="B18" s="189">
        <v>0</v>
      </c>
      <c r="C18" s="189"/>
      <c r="D18" s="194" t="s">
        <v>78</v>
      </c>
      <c r="E18" s="189"/>
      <c r="F18" s="206">
        <f>B26/B6</f>
        <v>2.1025364274150027</v>
      </c>
      <c r="G18" s="199"/>
      <c r="H18" s="190"/>
      <c r="I18" s="189"/>
      <c r="K18" s="81" t="s">
        <v>75</v>
      </c>
      <c r="L18" s="218">
        <v>0</v>
      </c>
      <c r="M18" s="219">
        <v>2</v>
      </c>
      <c r="N18" s="219" t="s">
        <v>25</v>
      </c>
      <c r="O18" s="220">
        <f>'Tabula data'!B20*(1-C43)</f>
        <v>32.281986411725747</v>
      </c>
      <c r="P18" s="221" t="s">
        <v>39</v>
      </c>
      <c r="Q18" s="30">
        <f t="shared" si="4"/>
        <v>0.99033657090706906</v>
      </c>
      <c r="R18" s="30">
        <f t="shared" si="5"/>
        <v>31.970031725057076</v>
      </c>
      <c r="S18" s="30">
        <f t="shared" si="10"/>
        <v>14359098.576305721</v>
      </c>
      <c r="T18" s="30">
        <f t="shared" si="11"/>
        <v>444802.20000000007</v>
      </c>
      <c r="U18" s="30">
        <f t="shared" si="12"/>
        <v>5843685.1802505953</v>
      </c>
      <c r="V18" s="31"/>
      <c r="W18" s="153"/>
      <c r="X18" s="188"/>
      <c r="Y18" s="199" t="s">
        <v>275</v>
      </c>
      <c r="Z18" s="189">
        <v>0.14000000000000001</v>
      </c>
      <c r="AA18" s="189">
        <v>0.54</v>
      </c>
      <c r="AB18" s="189">
        <v>1400</v>
      </c>
      <c r="AC18" s="199">
        <v>840</v>
      </c>
      <c r="AD18" s="236">
        <f>Z18/AA18</f>
        <v>0.25925925925925924</v>
      </c>
      <c r="AE18" s="190">
        <f>Z18*AB18*AC18</f>
        <v>164640.00000000003</v>
      </c>
      <c r="AF18" s="14" t="s">
        <v>276</v>
      </c>
      <c r="AG18" s="14"/>
      <c r="AH18" s="14"/>
      <c r="AQ18" s="81" t="s">
        <v>322</v>
      </c>
      <c r="AR18" s="167"/>
      <c r="AV18" s="168"/>
      <c r="AW18" s="168"/>
      <c r="AX18" s="168"/>
      <c r="AY18" s="169"/>
      <c r="BA18" s="168"/>
      <c r="BC18" s="81" t="s">
        <v>304</v>
      </c>
      <c r="BD18" s="167">
        <v>15600000</v>
      </c>
      <c r="BE18" s="167">
        <v>67000</v>
      </c>
      <c r="BF18" s="81">
        <v>232.84</v>
      </c>
      <c r="BG18" s="81" t="s">
        <v>388</v>
      </c>
      <c r="BJ18" s="175"/>
      <c r="BK18" s="175"/>
      <c r="BL18" s="175"/>
      <c r="BM18" s="175"/>
      <c r="BN18" s="174"/>
      <c r="BO18" s="175"/>
      <c r="BQ18" s="81" t="s">
        <v>304</v>
      </c>
      <c r="BR18" s="167">
        <v>15000000</v>
      </c>
      <c r="BS18" s="167">
        <v>733000</v>
      </c>
      <c r="BT18" s="81">
        <v>20.420000000000002</v>
      </c>
      <c r="BU18" s="81" t="s">
        <v>422</v>
      </c>
      <c r="BV18" s="167">
        <v>2E-16</v>
      </c>
      <c r="BW18" s="81" t="s">
        <v>389</v>
      </c>
      <c r="BY18" s="178" t="s">
        <v>319</v>
      </c>
      <c r="BZ18" s="178" t="s">
        <v>320</v>
      </c>
      <c r="CA18" s="178" t="s">
        <v>333</v>
      </c>
      <c r="CB18" s="178" t="s">
        <v>323</v>
      </c>
      <c r="CC18" s="177">
        <f>BR29</f>
        <v>0.76900000000000002</v>
      </c>
      <c r="CD18" s="178" t="s">
        <v>322</v>
      </c>
      <c r="CO18" s="81" t="s">
        <v>335</v>
      </c>
      <c r="CP18" s="257">
        <f t="shared" si="0"/>
        <v>136.73036437545244</v>
      </c>
      <c r="CQ18" s="257">
        <f t="shared" si="1"/>
        <v>637</v>
      </c>
      <c r="CR18" s="257">
        <f t="shared" si="2"/>
        <v>278</v>
      </c>
      <c r="CU18" s="258" t="s">
        <v>442</v>
      </c>
      <c r="CV18" s="258" t="s">
        <v>448</v>
      </c>
      <c r="CW18" s="259">
        <v>0.40799999999999997</v>
      </c>
      <c r="CX18" s="259">
        <v>1.2500000000000001E-2</v>
      </c>
      <c r="CY18" s="258">
        <v>32.69</v>
      </c>
      <c r="CZ18" s="258" t="s">
        <v>422</v>
      </c>
      <c r="DA18" s="167">
        <v>2E-16</v>
      </c>
      <c r="DB18" s="81" t="s">
        <v>389</v>
      </c>
      <c r="DC18" s="260" t="s">
        <v>467</v>
      </c>
      <c r="DD18" s="265" t="s">
        <v>481</v>
      </c>
      <c r="DE18" s="261" t="s">
        <v>323</v>
      </c>
      <c r="DF18" s="262">
        <f t="shared" si="9"/>
        <v>0.35</v>
      </c>
      <c r="DG18" s="260" t="s">
        <v>322</v>
      </c>
      <c r="DI18" s="170" t="s">
        <v>467</v>
      </c>
      <c r="DJ18" s="294" t="s">
        <v>481</v>
      </c>
      <c r="DK18" s="291" t="s">
        <v>323</v>
      </c>
      <c r="DL18" s="170">
        <f>$O$10*$Z$37*$AP$7</f>
        <v>0.38360598218429387</v>
      </c>
      <c r="DM18" s="170" t="s">
        <v>322</v>
      </c>
    </row>
    <row r="19" spans="1:117" ht="15" customHeight="1" thickTop="1" thickBot="1" x14ac:dyDescent="0.3">
      <c r="A19" s="188" t="s">
        <v>81</v>
      </c>
      <c r="B19" s="197">
        <f>B17-B18</f>
        <v>0</v>
      </c>
      <c r="C19" s="189"/>
      <c r="D19" s="204"/>
      <c r="E19" s="199"/>
      <c r="F19" s="199"/>
      <c r="G19" s="199"/>
      <c r="H19" s="198"/>
      <c r="I19" s="199"/>
      <c r="K19" s="81" t="s">
        <v>79</v>
      </c>
      <c r="L19" s="218">
        <v>0</v>
      </c>
      <c r="M19" s="219">
        <v>2</v>
      </c>
      <c r="N19" s="219" t="s">
        <v>25</v>
      </c>
      <c r="O19" s="220">
        <f>O17</f>
        <v>18.364565347833842</v>
      </c>
      <c r="P19" s="221" t="s">
        <v>45</v>
      </c>
      <c r="Q19" s="30">
        <f t="shared" si="4"/>
        <v>0.99033657090706906</v>
      </c>
      <c r="R19" s="30">
        <f t="shared" si="5"/>
        <v>18.187100672772555</v>
      </c>
      <c r="S19" s="30">
        <f t="shared" si="10"/>
        <v>8168599.06876026</v>
      </c>
      <c r="T19" s="30">
        <f t="shared" si="11"/>
        <v>444802.20000000007</v>
      </c>
      <c r="U19" s="30">
        <f t="shared" si="12"/>
        <v>3324353.6192648825</v>
      </c>
      <c r="V19" s="31"/>
      <c r="W19" s="153"/>
      <c r="X19" s="205"/>
      <c r="Y19" s="187" t="s">
        <v>277</v>
      </c>
      <c r="Z19" s="187">
        <v>0.02</v>
      </c>
      <c r="AA19" s="187">
        <v>0.6</v>
      </c>
      <c r="AB19" s="187">
        <v>975</v>
      </c>
      <c r="AC19" s="187">
        <v>840</v>
      </c>
      <c r="AD19" s="237">
        <f>Z19/AA19</f>
        <v>3.3333333333333333E-2</v>
      </c>
      <c r="AE19" s="210">
        <f>Z19*AB19*AC19</f>
        <v>16380</v>
      </c>
      <c r="AF19" s="14"/>
      <c r="AG19" s="14"/>
      <c r="AH19" s="14"/>
      <c r="AM19" s="159" t="s">
        <v>319</v>
      </c>
      <c r="AN19" s="81" t="s">
        <v>320</v>
      </c>
      <c r="AO19" s="81" t="s">
        <v>335</v>
      </c>
      <c r="AP19" s="81">
        <f>SUM(O6:O9)*(1/(SUM(AD18:AD19)+1/4))</f>
        <v>136.73036437545244</v>
      </c>
      <c r="AQ19" s="81" t="s">
        <v>322</v>
      </c>
      <c r="AR19" s="167">
        <v>298.59179999999998</v>
      </c>
      <c r="AV19" s="168" t="s">
        <v>319</v>
      </c>
      <c r="AW19" s="168" t="s">
        <v>320</v>
      </c>
      <c r="AX19" s="168" t="s">
        <v>335</v>
      </c>
      <c r="AY19" s="169" t="s">
        <v>323</v>
      </c>
      <c r="AZ19" s="162">
        <f t="shared" ref="AZ19:AZ24" si="13">AP19</f>
        <v>136.73036437545244</v>
      </c>
      <c r="BA19" s="168" t="s">
        <v>322</v>
      </c>
      <c r="BC19" s="81" t="s">
        <v>399</v>
      </c>
      <c r="BD19" s="167">
        <v>2950000</v>
      </c>
      <c r="BE19" s="167">
        <v>42900</v>
      </c>
      <c r="BF19" s="81">
        <v>68.739999999999995</v>
      </c>
      <c r="BG19" s="81" t="s">
        <v>388</v>
      </c>
      <c r="BJ19" s="175" t="s">
        <v>319</v>
      </c>
      <c r="BK19" s="175" t="s">
        <v>320</v>
      </c>
      <c r="BL19" s="175" t="s">
        <v>335</v>
      </c>
      <c r="BM19" s="175" t="s">
        <v>323</v>
      </c>
      <c r="BN19" s="181">
        <f>BD32</f>
        <v>637</v>
      </c>
      <c r="BO19" s="175" t="s">
        <v>322</v>
      </c>
      <c r="BQ19" s="81" t="s">
        <v>399</v>
      </c>
      <c r="BR19" s="167">
        <v>3560000</v>
      </c>
      <c r="BS19" s="167">
        <v>405000</v>
      </c>
      <c r="BT19" s="81">
        <v>8.81</v>
      </c>
      <c r="BU19" s="81" t="s">
        <v>422</v>
      </c>
      <c r="BV19" s="167">
        <v>2E-16</v>
      </c>
      <c r="BW19" s="81" t="s">
        <v>389</v>
      </c>
      <c r="BY19" s="178" t="s">
        <v>319</v>
      </c>
      <c r="BZ19" s="178" t="s">
        <v>320</v>
      </c>
      <c r="CA19" s="178" t="s">
        <v>334</v>
      </c>
      <c r="CB19" s="178" t="s">
        <v>323</v>
      </c>
      <c r="CC19" s="177">
        <f>BR30</f>
        <v>7.2499999999999995E-2</v>
      </c>
      <c r="CD19" s="178" t="s">
        <v>322</v>
      </c>
      <c r="CO19" s="81" t="s">
        <v>336</v>
      </c>
      <c r="CP19" s="257">
        <f t="shared" si="0"/>
        <v>199.60396039603961</v>
      </c>
      <c r="CQ19" s="257">
        <f t="shared" si="1"/>
        <v>795</v>
      </c>
      <c r="CR19" s="257">
        <f t="shared" si="2"/>
        <v>215</v>
      </c>
      <c r="CU19" s="258" t="s">
        <v>442</v>
      </c>
      <c r="CV19" s="258" t="s">
        <v>449</v>
      </c>
      <c r="CW19" s="259">
        <v>0.34599999999999997</v>
      </c>
      <c r="CX19" s="259">
        <v>1.2500000000000001E-2</v>
      </c>
      <c r="CY19" s="258">
        <v>27.64</v>
      </c>
      <c r="CZ19" s="258" t="s">
        <v>422</v>
      </c>
      <c r="DA19" s="167">
        <v>2E-16</v>
      </c>
      <c r="DB19" s="81" t="s">
        <v>389</v>
      </c>
      <c r="DC19" s="260" t="s">
        <v>467</v>
      </c>
      <c r="DD19" s="263" t="s">
        <v>482</v>
      </c>
      <c r="DE19" s="261" t="s">
        <v>323</v>
      </c>
      <c r="DF19" s="262">
        <f t="shared" si="9"/>
        <v>0.34300000000000003</v>
      </c>
      <c r="DG19" s="260" t="s">
        <v>322</v>
      </c>
      <c r="DI19" s="170" t="s">
        <v>467</v>
      </c>
      <c r="DJ19" s="292" t="s">
        <v>482</v>
      </c>
      <c r="DK19" s="291" t="s">
        <v>323</v>
      </c>
      <c r="DL19" s="170">
        <f>$O$12*$Z$37*$AP$7</f>
        <v>0.44754031254834276</v>
      </c>
      <c r="DM19" s="170" t="s">
        <v>322</v>
      </c>
    </row>
    <row r="20" spans="1:117" ht="15" customHeight="1" thickTop="1" thickBot="1" x14ac:dyDescent="0.3">
      <c r="A20" s="188"/>
      <c r="B20" s="189"/>
      <c r="C20" s="189"/>
      <c r="D20" s="194" t="s">
        <v>83</v>
      </c>
      <c r="E20" s="199"/>
      <c r="F20" s="207">
        <f>G4/B23</f>
        <v>0.17431192660550457</v>
      </c>
      <c r="G20" s="199"/>
      <c r="H20" s="190"/>
      <c r="I20" s="189"/>
      <c r="K20" s="81" t="s">
        <v>82</v>
      </c>
      <c r="L20" s="218">
        <v>0</v>
      </c>
      <c r="M20" s="219">
        <v>2</v>
      </c>
      <c r="N20" s="219" t="s">
        <v>25</v>
      </c>
      <c r="O20" s="220">
        <v>0</v>
      </c>
      <c r="P20" s="221" t="s">
        <v>50</v>
      </c>
      <c r="Q20" s="30">
        <f t="shared" si="4"/>
        <v>0.99033657090706906</v>
      </c>
      <c r="R20" s="30">
        <f t="shared" si="5"/>
        <v>0</v>
      </c>
      <c r="S20" s="30">
        <f t="shared" si="10"/>
        <v>0</v>
      </c>
      <c r="T20" s="30" t="e">
        <f t="shared" si="11"/>
        <v>#DIV/0!</v>
      </c>
      <c r="U20" s="30">
        <f t="shared" si="12"/>
        <v>0</v>
      </c>
      <c r="V20" s="31"/>
      <c r="W20" s="153"/>
      <c r="X20" s="226"/>
      <c r="Y20" s="226"/>
      <c r="Z20" s="226"/>
      <c r="AA20" s="226"/>
      <c r="AB20" s="226"/>
      <c r="AC20" s="226"/>
      <c r="AD20" s="226"/>
      <c r="AE20" s="226"/>
      <c r="AF20" s="14"/>
      <c r="AG20" s="14"/>
      <c r="AH20" s="14"/>
      <c r="AM20" s="159" t="s">
        <v>319</v>
      </c>
      <c r="AN20" s="81" t="s">
        <v>320</v>
      </c>
      <c r="AO20" s="81" t="s">
        <v>336</v>
      </c>
      <c r="AP20" s="81">
        <f>SUM(O14)*1/(SUM(AD42:AD43)+1/3)</f>
        <v>199.60396039603961</v>
      </c>
      <c r="AQ20" s="81" t="s">
        <v>322</v>
      </c>
      <c r="AR20" s="167">
        <v>278.86439999999999</v>
      </c>
      <c r="AV20" s="168" t="s">
        <v>319</v>
      </c>
      <c r="AW20" s="168" t="s">
        <v>320</v>
      </c>
      <c r="AX20" s="168" t="s">
        <v>336</v>
      </c>
      <c r="AY20" s="169" t="s">
        <v>323</v>
      </c>
      <c r="AZ20" s="162">
        <f t="shared" si="13"/>
        <v>199.60396039603961</v>
      </c>
      <c r="BA20" s="168" t="s">
        <v>322</v>
      </c>
      <c r="BC20" s="81" t="s">
        <v>301</v>
      </c>
      <c r="BD20" s="167">
        <v>23100000</v>
      </c>
      <c r="BE20" s="167">
        <v>232000</v>
      </c>
      <c r="BF20" s="81">
        <v>99.92</v>
      </c>
      <c r="BG20" s="81" t="s">
        <v>388</v>
      </c>
      <c r="BJ20" s="175" t="s">
        <v>319</v>
      </c>
      <c r="BK20" s="175" t="s">
        <v>320</v>
      </c>
      <c r="BL20" s="175" t="s">
        <v>336</v>
      </c>
      <c r="BM20" s="175" t="s">
        <v>323</v>
      </c>
      <c r="BN20" s="181">
        <f>BD33</f>
        <v>795</v>
      </c>
      <c r="BO20" s="175" t="s">
        <v>322</v>
      </c>
      <c r="BQ20" s="81" t="s">
        <v>301</v>
      </c>
      <c r="BR20" s="167">
        <v>32200000</v>
      </c>
      <c r="BS20" s="167">
        <v>1890000</v>
      </c>
      <c r="BT20" s="81">
        <v>17.04</v>
      </c>
      <c r="BU20" s="81" t="s">
        <v>422</v>
      </c>
      <c r="BV20" s="167">
        <v>2E-16</v>
      </c>
      <c r="BW20" s="81" t="s">
        <v>389</v>
      </c>
      <c r="BY20" s="178"/>
      <c r="BZ20" s="178"/>
      <c r="CA20" s="178"/>
      <c r="CB20" s="178"/>
      <c r="CC20" s="177"/>
      <c r="CD20" s="178"/>
      <c r="CO20" s="81" t="s">
        <v>337</v>
      </c>
      <c r="CP20" s="257">
        <f t="shared" si="0"/>
        <v>179.65020969510115</v>
      </c>
      <c r="CQ20" s="257">
        <f t="shared" si="1"/>
        <v>1310</v>
      </c>
      <c r="CR20" s="257">
        <f t="shared" si="2"/>
        <v>457</v>
      </c>
      <c r="CU20" s="258" t="s">
        <v>442</v>
      </c>
      <c r="CV20" s="258" t="s">
        <v>450</v>
      </c>
      <c r="CW20" s="259">
        <v>0.26300000000000001</v>
      </c>
      <c r="CX20" s="259">
        <v>7.0599999999999996E-2</v>
      </c>
      <c r="CY20" s="258">
        <v>3.73</v>
      </c>
      <c r="CZ20" s="258">
        <v>1.9000000000000001E-4</v>
      </c>
      <c r="DA20" s="81" t="s">
        <v>389</v>
      </c>
      <c r="DC20" s="260" t="s">
        <v>467</v>
      </c>
      <c r="DD20" s="264" t="s">
        <v>483</v>
      </c>
      <c r="DE20" s="261" t="s">
        <v>323</v>
      </c>
      <c r="DF20" s="262">
        <f t="shared" si="9"/>
        <v>0.253</v>
      </c>
      <c r="DG20" s="260" t="s">
        <v>322</v>
      </c>
      <c r="DI20" s="170" t="s">
        <v>467</v>
      </c>
      <c r="DJ20" s="293" t="s">
        <v>483</v>
      </c>
      <c r="DK20" s="291" t="s">
        <v>323</v>
      </c>
      <c r="DL20" s="170">
        <f>$O$13*$Z$37*$AP$7</f>
        <v>0.36393388053381726</v>
      </c>
      <c r="DM20" s="170" t="s">
        <v>322</v>
      </c>
    </row>
    <row r="21" spans="1:117" ht="15" customHeight="1" thickTop="1" thickBot="1" x14ac:dyDescent="0.3">
      <c r="A21" s="188"/>
      <c r="B21" s="189"/>
      <c r="C21" s="189"/>
      <c r="D21" s="194" t="s">
        <v>86</v>
      </c>
      <c r="E21" s="199"/>
      <c r="F21" s="207">
        <f>G4/B6</f>
        <v>0.17431192660550457</v>
      </c>
      <c r="G21" s="199"/>
      <c r="H21" s="190"/>
      <c r="I21" s="189"/>
      <c r="K21" s="81" t="s">
        <v>84</v>
      </c>
      <c r="L21" s="218">
        <v>0</v>
      </c>
      <c r="M21" s="219">
        <v>2</v>
      </c>
      <c r="N21" s="219" t="s">
        <v>54</v>
      </c>
      <c r="O21" s="220">
        <f>H10</f>
        <v>3.9</v>
      </c>
      <c r="P21" s="221" t="s">
        <v>26</v>
      </c>
      <c r="Q21" s="30">
        <f t="shared" si="4"/>
        <v>2</v>
      </c>
      <c r="R21" s="30">
        <f t="shared" si="5"/>
        <v>7.8</v>
      </c>
      <c r="S21" s="30">
        <f t="shared" si="10"/>
        <v>0</v>
      </c>
      <c r="T21" s="30">
        <f t="shared" si="11"/>
        <v>0</v>
      </c>
      <c r="U21" s="30">
        <f t="shared" si="12"/>
        <v>0</v>
      </c>
      <c r="V21" s="31"/>
      <c r="W21" s="153"/>
      <c r="X21" s="228" t="s">
        <v>85</v>
      </c>
      <c r="Y21" s="229"/>
      <c r="Z21" s="230" t="s">
        <v>21</v>
      </c>
      <c r="AA21" s="231">
        <f>(1/(1/4+SUM(AD23:AD25)+1/4))</f>
        <v>1.210762331838565</v>
      </c>
      <c r="AB21" s="229" t="s">
        <v>5</v>
      </c>
      <c r="AC21" s="229"/>
      <c r="AD21" s="229" t="s">
        <v>22</v>
      </c>
      <c r="AE21" s="232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9" t="s">
        <v>319</v>
      </c>
      <c r="AN21" s="81" t="s">
        <v>320</v>
      </c>
      <c r="AO21" s="81" t="s">
        <v>337</v>
      </c>
      <c r="AP21" s="81">
        <f>2*AA21*O27+O30*1*AA52</f>
        <v>179.65020969510115</v>
      </c>
      <c r="AQ21" s="81" t="s">
        <v>322</v>
      </c>
      <c r="AR21" s="167">
        <v>721.00049999999999</v>
      </c>
      <c r="AV21" s="168" t="s">
        <v>319</v>
      </c>
      <c r="AW21" s="168" t="s">
        <v>320</v>
      </c>
      <c r="AX21" s="168" t="s">
        <v>337</v>
      </c>
      <c r="AY21" s="169" t="s">
        <v>323</v>
      </c>
      <c r="AZ21" s="162">
        <f t="shared" si="13"/>
        <v>179.65020969510115</v>
      </c>
      <c r="BA21" s="168" t="s">
        <v>322</v>
      </c>
      <c r="BC21" s="81" t="s">
        <v>303</v>
      </c>
      <c r="BD21" s="167">
        <v>30400000</v>
      </c>
      <c r="BE21" s="167">
        <v>78800</v>
      </c>
      <c r="BF21" s="81">
        <v>386.04</v>
      </c>
      <c r="BG21" s="81" t="s">
        <v>388</v>
      </c>
      <c r="BJ21" s="175" t="s">
        <v>319</v>
      </c>
      <c r="BK21" s="175" t="s">
        <v>320</v>
      </c>
      <c r="BL21" s="175" t="s">
        <v>337</v>
      </c>
      <c r="BM21" s="175" t="s">
        <v>323</v>
      </c>
      <c r="BN21" s="181">
        <f>BD34</f>
        <v>1310</v>
      </c>
      <c r="BO21" s="175" t="s">
        <v>322</v>
      </c>
      <c r="BQ21" s="81" t="s">
        <v>303</v>
      </c>
      <c r="BR21" s="167">
        <v>25400000</v>
      </c>
      <c r="BS21" s="167">
        <v>316000</v>
      </c>
      <c r="BT21" s="81">
        <v>80.53</v>
      </c>
      <c r="BU21" s="81" t="s">
        <v>422</v>
      </c>
      <c r="BV21" s="167">
        <v>2E-16</v>
      </c>
      <c r="BW21" s="81" t="s">
        <v>389</v>
      </c>
      <c r="BY21" s="178" t="s">
        <v>319</v>
      </c>
      <c r="BZ21" s="178" t="s">
        <v>320</v>
      </c>
      <c r="CA21" s="178" t="s">
        <v>335</v>
      </c>
      <c r="CB21" s="178" t="s">
        <v>323</v>
      </c>
      <c r="CC21" s="180">
        <f>BR32</f>
        <v>278</v>
      </c>
      <c r="CD21" s="178" t="s">
        <v>322</v>
      </c>
      <c r="CE21" s="167">
        <f>BS32</f>
        <v>2.25</v>
      </c>
      <c r="CO21" s="81" t="s">
        <v>338</v>
      </c>
      <c r="CP21" s="257">
        <f t="shared" si="0"/>
        <v>96.501670329670333</v>
      </c>
      <c r="CQ21" s="257">
        <f t="shared" si="1"/>
        <v>253</v>
      </c>
      <c r="CR21" s="257">
        <f t="shared" si="2"/>
        <v>272</v>
      </c>
      <c r="CU21" s="258" t="s">
        <v>442</v>
      </c>
      <c r="CV21" s="258" t="s">
        <v>343</v>
      </c>
      <c r="CW21" s="259">
        <v>0.35499999999999998</v>
      </c>
      <c r="CX21" s="259">
        <v>0.13900000000000001</v>
      </c>
      <c r="CY21" s="258">
        <v>2.56</v>
      </c>
      <c r="CZ21" s="258">
        <v>1.044E-2</v>
      </c>
      <c r="DA21" s="81" t="s">
        <v>434</v>
      </c>
      <c r="DC21" s="260" t="s">
        <v>467</v>
      </c>
      <c r="DD21" s="264" t="s">
        <v>484</v>
      </c>
      <c r="DE21" s="261" t="s">
        <v>323</v>
      </c>
      <c r="DF21" s="262">
        <f t="shared" si="9"/>
        <v>0.14399999999999999</v>
      </c>
      <c r="DG21" s="260" t="s">
        <v>322</v>
      </c>
      <c r="DI21" s="170" t="s">
        <v>467</v>
      </c>
      <c r="DJ21" s="293" t="s">
        <v>484</v>
      </c>
      <c r="DK21" s="291" t="s">
        <v>323</v>
      </c>
      <c r="DL21" s="170">
        <f>$O$11*$Z$37*$AP$42</f>
        <v>0.36598305778907531</v>
      </c>
      <c r="DM21" s="170" t="s">
        <v>322</v>
      </c>
    </row>
    <row r="22" spans="1:117" ht="15" customHeight="1" thickTop="1" thickBot="1" x14ac:dyDescent="0.3">
      <c r="A22" s="205"/>
      <c r="B22" s="187"/>
      <c r="C22" s="187"/>
      <c r="D22" s="188" t="s">
        <v>88</v>
      </c>
      <c r="E22" s="189"/>
      <c r="F22" s="195">
        <f>G4/B26</f>
        <v>8.2905544147843929E-2</v>
      </c>
      <c r="G22" s="189"/>
      <c r="H22" s="190"/>
      <c r="I22" s="189"/>
      <c r="K22" s="81" t="s">
        <v>87</v>
      </c>
      <c r="L22" s="218">
        <v>0</v>
      </c>
      <c r="M22" s="219">
        <v>2</v>
      </c>
      <c r="N22" s="219" t="s">
        <v>54</v>
      </c>
      <c r="O22" s="220">
        <f>H11</f>
        <v>4</v>
      </c>
      <c r="P22" s="221" t="s">
        <v>39</v>
      </c>
      <c r="Q22" s="30">
        <f t="shared" si="4"/>
        <v>2</v>
      </c>
      <c r="R22" s="30">
        <f t="shared" si="5"/>
        <v>8</v>
      </c>
      <c r="S22" s="30">
        <f t="shared" si="10"/>
        <v>0</v>
      </c>
      <c r="T22" s="30">
        <f t="shared" si="11"/>
        <v>0</v>
      </c>
      <c r="U22" s="30">
        <f t="shared" si="12"/>
        <v>0</v>
      </c>
      <c r="V22" s="31"/>
      <c r="W22" s="153"/>
      <c r="X22" s="233"/>
      <c r="Y22" s="234" t="s">
        <v>27</v>
      </c>
      <c r="Z22" s="234" t="s">
        <v>28</v>
      </c>
      <c r="AA22" s="234" t="s">
        <v>29</v>
      </c>
      <c r="AB22" s="234" t="s">
        <v>30</v>
      </c>
      <c r="AC22" s="234" t="s">
        <v>31</v>
      </c>
      <c r="AD22" s="234" t="s">
        <v>32</v>
      </c>
      <c r="AE22" s="235" t="s">
        <v>33</v>
      </c>
      <c r="AF22" s="14"/>
      <c r="AG22" s="14"/>
      <c r="AH22" s="14"/>
      <c r="AM22" s="159" t="s">
        <v>319</v>
      </c>
      <c r="AN22" s="81" t="s">
        <v>320</v>
      </c>
      <c r="AO22" s="81" t="s">
        <v>338</v>
      </c>
      <c r="AP22" s="153">
        <f>'Verwarming Tabula 2zone Ref 1'!B60+SUM(R10:R13)+R16</f>
        <v>96.501670329670333</v>
      </c>
      <c r="AQ22" s="81" t="s">
        <v>322</v>
      </c>
      <c r="AR22" s="167">
        <v>110.5333</v>
      </c>
      <c r="AV22" s="168" t="s">
        <v>319</v>
      </c>
      <c r="AW22" s="168" t="s">
        <v>320</v>
      </c>
      <c r="AX22" s="168" t="s">
        <v>338</v>
      </c>
      <c r="AY22" s="169" t="s">
        <v>323</v>
      </c>
      <c r="AZ22" s="162">
        <f t="shared" si="13"/>
        <v>96.501670329670333</v>
      </c>
      <c r="BA22" s="168" t="s">
        <v>322</v>
      </c>
      <c r="BC22" s="81" t="s">
        <v>400</v>
      </c>
      <c r="BD22" s="167">
        <v>-5.92</v>
      </c>
      <c r="BE22" s="167">
        <v>5.1700000000000003E-2</v>
      </c>
      <c r="BF22" s="81">
        <v>-114.57</v>
      </c>
      <c r="BG22" s="81" t="s">
        <v>388</v>
      </c>
      <c r="BJ22" s="175" t="s">
        <v>319</v>
      </c>
      <c r="BK22" s="175" t="s">
        <v>320</v>
      </c>
      <c r="BL22" s="175" t="s">
        <v>338</v>
      </c>
      <c r="BM22" s="175" t="s">
        <v>323</v>
      </c>
      <c r="BN22" s="181">
        <f>BD35</f>
        <v>253</v>
      </c>
      <c r="BO22" s="175" t="s">
        <v>322</v>
      </c>
      <c r="BQ22" s="81" t="s">
        <v>400</v>
      </c>
      <c r="BR22" s="167">
        <v>-6.08</v>
      </c>
      <c r="BS22" s="167">
        <v>0.23</v>
      </c>
      <c r="BT22" s="81">
        <v>-26.41</v>
      </c>
      <c r="BU22" s="81" t="s">
        <v>422</v>
      </c>
      <c r="BV22" s="167">
        <v>2E-16</v>
      </c>
      <c r="BW22" s="81" t="s">
        <v>389</v>
      </c>
      <c r="BY22" s="178" t="s">
        <v>319</v>
      </c>
      <c r="BZ22" s="178" t="s">
        <v>320</v>
      </c>
      <c r="CA22" s="178" t="s">
        <v>336</v>
      </c>
      <c r="CB22" s="178" t="s">
        <v>323</v>
      </c>
      <c r="CC22" s="180">
        <f>BR33</f>
        <v>215</v>
      </c>
      <c r="CD22" s="178" t="s">
        <v>322</v>
      </c>
      <c r="CE22" s="167">
        <f>BS33</f>
        <v>1.54</v>
      </c>
      <c r="CO22" s="81" t="s">
        <v>339</v>
      </c>
      <c r="CP22" s="257">
        <f t="shared" si="0"/>
        <v>125.28411280849714</v>
      </c>
      <c r="CQ22" s="257">
        <f t="shared" si="1"/>
        <v>217.39130434782609</v>
      </c>
      <c r="CR22" s="257">
        <f t="shared" si="2"/>
        <v>326.79738562091507</v>
      </c>
      <c r="CU22" s="258" t="s">
        <v>442</v>
      </c>
      <c r="CV22" s="258" t="s">
        <v>451</v>
      </c>
      <c r="CW22" s="259">
        <v>0.10100000000000001</v>
      </c>
      <c r="CX22" s="259">
        <v>2.76E-2</v>
      </c>
      <c r="CY22" s="258">
        <v>3.67</v>
      </c>
      <c r="CZ22" s="258">
        <v>2.4000000000000001E-4</v>
      </c>
      <c r="DA22" s="81" t="s">
        <v>389</v>
      </c>
      <c r="DC22" s="260" t="s">
        <v>467</v>
      </c>
      <c r="DD22" s="264" t="s">
        <v>485</v>
      </c>
      <c r="DE22" s="261" t="s">
        <v>323</v>
      </c>
      <c r="DF22" s="262">
        <f t="shared" si="9"/>
        <v>0.48399999999999999</v>
      </c>
      <c r="DG22" s="260" t="s">
        <v>322</v>
      </c>
      <c r="DI22" s="170" t="s">
        <v>467</v>
      </c>
      <c r="DJ22" s="293" t="s">
        <v>485</v>
      </c>
      <c r="DK22" s="291" t="s">
        <v>323</v>
      </c>
      <c r="DL22" s="170">
        <f>$O$10*$Z$37*$AP$42</f>
        <v>0.35683348134434845</v>
      </c>
      <c r="DM22" s="170" t="s">
        <v>322</v>
      </c>
    </row>
    <row r="23" spans="1:117" ht="15" customHeight="1" thickTop="1" thickBot="1" x14ac:dyDescent="0.3">
      <c r="A23" s="191" t="s">
        <v>91</v>
      </c>
      <c r="B23" s="192">
        <f>B17+B6</f>
        <v>185.3</v>
      </c>
      <c r="C23" s="202" t="s">
        <v>9</v>
      </c>
      <c r="D23" s="188"/>
      <c r="E23" s="189"/>
      <c r="F23" s="189"/>
      <c r="G23" s="189"/>
      <c r="H23" s="190"/>
      <c r="I23" s="189"/>
      <c r="K23" s="81" t="s">
        <v>89</v>
      </c>
      <c r="L23" s="218">
        <v>0</v>
      </c>
      <c r="M23" s="219">
        <v>2</v>
      </c>
      <c r="N23" s="219" t="s">
        <v>54</v>
      </c>
      <c r="O23" s="220">
        <f>H12</f>
        <v>4.55</v>
      </c>
      <c r="P23" s="221" t="s">
        <v>45</v>
      </c>
      <c r="Q23" s="30">
        <f t="shared" si="4"/>
        <v>2</v>
      </c>
      <c r="R23" s="30">
        <f t="shared" si="5"/>
        <v>9.1</v>
      </c>
      <c r="S23" s="30">
        <f t="shared" si="10"/>
        <v>0</v>
      </c>
      <c r="T23" s="30">
        <f t="shared" si="11"/>
        <v>0</v>
      </c>
      <c r="U23" s="30">
        <f t="shared" si="12"/>
        <v>0</v>
      </c>
      <c r="V23" s="31"/>
      <c r="W23" s="153"/>
      <c r="X23" s="188"/>
      <c r="Y23" s="189" t="s">
        <v>90</v>
      </c>
      <c r="Z23" s="189">
        <v>0.02</v>
      </c>
      <c r="AA23" s="189">
        <v>0.6</v>
      </c>
      <c r="AB23" s="189">
        <v>975</v>
      </c>
      <c r="AC23" s="189">
        <v>840</v>
      </c>
      <c r="AD23" s="236">
        <f>Z23/AA23</f>
        <v>3.3333333333333333E-2</v>
      </c>
      <c r="AE23" s="190">
        <f>Z23*AB23*AC23</f>
        <v>16380</v>
      </c>
      <c r="AF23" s="14"/>
      <c r="AG23" s="14"/>
      <c r="AH23" s="14"/>
      <c r="AM23" s="159" t="s">
        <v>319</v>
      </c>
      <c r="AN23" s="81" t="s">
        <v>320</v>
      </c>
      <c r="AO23" s="81" t="s">
        <v>339</v>
      </c>
      <c r="AP23" s="81">
        <f>SUM(O6:O9)*1/(SUM(AD15:AD17)+1/23)</f>
        <v>125.28411280849714</v>
      </c>
      <c r="AQ23" s="81" t="s">
        <v>322</v>
      </c>
      <c r="AR23" s="81">
        <f>1/0.01496205</f>
        <v>66.83576114235683</v>
      </c>
      <c r="AV23" s="168" t="s">
        <v>319</v>
      </c>
      <c r="AW23" s="168" t="s">
        <v>320</v>
      </c>
      <c r="AX23" s="168" t="s">
        <v>339</v>
      </c>
      <c r="AY23" s="169" t="s">
        <v>323</v>
      </c>
      <c r="AZ23" s="162">
        <f t="shared" si="13"/>
        <v>125.28411280849714</v>
      </c>
      <c r="BA23" s="168" t="s">
        <v>322</v>
      </c>
      <c r="BC23" s="81" t="s">
        <v>401</v>
      </c>
      <c r="BD23" s="167">
        <v>-13.3</v>
      </c>
      <c r="BE23" s="167">
        <v>65</v>
      </c>
      <c r="BF23" s="81">
        <v>-0.2</v>
      </c>
      <c r="BG23" s="81">
        <v>0.84</v>
      </c>
      <c r="BJ23" s="175" t="s">
        <v>319</v>
      </c>
      <c r="BK23" s="175" t="s">
        <v>320</v>
      </c>
      <c r="BL23" s="175" t="s">
        <v>339</v>
      </c>
      <c r="BM23" s="175" t="s">
        <v>323</v>
      </c>
      <c r="BN23" s="181">
        <f>1/BD41</f>
        <v>217.39130434782609</v>
      </c>
      <c r="BO23" s="175" t="s">
        <v>322</v>
      </c>
      <c r="BQ23" s="81" t="s">
        <v>401</v>
      </c>
      <c r="BR23" s="167">
        <v>-27.7</v>
      </c>
      <c r="BS23" s="167">
        <v>2.08</v>
      </c>
      <c r="BT23" s="81">
        <v>-13.34</v>
      </c>
      <c r="BU23" s="81" t="s">
        <v>422</v>
      </c>
      <c r="BV23" s="167">
        <v>2E-16</v>
      </c>
      <c r="BW23" s="81" t="s">
        <v>389</v>
      </c>
      <c r="BY23" s="178" t="s">
        <v>319</v>
      </c>
      <c r="BZ23" s="178" t="s">
        <v>320</v>
      </c>
      <c r="CA23" s="178" t="s">
        <v>337</v>
      </c>
      <c r="CB23" s="178" t="s">
        <v>323</v>
      </c>
      <c r="CC23" s="180">
        <f>BR34</f>
        <v>457</v>
      </c>
      <c r="CD23" s="178" t="s">
        <v>322</v>
      </c>
      <c r="CE23" s="167">
        <f>BS34</f>
        <v>3.7</v>
      </c>
      <c r="CO23" s="81" t="s">
        <v>340</v>
      </c>
      <c r="CP23" s="257">
        <f t="shared" si="0"/>
        <v>25.518987341772153</v>
      </c>
      <c r="CQ23" s="257">
        <f t="shared" si="1"/>
        <v>81.900000000000006</v>
      </c>
      <c r="CR23" s="257">
        <f t="shared" si="2"/>
        <v>75.900000000000006</v>
      </c>
      <c r="CU23" s="258" t="s">
        <v>442</v>
      </c>
      <c r="CV23" s="258" t="s">
        <v>452</v>
      </c>
      <c r="CW23" s="259">
        <v>0.27200000000000002</v>
      </c>
      <c r="CX23" s="259">
        <v>3.5799999999999998E-2</v>
      </c>
      <c r="CY23" s="258">
        <v>7.61</v>
      </c>
      <c r="CZ23" s="259">
        <v>3.1E-14</v>
      </c>
      <c r="DA23" s="81" t="s">
        <v>389</v>
      </c>
      <c r="DC23" s="260" t="s">
        <v>467</v>
      </c>
      <c r="DD23" s="263" t="s">
        <v>486</v>
      </c>
      <c r="DE23" s="261" t="s">
        <v>323</v>
      </c>
      <c r="DF23" s="262">
        <f t="shared" si="9"/>
        <v>0.20300000000000001</v>
      </c>
      <c r="DG23" s="260" t="s">
        <v>322</v>
      </c>
      <c r="DI23" s="170" t="s">
        <v>467</v>
      </c>
      <c r="DJ23" s="292" t="s">
        <v>486</v>
      </c>
      <c r="DK23" s="291" t="s">
        <v>323</v>
      </c>
      <c r="DL23" s="170">
        <f>$O$12*$Z$37*$AP$42</f>
        <v>0.41630572823507311</v>
      </c>
      <c r="DM23" s="170" t="s">
        <v>322</v>
      </c>
    </row>
    <row r="24" spans="1:117" ht="15" customHeight="1" thickTop="1" thickBot="1" x14ac:dyDescent="0.3">
      <c r="A24" s="188" t="s">
        <v>94</v>
      </c>
      <c r="B24" s="208">
        <f>B23/B6</f>
        <v>1</v>
      </c>
      <c r="C24" s="189"/>
      <c r="D24" s="188" t="s">
        <v>95</v>
      </c>
      <c r="E24" s="189"/>
      <c r="F24" s="208">
        <f>B8/B6</f>
        <v>0.48192120885051271</v>
      </c>
      <c r="G24" s="189"/>
      <c r="H24" s="190"/>
      <c r="I24" s="189"/>
      <c r="K24" s="81" t="s">
        <v>92</v>
      </c>
      <c r="L24" s="218">
        <v>0</v>
      </c>
      <c r="M24" s="219">
        <v>2</v>
      </c>
      <c r="N24" s="219" t="s">
        <v>54</v>
      </c>
      <c r="O24" s="220">
        <f>H13</f>
        <v>3.7</v>
      </c>
      <c r="P24" s="221" t="s">
        <v>50</v>
      </c>
      <c r="Q24" s="30">
        <f t="shared" si="4"/>
        <v>2</v>
      </c>
      <c r="R24" s="30">
        <f t="shared" si="5"/>
        <v>7.4</v>
      </c>
      <c r="S24" s="30">
        <f t="shared" si="10"/>
        <v>0</v>
      </c>
      <c r="T24" s="30">
        <f t="shared" si="11"/>
        <v>0</v>
      </c>
      <c r="U24" s="30">
        <f t="shared" si="12"/>
        <v>0</v>
      </c>
      <c r="V24" s="31"/>
      <c r="W24" s="153"/>
      <c r="X24" s="188"/>
      <c r="Y24" s="189" t="s">
        <v>93</v>
      </c>
      <c r="Z24" s="189">
        <v>0.14000000000000001</v>
      </c>
      <c r="AA24" s="189">
        <v>0.54</v>
      </c>
      <c r="AB24" s="189">
        <v>1400</v>
      </c>
      <c r="AC24" s="189">
        <v>840</v>
      </c>
      <c r="AD24" s="236">
        <f>Z24/AA24</f>
        <v>0.25925925925925924</v>
      </c>
      <c r="AE24" s="190">
        <f>Z24*AB24*AC24</f>
        <v>164640.00000000003</v>
      </c>
      <c r="AF24" s="14"/>
      <c r="AG24" s="14"/>
      <c r="AH24" s="14"/>
      <c r="AM24" s="159" t="s">
        <v>319</v>
      </c>
      <c r="AN24" s="81" t="s">
        <v>320</v>
      </c>
      <c r="AO24" s="81" t="s">
        <v>340</v>
      </c>
      <c r="AP24" s="81">
        <f>SUM(O14)*1/(SUM(AD44:AD46)*4)</f>
        <v>25.518987341772153</v>
      </c>
      <c r="AQ24" s="81" t="s">
        <v>322</v>
      </c>
      <c r="AR24" s="167">
        <v>43.800190000000001</v>
      </c>
      <c r="AV24" s="168" t="s">
        <v>319</v>
      </c>
      <c r="AW24" s="168" t="s">
        <v>320</v>
      </c>
      <c r="AX24" s="168" t="s">
        <v>340</v>
      </c>
      <c r="AY24" s="169" t="s">
        <v>323</v>
      </c>
      <c r="AZ24" s="162">
        <f t="shared" si="13"/>
        <v>25.518987341772153</v>
      </c>
      <c r="BA24" s="168" t="s">
        <v>322</v>
      </c>
      <c r="BC24" s="81" t="s">
        <v>402</v>
      </c>
      <c r="BD24" s="167">
        <v>-15.6</v>
      </c>
      <c r="BE24" s="167">
        <v>83.5</v>
      </c>
      <c r="BF24" s="81">
        <v>-0.19</v>
      </c>
      <c r="BG24" s="81">
        <v>0.85</v>
      </c>
      <c r="BJ24" s="175" t="s">
        <v>319</v>
      </c>
      <c r="BK24" s="175" t="s">
        <v>320</v>
      </c>
      <c r="BL24" s="175" t="s">
        <v>340</v>
      </c>
      <c r="BM24" s="175" t="s">
        <v>323</v>
      </c>
      <c r="BN24" s="181">
        <f>BD44</f>
        <v>81.900000000000006</v>
      </c>
      <c r="BO24" s="175" t="s">
        <v>322</v>
      </c>
      <c r="BQ24" s="81" t="s">
        <v>402</v>
      </c>
      <c r="BR24" s="167">
        <v>-23.8</v>
      </c>
      <c r="BS24" s="167">
        <v>9</v>
      </c>
      <c r="BT24" s="81">
        <v>-2.65</v>
      </c>
      <c r="BU24" s="81">
        <v>8.0999999999999996E-3</v>
      </c>
      <c r="BV24" s="81" t="s">
        <v>425</v>
      </c>
      <c r="BY24" s="178" t="s">
        <v>319</v>
      </c>
      <c r="BZ24" s="178" t="s">
        <v>320</v>
      </c>
      <c r="CA24" s="178" t="s">
        <v>338</v>
      </c>
      <c r="CB24" s="178" t="s">
        <v>323</v>
      </c>
      <c r="CC24" s="180">
        <f>BR35</f>
        <v>272</v>
      </c>
      <c r="CD24" s="178" t="s">
        <v>322</v>
      </c>
      <c r="CE24" s="167">
        <f>BS35</f>
        <v>18.2</v>
      </c>
      <c r="CP24" s="255"/>
      <c r="CQ24" s="255"/>
      <c r="CR24" s="255"/>
      <c r="CU24" s="258" t="s">
        <v>442</v>
      </c>
      <c r="CV24" s="258" t="s">
        <v>453</v>
      </c>
      <c r="CW24" s="259">
        <v>0.30399999999999999</v>
      </c>
      <c r="CX24" s="259">
        <v>1.2800000000000001E-2</v>
      </c>
      <c r="CY24" s="258">
        <v>23.8</v>
      </c>
      <c r="CZ24" s="258" t="s">
        <v>422</v>
      </c>
      <c r="DA24" s="167">
        <v>2E-16</v>
      </c>
      <c r="DB24" s="81" t="s">
        <v>389</v>
      </c>
      <c r="DC24" s="260" t="s">
        <v>467</v>
      </c>
      <c r="DD24" s="261" t="s">
        <v>487</v>
      </c>
      <c r="DE24" s="261" t="s">
        <v>323</v>
      </c>
      <c r="DF24" s="262">
        <f t="shared" si="9"/>
        <v>5.7999999999999996E-3</v>
      </c>
      <c r="DG24" s="260" t="s">
        <v>322</v>
      </c>
      <c r="DI24" s="170" t="s">
        <v>467</v>
      </c>
      <c r="DJ24" s="291" t="s">
        <v>487</v>
      </c>
      <c r="DK24" s="291" t="s">
        <v>323</v>
      </c>
      <c r="DL24" s="170">
        <f>$O$13*$Z$37*$AP$42</f>
        <v>0.33853432845489467</v>
      </c>
      <c r="DM24" s="170" t="s">
        <v>322</v>
      </c>
    </row>
    <row r="25" spans="1:117" ht="15" customHeight="1" thickTop="1" thickBot="1" x14ac:dyDescent="0.3">
      <c r="A25" s="205"/>
      <c r="B25" s="187"/>
      <c r="C25" s="187"/>
      <c r="D25" s="188"/>
      <c r="E25" s="189"/>
      <c r="F25" s="189"/>
      <c r="G25" s="189"/>
      <c r="H25" s="190"/>
      <c r="I25" s="189"/>
      <c r="K25" s="81" t="s">
        <v>96</v>
      </c>
      <c r="L25" s="218">
        <v>0</v>
      </c>
      <c r="M25" s="219">
        <v>2</v>
      </c>
      <c r="N25" s="219" t="s">
        <v>20</v>
      </c>
      <c r="O25" s="220">
        <f>'Tabula data'!B7</f>
        <v>108.5</v>
      </c>
      <c r="P25" s="221" t="s">
        <v>97</v>
      </c>
      <c r="Q25" s="30">
        <f t="shared" si="4"/>
        <v>0.3127301569316186</v>
      </c>
      <c r="R25" s="30">
        <f t="shared" si="5"/>
        <v>33.931222027080615</v>
      </c>
      <c r="S25" s="30">
        <f t="shared" si="10"/>
        <v>6179292</v>
      </c>
      <c r="T25" s="30">
        <f t="shared" si="11"/>
        <v>56952</v>
      </c>
      <c r="U25" s="30">
        <f t="shared" si="12"/>
        <v>1777230</v>
      </c>
      <c r="V25" s="31"/>
      <c r="W25" s="153"/>
      <c r="X25" s="205"/>
      <c r="Y25" s="187" t="s">
        <v>90</v>
      </c>
      <c r="Z25" s="187">
        <v>0.02</v>
      </c>
      <c r="AA25" s="187">
        <v>0.6</v>
      </c>
      <c r="AB25" s="187">
        <v>975</v>
      </c>
      <c r="AC25" s="187">
        <v>840</v>
      </c>
      <c r="AD25" s="237">
        <f>Z25/AA25</f>
        <v>3.3333333333333333E-2</v>
      </c>
      <c r="AE25" s="210">
        <f>Z25*AB25*AC25</f>
        <v>16380</v>
      </c>
      <c r="AF25" s="14"/>
      <c r="AG25" s="14"/>
      <c r="AH25" s="14"/>
      <c r="AQ25" s="81" t="s">
        <v>322</v>
      </c>
      <c r="AV25" s="168"/>
      <c r="AW25" s="168"/>
      <c r="AX25" s="168"/>
      <c r="AY25" s="169"/>
      <c r="BA25" s="168"/>
      <c r="BC25" s="81" t="s">
        <v>403</v>
      </c>
      <c r="BD25" s="167">
        <v>-11.3</v>
      </c>
      <c r="BE25" s="167">
        <v>53</v>
      </c>
      <c r="BF25" s="81">
        <v>-0.21</v>
      </c>
      <c r="BG25" s="81">
        <v>0.83</v>
      </c>
      <c r="BJ25" s="175"/>
      <c r="BK25" s="175"/>
      <c r="BL25" s="175"/>
      <c r="BM25" s="175"/>
      <c r="BN25" s="174"/>
      <c r="BO25" s="175"/>
      <c r="BQ25" s="81" t="s">
        <v>403</v>
      </c>
      <c r="BR25" s="167">
        <v>-16.399999999999999</v>
      </c>
      <c r="BS25" s="167">
        <v>1.69</v>
      </c>
      <c r="BT25" s="81">
        <v>-9.69</v>
      </c>
      <c r="BU25" s="81" t="s">
        <v>422</v>
      </c>
      <c r="BV25" s="167">
        <v>2E-16</v>
      </c>
      <c r="BW25" s="81" t="s">
        <v>389</v>
      </c>
      <c r="BY25" s="178" t="s">
        <v>319</v>
      </c>
      <c r="BZ25" s="178" t="s">
        <v>320</v>
      </c>
      <c r="CA25" s="178" t="s">
        <v>339</v>
      </c>
      <c r="CB25" s="178" t="s">
        <v>323</v>
      </c>
      <c r="CC25" s="180">
        <f>1/BR41</f>
        <v>326.79738562091507</v>
      </c>
      <c r="CD25" s="178" t="s">
        <v>322</v>
      </c>
      <c r="CE25" s="167">
        <f>CC25/50</f>
        <v>6.5359477124183014</v>
      </c>
      <c r="CO25" s="81" t="s">
        <v>341</v>
      </c>
      <c r="CP25" s="254">
        <f t="shared" si="0"/>
        <v>0.3916273809836372</v>
      </c>
      <c r="CQ25" s="254">
        <f t="shared" si="1"/>
        <v>0.44900000000000001</v>
      </c>
      <c r="CR25" s="254">
        <f t="shared" si="2"/>
        <v>0.46800000000000003</v>
      </c>
      <c r="CU25" s="258" t="s">
        <v>442</v>
      </c>
      <c r="CV25" s="258" t="s">
        <v>454</v>
      </c>
      <c r="CW25" s="259">
        <v>0.35</v>
      </c>
      <c r="CX25" s="259">
        <v>3.27E-2</v>
      </c>
      <c r="CY25" s="258">
        <v>10.69</v>
      </c>
      <c r="CZ25" s="258" t="s">
        <v>422</v>
      </c>
      <c r="DA25" s="167">
        <v>2E-16</v>
      </c>
      <c r="DB25" s="81" t="s">
        <v>389</v>
      </c>
      <c r="DE25" s="261"/>
      <c r="DI25" s="170"/>
      <c r="DJ25" s="170"/>
      <c r="DK25" s="291"/>
      <c r="DL25" s="170"/>
      <c r="DM25" s="170"/>
    </row>
    <row r="26" spans="1:117" ht="15" customHeight="1" thickTop="1" thickBot="1" x14ac:dyDescent="0.3">
      <c r="A26" s="191" t="s">
        <v>100</v>
      </c>
      <c r="B26" s="209">
        <f>'Tabula data'!B6</f>
        <v>389.6</v>
      </c>
      <c r="C26" s="203" t="s">
        <v>9</v>
      </c>
      <c r="D26" s="188"/>
      <c r="E26" s="189"/>
      <c r="F26" s="189"/>
      <c r="G26" s="189"/>
      <c r="H26" s="190"/>
      <c r="I26" s="189"/>
      <c r="K26" s="81" t="s">
        <v>98</v>
      </c>
      <c r="L26" s="218">
        <v>1</v>
      </c>
      <c r="M26" s="219">
        <v>2</v>
      </c>
      <c r="N26" s="219" t="s">
        <v>99</v>
      </c>
      <c r="O26" s="220">
        <f>'Tabula data'!B4-'Tabula data'!B14</f>
        <v>89.300000000000011</v>
      </c>
      <c r="P26" s="221"/>
      <c r="Q26" s="30">
        <f t="shared" si="4"/>
        <v>1.0668924640135478</v>
      </c>
      <c r="R26" s="30">
        <f t="shared" si="5"/>
        <v>95.273497036409822</v>
      </c>
      <c r="S26" s="30">
        <f t="shared" si="10"/>
        <v>40841355.000000007</v>
      </c>
      <c r="T26" s="30">
        <f t="shared" si="11"/>
        <v>457350</v>
      </c>
      <c r="U26" s="30">
        <f t="shared" si="12"/>
        <v>40841355.000000007</v>
      </c>
      <c r="V26" s="31"/>
      <c r="W26" s="153"/>
      <c r="X26" s="226"/>
      <c r="Y26" s="226"/>
      <c r="Z26" s="226"/>
      <c r="AA26" s="226"/>
      <c r="AB26" s="226"/>
      <c r="AC26" s="226"/>
      <c r="AD26" s="226"/>
      <c r="AE26" s="226"/>
      <c r="AF26" s="14"/>
      <c r="AG26" s="14"/>
      <c r="AH26" s="14"/>
      <c r="AM26" s="159" t="s">
        <v>319</v>
      </c>
      <c r="AN26" s="81" t="s">
        <v>320</v>
      </c>
      <c r="AO26" s="81" t="s">
        <v>341</v>
      </c>
      <c r="AP26" s="81">
        <f>SUM(O17:O20,O25)/SUM(O$17:O$25,2*O$28,O$26,O31,2*O29)</f>
        <v>0.3916273809836372</v>
      </c>
      <c r="AQ26" s="81" t="s">
        <v>322</v>
      </c>
      <c r="AR26" s="167">
        <v>0.44339849999999997</v>
      </c>
      <c r="AV26" s="168" t="s">
        <v>319</v>
      </c>
      <c r="AW26" s="168" t="s">
        <v>320</v>
      </c>
      <c r="AX26" s="168" t="s">
        <v>341</v>
      </c>
      <c r="AY26" s="169" t="s">
        <v>323</v>
      </c>
      <c r="AZ26" s="162">
        <f>AP26</f>
        <v>0.3916273809836372</v>
      </c>
      <c r="BA26" s="168" t="s">
        <v>322</v>
      </c>
      <c r="BC26" s="81" t="s">
        <v>404</v>
      </c>
      <c r="BD26" s="167">
        <v>-14.8</v>
      </c>
      <c r="BE26" s="167">
        <v>69.3</v>
      </c>
      <c r="BF26" s="81">
        <v>-0.21</v>
      </c>
      <c r="BG26" s="81">
        <v>0.83</v>
      </c>
      <c r="BJ26" s="175" t="s">
        <v>319</v>
      </c>
      <c r="BK26" s="175" t="s">
        <v>320</v>
      </c>
      <c r="BL26" s="175" t="s">
        <v>341</v>
      </c>
      <c r="BM26" s="175" t="s">
        <v>323</v>
      </c>
      <c r="BN26" s="174">
        <f>BD54</f>
        <v>0.44900000000000001</v>
      </c>
      <c r="BO26" s="175" t="s">
        <v>322</v>
      </c>
      <c r="BQ26" s="81" t="s">
        <v>404</v>
      </c>
      <c r="BR26" s="167">
        <v>-21.6</v>
      </c>
      <c r="BS26" s="167">
        <v>1.83E-2</v>
      </c>
      <c r="BT26" s="81">
        <v>-1183.33</v>
      </c>
      <c r="BU26" s="81" t="s">
        <v>422</v>
      </c>
      <c r="BV26" s="167">
        <v>2E-16</v>
      </c>
      <c r="BW26" s="81" t="s">
        <v>389</v>
      </c>
      <c r="BY26" s="178" t="s">
        <v>319</v>
      </c>
      <c r="BZ26" s="178" t="s">
        <v>320</v>
      </c>
      <c r="CA26" s="178" t="s">
        <v>340</v>
      </c>
      <c r="CB26" s="178" t="s">
        <v>323</v>
      </c>
      <c r="CC26" s="180">
        <f>BR44</f>
        <v>75.900000000000006</v>
      </c>
      <c r="CD26" s="178" t="s">
        <v>322</v>
      </c>
      <c r="CO26" s="81" t="s">
        <v>342</v>
      </c>
      <c r="CP26" s="254">
        <f t="shared" si="0"/>
        <v>0.37572743037874073</v>
      </c>
      <c r="CQ26" s="254">
        <f t="shared" si="1"/>
        <v>0.111</v>
      </c>
      <c r="CR26" s="254">
        <f t="shared" si="2"/>
        <v>0.14099999999999999</v>
      </c>
      <c r="CU26" s="258" t="s">
        <v>442</v>
      </c>
      <c r="CV26" s="258" t="s">
        <v>455</v>
      </c>
      <c r="CW26" s="259">
        <v>0.34300000000000003</v>
      </c>
      <c r="CX26" s="259">
        <v>7.28E-3</v>
      </c>
      <c r="CY26" s="258">
        <v>47.13</v>
      </c>
      <c r="CZ26" s="258" t="s">
        <v>422</v>
      </c>
      <c r="DA26" s="167">
        <v>2E-16</v>
      </c>
      <c r="DB26" s="81" t="s">
        <v>389</v>
      </c>
      <c r="DD26" s="261"/>
      <c r="DE26" s="261"/>
      <c r="DF26" s="262"/>
      <c r="DI26" s="170"/>
      <c r="DJ26" s="291"/>
      <c r="DK26" s="291"/>
      <c r="DL26" s="170"/>
      <c r="DM26" s="170"/>
    </row>
    <row r="27" spans="1:117" ht="15" customHeight="1" thickTop="1" thickBot="1" x14ac:dyDescent="0.3">
      <c r="A27" s="188"/>
      <c r="B27" s="208">
        <f>SUM(O6:O25)</f>
        <v>389.5</v>
      </c>
      <c r="C27" s="190" t="s">
        <v>9</v>
      </c>
      <c r="D27" s="188"/>
      <c r="E27" s="189"/>
      <c r="F27" s="189"/>
      <c r="G27" s="189"/>
      <c r="H27" s="190"/>
      <c r="I27" s="189"/>
      <c r="K27" s="81" t="s">
        <v>101</v>
      </c>
      <c r="L27" s="218">
        <v>1</v>
      </c>
      <c r="M27" s="219">
        <v>1</v>
      </c>
      <c r="N27" s="219" t="s">
        <v>85</v>
      </c>
      <c r="O27" s="220">
        <f>SUM(O6:O9)</f>
        <v>74.188882892606586</v>
      </c>
      <c r="P27" s="221"/>
      <c r="Q27" s="30">
        <f t="shared" si="4"/>
        <v>1.210762331838565</v>
      </c>
      <c r="R27" s="30">
        <f t="shared" si="5"/>
        <v>89.825104847550577</v>
      </c>
      <c r="S27" s="30">
        <f t="shared" si="10"/>
        <v>14644885.483000543</v>
      </c>
      <c r="T27" s="30">
        <f t="shared" si="11"/>
        <v>197400.00000000003</v>
      </c>
      <c r="U27" s="30">
        <f t="shared" si="12"/>
        <v>14644885.483000543</v>
      </c>
      <c r="V27" s="31"/>
      <c r="W27" s="153"/>
      <c r="X27" s="228" t="s">
        <v>99</v>
      </c>
      <c r="Y27" s="229"/>
      <c r="Z27" s="230" t="s">
        <v>21</v>
      </c>
      <c r="AA27" s="231">
        <f>1/(1/5+SUM(AD29:AD32)+1/3)</f>
        <v>1.0668924640135478</v>
      </c>
      <c r="AB27" s="229" t="s">
        <v>5</v>
      </c>
      <c r="AC27" s="229"/>
      <c r="AD27" s="229" t="s">
        <v>22</v>
      </c>
      <c r="AE27" s="232">
        <f>SUM(AE29:AE33)</f>
        <v>457350</v>
      </c>
      <c r="AF27" s="14" t="s">
        <v>23</v>
      </c>
      <c r="AG27" s="14">
        <f>SUM(AE29:AE32)</f>
        <v>457350</v>
      </c>
      <c r="AH27" s="14"/>
      <c r="AM27" s="159" t="s">
        <v>319</v>
      </c>
      <c r="AN27" s="81" t="s">
        <v>320</v>
      </c>
      <c r="AO27" s="81" t="s">
        <v>342</v>
      </c>
      <c r="AP27" s="81">
        <f>SUM(2*O28,2*O29,O31)/SUM(O$17:O$25,2*O$28,O$26,O31,2*O29)</f>
        <v>0.37572743037874073</v>
      </c>
      <c r="AQ27" s="81" t="s">
        <v>322</v>
      </c>
      <c r="AR27" s="167">
        <v>0.14522370000000001</v>
      </c>
      <c r="AV27" s="168" t="s">
        <v>319</v>
      </c>
      <c r="AW27" s="168" t="s">
        <v>320</v>
      </c>
      <c r="AX27" s="168" t="s">
        <v>342</v>
      </c>
      <c r="AY27" s="169" t="s">
        <v>323</v>
      </c>
      <c r="AZ27" s="162">
        <f>AP27</f>
        <v>0.37572743037874073</v>
      </c>
      <c r="BA27" s="168" t="s">
        <v>322</v>
      </c>
      <c r="BC27" s="81" t="s">
        <v>405</v>
      </c>
      <c r="BD27" s="167">
        <v>0.11700000000000001</v>
      </c>
      <c r="BE27" s="167">
        <v>5.5000000000000003E-4</v>
      </c>
      <c r="BF27" s="81">
        <v>212.4</v>
      </c>
      <c r="BG27" s="81" t="s">
        <v>388</v>
      </c>
      <c r="BJ27" s="175" t="s">
        <v>319</v>
      </c>
      <c r="BK27" s="175" t="s">
        <v>320</v>
      </c>
      <c r="BL27" s="175" t="s">
        <v>342</v>
      </c>
      <c r="BM27" s="175" t="s">
        <v>323</v>
      </c>
      <c r="BN27" s="174">
        <f>BD55</f>
        <v>0.111</v>
      </c>
      <c r="BO27" s="175" t="s">
        <v>322</v>
      </c>
      <c r="BQ27" s="81" t="s">
        <v>405</v>
      </c>
      <c r="BR27" s="167">
        <v>7.0400000000000004E-2</v>
      </c>
      <c r="BS27" s="167">
        <v>1.0300000000000001E-3</v>
      </c>
      <c r="BT27" s="81">
        <v>68.37</v>
      </c>
      <c r="BU27" s="81" t="s">
        <v>422</v>
      </c>
      <c r="BV27" s="167">
        <v>2E-16</v>
      </c>
      <c r="BW27" s="81" t="s">
        <v>389</v>
      </c>
      <c r="BY27" s="178"/>
      <c r="BZ27" s="178"/>
      <c r="CA27" s="178"/>
      <c r="CB27" s="178"/>
      <c r="CC27" s="177"/>
      <c r="CD27" s="178"/>
      <c r="CO27" s="81" t="s">
        <v>343</v>
      </c>
      <c r="CP27" s="254">
        <f t="shared" si="0"/>
        <v>3.5630344205761916E-2</v>
      </c>
      <c r="CQ27" s="254">
        <f t="shared" si="1"/>
        <v>0.255</v>
      </c>
      <c r="CR27" s="254">
        <f t="shared" si="2"/>
        <v>0.108</v>
      </c>
      <c r="CU27" s="258" t="s">
        <v>442</v>
      </c>
      <c r="CV27" s="258" t="s">
        <v>456</v>
      </c>
      <c r="CW27" s="259">
        <v>0.253</v>
      </c>
      <c r="CX27" s="259">
        <v>8.2699999999999996E-3</v>
      </c>
      <c r="CY27" s="258">
        <v>30.62</v>
      </c>
      <c r="CZ27" s="258" t="s">
        <v>422</v>
      </c>
      <c r="DA27" s="167">
        <v>2E-16</v>
      </c>
      <c r="DB27" s="81" t="s">
        <v>389</v>
      </c>
      <c r="DC27" s="260" t="s">
        <v>467</v>
      </c>
      <c r="DD27" s="261" t="s">
        <v>330</v>
      </c>
      <c r="DE27" s="261" t="s">
        <v>323</v>
      </c>
      <c r="DF27" s="262">
        <f>CW33</f>
        <v>6760000</v>
      </c>
      <c r="DG27" s="260" t="s">
        <v>322</v>
      </c>
      <c r="DI27" s="170" t="s">
        <v>467</v>
      </c>
      <c r="DJ27" s="291" t="s">
        <v>330</v>
      </c>
      <c r="DK27" s="291" t="s">
        <v>323</v>
      </c>
      <c r="DL27" s="295">
        <f>$AP12</f>
        <v>10652160</v>
      </c>
      <c r="DM27" s="170" t="s">
        <v>322</v>
      </c>
    </row>
    <row r="28" spans="1:117" ht="15" customHeight="1" thickTop="1" thickBot="1" x14ac:dyDescent="0.3">
      <c r="A28" s="188"/>
      <c r="B28" s="189"/>
      <c r="C28" s="190"/>
      <c r="D28" s="188"/>
      <c r="E28" s="189"/>
      <c r="F28" s="189"/>
      <c r="G28" s="189"/>
      <c r="H28" s="190"/>
      <c r="I28" s="189"/>
      <c r="K28" s="81" t="s">
        <v>102</v>
      </c>
      <c r="L28" s="218">
        <v>2</v>
      </c>
      <c r="M28" s="219">
        <v>2</v>
      </c>
      <c r="N28" s="219" t="s">
        <v>85</v>
      </c>
      <c r="O28" s="220">
        <f>SUM(O17:O20)</f>
        <v>69.011117107393432</v>
      </c>
      <c r="P28" s="221"/>
      <c r="Q28" s="30">
        <f t="shared" si="4"/>
        <v>1.210762331838565</v>
      </c>
      <c r="R28" s="30">
        <f t="shared" si="5"/>
        <v>83.556061071731961</v>
      </c>
      <c r="S28" s="30">
        <f t="shared" si="10"/>
        <v>13622794.516999464</v>
      </c>
      <c r="T28" s="30">
        <f t="shared" si="11"/>
        <v>197400.00000000003</v>
      </c>
      <c r="U28" s="30">
        <f t="shared" si="12"/>
        <v>13622794.516999464</v>
      </c>
      <c r="V28" s="31"/>
      <c r="X28" s="233"/>
      <c r="Y28" s="234" t="s">
        <v>27</v>
      </c>
      <c r="Z28" s="234" t="s">
        <v>28</v>
      </c>
      <c r="AA28" s="234" t="s">
        <v>29</v>
      </c>
      <c r="AB28" s="234" t="s">
        <v>30</v>
      </c>
      <c r="AC28" s="234" t="s">
        <v>31</v>
      </c>
      <c r="AD28" s="234" t="s">
        <v>32</v>
      </c>
      <c r="AE28" s="235" t="s">
        <v>33</v>
      </c>
      <c r="AF28" s="14"/>
      <c r="AG28" s="14"/>
      <c r="AH28" s="14"/>
      <c r="AM28" s="159" t="s">
        <v>319</v>
      </c>
      <c r="AN28" s="81" t="s">
        <v>320</v>
      </c>
      <c r="AO28" s="81" t="s">
        <v>343</v>
      </c>
      <c r="AP28" s="81">
        <f>SUM(O21:O24)/SUM(O$17:O$25,2*O$28,O$26,O31,2*O29)</f>
        <v>3.5630344205761916E-2</v>
      </c>
      <c r="AQ28" s="81" t="s">
        <v>322</v>
      </c>
      <c r="AR28" s="167">
        <v>0.13569049999999999</v>
      </c>
      <c r="AV28" s="168" t="s">
        <v>319</v>
      </c>
      <c r="AW28" s="168" t="s">
        <v>320</v>
      </c>
      <c r="AX28" s="168" t="s">
        <v>343</v>
      </c>
      <c r="AY28" s="169" t="s">
        <v>323</v>
      </c>
      <c r="AZ28" s="162">
        <f>AP28</f>
        <v>3.5630344205761916E-2</v>
      </c>
      <c r="BA28" s="168" t="s">
        <v>322</v>
      </c>
      <c r="BC28" s="81" t="s">
        <v>406</v>
      </c>
      <c r="BD28" s="167">
        <v>0.22500000000000001</v>
      </c>
      <c r="BE28" s="167">
        <v>9.9500000000000001E-4</v>
      </c>
      <c r="BF28" s="81">
        <v>225.89</v>
      </c>
      <c r="BG28" s="81" t="s">
        <v>388</v>
      </c>
      <c r="BJ28" s="175" t="s">
        <v>319</v>
      </c>
      <c r="BK28" s="175" t="s">
        <v>320</v>
      </c>
      <c r="BL28" s="175" t="s">
        <v>343</v>
      </c>
      <c r="BM28" s="175" t="s">
        <v>323</v>
      </c>
      <c r="BN28" s="174">
        <f>BD56</f>
        <v>0.255</v>
      </c>
      <c r="BO28" s="175" t="s">
        <v>322</v>
      </c>
      <c r="BQ28" s="81" t="s">
        <v>406</v>
      </c>
      <c r="BR28" s="167">
        <v>0.13700000000000001</v>
      </c>
      <c r="BS28" s="167">
        <v>1.8699999999999999E-3</v>
      </c>
      <c r="BT28" s="81">
        <v>73.45</v>
      </c>
      <c r="BU28" s="81" t="s">
        <v>422</v>
      </c>
      <c r="BV28" s="167">
        <v>2E-16</v>
      </c>
      <c r="BW28" s="81" t="s">
        <v>389</v>
      </c>
      <c r="BY28" s="178" t="s">
        <v>319</v>
      </c>
      <c r="BZ28" s="178" t="s">
        <v>320</v>
      </c>
      <c r="CA28" s="178" t="s">
        <v>341</v>
      </c>
      <c r="CB28" s="178" t="s">
        <v>323</v>
      </c>
      <c r="CC28" s="177">
        <f>BR53</f>
        <v>0.46800000000000003</v>
      </c>
      <c r="CD28" s="178" t="s">
        <v>322</v>
      </c>
      <c r="CP28" s="255"/>
      <c r="CQ28" s="255"/>
      <c r="CR28" s="255"/>
      <c r="CU28" s="258" t="s">
        <v>442</v>
      </c>
      <c r="CV28" s="258" t="s">
        <v>457</v>
      </c>
      <c r="CW28" s="259">
        <v>0.14399999999999999</v>
      </c>
      <c r="CX28" s="259">
        <v>2.1999999999999999E-2</v>
      </c>
      <c r="CY28" s="258">
        <v>6.53</v>
      </c>
      <c r="CZ28" s="259">
        <v>6.8999999999999994E-11</v>
      </c>
      <c r="DA28" s="167" t="s">
        <v>389</v>
      </c>
      <c r="DC28" s="260" t="s">
        <v>467</v>
      </c>
      <c r="DD28" s="264" t="s">
        <v>327</v>
      </c>
      <c r="DE28" s="261" t="s">
        <v>323</v>
      </c>
      <c r="DF28" s="262">
        <f>CW34</f>
        <v>1600000</v>
      </c>
      <c r="DG28" s="260" t="s">
        <v>322</v>
      </c>
      <c r="DI28" s="170" t="s">
        <v>467</v>
      </c>
      <c r="DJ28" s="293" t="s">
        <v>327</v>
      </c>
      <c r="DK28" s="291" t="s">
        <v>323</v>
      </c>
      <c r="DL28" s="295">
        <f>$AP9</f>
        <v>1768166.3999999999</v>
      </c>
      <c r="DM28" s="170" t="s">
        <v>322</v>
      </c>
    </row>
    <row r="29" spans="1:117" ht="15" customHeight="1" thickTop="1" thickBot="1" x14ac:dyDescent="0.3">
      <c r="A29" s="188"/>
      <c r="B29" s="189"/>
      <c r="C29" s="190"/>
      <c r="D29" s="188"/>
      <c r="E29" s="189"/>
      <c r="F29" s="189"/>
      <c r="G29" s="189"/>
      <c r="H29" s="190"/>
      <c r="I29" s="189"/>
      <c r="L29" s="218">
        <v>2</v>
      </c>
      <c r="M29" s="219">
        <v>2</v>
      </c>
      <c r="N29" s="219" t="s">
        <v>99</v>
      </c>
      <c r="O29" s="220">
        <v>0</v>
      </c>
      <c r="P29" s="225"/>
      <c r="Q29" s="30">
        <f t="shared" si="4"/>
        <v>1.0668924640135478</v>
      </c>
      <c r="R29" s="30">
        <f t="shared" si="5"/>
        <v>0</v>
      </c>
      <c r="S29" s="30">
        <f t="shared" si="10"/>
        <v>0</v>
      </c>
      <c r="T29" s="30" t="e">
        <f t="shared" si="11"/>
        <v>#DIV/0!</v>
      </c>
      <c r="U29" s="30">
        <f t="shared" si="12"/>
        <v>0</v>
      </c>
      <c r="X29" s="239"/>
      <c r="Y29" s="240" t="s">
        <v>103</v>
      </c>
      <c r="Z29" s="240">
        <v>0.02</v>
      </c>
      <c r="AA29" s="240">
        <v>0.18</v>
      </c>
      <c r="AB29" s="240">
        <v>550</v>
      </c>
      <c r="AC29" s="240">
        <v>1880</v>
      </c>
      <c r="AD29" s="241">
        <f>Z29/AA29</f>
        <v>0.11111111111111112</v>
      </c>
      <c r="AE29" s="242">
        <f>Z29*AB29*AC29</f>
        <v>20680</v>
      </c>
      <c r="AF29" s="14" t="s">
        <v>104</v>
      </c>
      <c r="AG29" s="14"/>
      <c r="AH29" s="14"/>
      <c r="AQ29" s="81" t="s">
        <v>322</v>
      </c>
      <c r="AV29" s="168"/>
      <c r="AW29" s="168"/>
      <c r="AX29" s="168"/>
      <c r="AY29" s="169"/>
      <c r="BA29" s="168"/>
      <c r="BC29" s="81" t="s">
        <v>407</v>
      </c>
      <c r="BD29" s="167">
        <v>0.46500000000000002</v>
      </c>
      <c r="BE29" s="167">
        <v>2.8900000000000002E-3</v>
      </c>
      <c r="BF29" s="81">
        <v>161.16999999999999</v>
      </c>
      <c r="BG29" s="81" t="s">
        <v>388</v>
      </c>
      <c r="BJ29" s="175"/>
      <c r="BK29" s="175"/>
      <c r="BL29" s="175"/>
      <c r="BM29" s="175"/>
      <c r="BN29" s="174"/>
      <c r="BO29" s="175"/>
      <c r="BQ29" s="81" t="s">
        <v>407</v>
      </c>
      <c r="BR29" s="167">
        <v>0.76900000000000002</v>
      </c>
      <c r="BS29" s="167">
        <v>3.4299999999999997E-2</v>
      </c>
      <c r="BT29" s="81">
        <v>22.44</v>
      </c>
      <c r="BU29" s="81" t="s">
        <v>422</v>
      </c>
      <c r="BV29" s="167">
        <v>2E-16</v>
      </c>
      <c r="BW29" s="81" t="s">
        <v>389</v>
      </c>
      <c r="BY29" s="178" t="s">
        <v>319</v>
      </c>
      <c r="BZ29" s="178" t="s">
        <v>320</v>
      </c>
      <c r="CA29" s="178" t="s">
        <v>342</v>
      </c>
      <c r="CB29" s="178" t="s">
        <v>323</v>
      </c>
      <c r="CC29" s="177">
        <f>BR54</f>
        <v>0.14099999999999999</v>
      </c>
      <c r="CD29" s="178" t="s">
        <v>322</v>
      </c>
      <c r="CO29" s="81" t="s">
        <v>344</v>
      </c>
      <c r="CP29" s="256">
        <f t="shared" si="0"/>
        <v>913552.64000000025</v>
      </c>
      <c r="CQ29" s="256">
        <f t="shared" si="1"/>
        <v>858000</v>
      </c>
      <c r="CR29" s="256">
        <f t="shared" si="2"/>
        <v>752000</v>
      </c>
      <c r="CU29" s="258" t="s">
        <v>442</v>
      </c>
      <c r="CV29" s="258" t="s">
        <v>360</v>
      </c>
      <c r="CW29" s="259">
        <v>0.48399999999999999</v>
      </c>
      <c r="CX29" s="259">
        <v>5.8799999999999998E-2</v>
      </c>
      <c r="CY29" s="258">
        <v>8.23</v>
      </c>
      <c r="CZ29" s="259">
        <v>2.2E-16</v>
      </c>
      <c r="DA29" s="81" t="s">
        <v>389</v>
      </c>
      <c r="DC29" s="260" t="s">
        <v>467</v>
      </c>
      <c r="DD29" s="264" t="s">
        <v>328</v>
      </c>
      <c r="DE29" s="261" t="s">
        <v>323</v>
      </c>
      <c r="DF29" s="262">
        <f>CW35</f>
        <v>10400000</v>
      </c>
      <c r="DG29" s="260" t="s">
        <v>322</v>
      </c>
      <c r="DI29" s="170" t="s">
        <v>467</v>
      </c>
      <c r="DJ29" s="293" t="s">
        <v>328</v>
      </c>
      <c r="DK29" s="291" t="s">
        <v>323</v>
      </c>
      <c r="DL29" s="295">
        <f>$AP10</f>
        <v>13429671.581219645</v>
      </c>
      <c r="DM29" s="170" t="s">
        <v>322</v>
      </c>
    </row>
    <row r="30" spans="1:117" ht="15" customHeight="1" thickTop="1" thickBot="1" x14ac:dyDescent="0.3">
      <c r="A30" s="205"/>
      <c r="B30" s="187"/>
      <c r="C30" s="210"/>
      <c r="D30" s="205"/>
      <c r="E30" s="187"/>
      <c r="F30" s="187"/>
      <c r="G30" s="187"/>
      <c r="H30" s="210"/>
      <c r="I30" s="189"/>
      <c r="L30" s="218" t="s">
        <v>516</v>
      </c>
      <c r="M30" s="219">
        <v>1</v>
      </c>
      <c r="N30" s="219" t="s">
        <v>517</v>
      </c>
      <c r="O30" s="220">
        <f>O7</f>
        <v>34.704039143624534</v>
      </c>
      <c r="P30" s="221"/>
      <c r="Q30" s="30">
        <f t="shared" si="4"/>
        <v>1.2616822429906542</v>
      </c>
      <c r="R30" s="30">
        <f t="shared" si="5"/>
        <v>43.785469947563669</v>
      </c>
      <c r="S30" s="30">
        <f t="shared" si="10"/>
        <v>6282125.1657789145</v>
      </c>
      <c r="T30" s="30">
        <f t="shared" si="11"/>
        <v>181020.00000000003</v>
      </c>
      <c r="U30" s="30">
        <f t="shared" si="12"/>
        <v>0</v>
      </c>
      <c r="X30" s="188"/>
      <c r="Y30" s="189" t="s">
        <v>129</v>
      </c>
      <c r="Z30" s="189">
        <v>0.08</v>
      </c>
      <c r="AA30" s="189">
        <v>0.6</v>
      </c>
      <c r="AB30" s="189">
        <v>1100</v>
      </c>
      <c r="AC30" s="189">
        <v>860</v>
      </c>
      <c r="AD30" s="236">
        <f>Z30/AA30</f>
        <v>0.13333333333333333</v>
      </c>
      <c r="AE30" s="190">
        <f>Z30*AB30*AC30</f>
        <v>75680</v>
      </c>
      <c r="AF30" s="14"/>
      <c r="AG30" s="14"/>
      <c r="AH30" s="14"/>
      <c r="AM30" s="159" t="s">
        <v>319</v>
      </c>
      <c r="AN30" s="81" t="s">
        <v>320</v>
      </c>
      <c r="AO30" s="81" t="s">
        <v>344</v>
      </c>
      <c r="AP30" s="167">
        <f>B35*1.04*1012*5</f>
        <v>913552.64000000025</v>
      </c>
      <c r="AQ30" s="81" t="s">
        <v>322</v>
      </c>
      <c r="AR30" s="167">
        <v>1612741</v>
      </c>
      <c r="AV30" s="168" t="s">
        <v>319</v>
      </c>
      <c r="AW30" s="168" t="s">
        <v>320</v>
      </c>
      <c r="AX30" s="168" t="s">
        <v>344</v>
      </c>
      <c r="AY30" s="169" t="s">
        <v>323</v>
      </c>
      <c r="AZ30" s="162">
        <f t="shared" ref="AZ30:AZ35" si="14">AP30</f>
        <v>913552.64000000025</v>
      </c>
      <c r="BA30" s="168" t="s">
        <v>322</v>
      </c>
      <c r="BC30" s="81" t="s">
        <v>408</v>
      </c>
      <c r="BD30" s="167">
        <v>0.11</v>
      </c>
      <c r="BE30" s="167">
        <v>6.3400000000000001E-4</v>
      </c>
      <c r="BF30" s="81">
        <v>173.77</v>
      </c>
      <c r="BG30" s="81" t="s">
        <v>388</v>
      </c>
      <c r="BJ30" s="175" t="s">
        <v>319</v>
      </c>
      <c r="BK30" s="175" t="s">
        <v>320</v>
      </c>
      <c r="BL30" s="175" t="s">
        <v>344</v>
      </c>
      <c r="BM30" s="175" t="s">
        <v>323</v>
      </c>
      <c r="BN30" s="174">
        <f>BD59</f>
        <v>858000</v>
      </c>
      <c r="BO30" s="175" t="s">
        <v>322</v>
      </c>
      <c r="BQ30" s="81" t="s">
        <v>408</v>
      </c>
      <c r="BR30" s="167">
        <v>7.2499999999999995E-2</v>
      </c>
      <c r="BS30" s="167">
        <v>7.0500000000000001E-4</v>
      </c>
      <c r="BT30" s="81">
        <v>102.71</v>
      </c>
      <c r="BU30" s="81" t="s">
        <v>422</v>
      </c>
      <c r="BV30" s="167">
        <v>2E-16</v>
      </c>
      <c r="BW30" s="81" t="s">
        <v>389</v>
      </c>
      <c r="BY30" s="178" t="s">
        <v>319</v>
      </c>
      <c r="BZ30" s="178" t="s">
        <v>320</v>
      </c>
      <c r="CA30" s="178" t="s">
        <v>343</v>
      </c>
      <c r="CB30" s="178" t="s">
        <v>323</v>
      </c>
      <c r="CC30" s="177">
        <f>BR55</f>
        <v>0.108</v>
      </c>
      <c r="CD30" s="178" t="s">
        <v>322</v>
      </c>
      <c r="CO30" s="81" t="s">
        <v>345</v>
      </c>
      <c r="CP30" s="256">
        <f t="shared" si="0"/>
        <v>14269622.41878036</v>
      </c>
      <c r="CQ30" s="256">
        <f t="shared" si="1"/>
        <v>2990000</v>
      </c>
      <c r="CR30" s="256">
        <f t="shared" si="2"/>
        <v>8650000</v>
      </c>
      <c r="CU30" s="258" t="s">
        <v>442</v>
      </c>
      <c r="CV30" s="258" t="s">
        <v>458</v>
      </c>
      <c r="CW30" s="259">
        <v>0.20300000000000001</v>
      </c>
      <c r="CX30" s="259">
        <v>1.32E-2</v>
      </c>
      <c r="CY30" s="258">
        <v>15.36</v>
      </c>
      <c r="CZ30" s="258" t="s">
        <v>422</v>
      </c>
      <c r="DA30" s="167">
        <v>2E-16</v>
      </c>
      <c r="DB30" s="81" t="s">
        <v>389</v>
      </c>
      <c r="DC30" s="260" t="s">
        <v>467</v>
      </c>
      <c r="DD30" s="264" t="s">
        <v>329</v>
      </c>
      <c r="DE30" s="261" t="s">
        <v>323</v>
      </c>
      <c r="DF30" s="262">
        <f>CW36</f>
        <v>9930000</v>
      </c>
      <c r="DG30" s="260" t="s">
        <v>322</v>
      </c>
      <c r="DI30" s="170" t="s">
        <v>467</v>
      </c>
      <c r="DJ30" s="293" t="s">
        <v>329</v>
      </c>
      <c r="DK30" s="291" t="s">
        <v>323</v>
      </c>
      <c r="DL30" s="295">
        <f>$AP11</f>
        <v>7322442.7415002715</v>
      </c>
      <c r="DM30" s="170" t="s">
        <v>322</v>
      </c>
    </row>
    <row r="31" spans="1:117" ht="15" customHeight="1" thickTop="1" thickBot="1" x14ac:dyDescent="0.3">
      <c r="L31" s="223" t="s">
        <v>516</v>
      </c>
      <c r="M31" s="224">
        <v>2</v>
      </c>
      <c r="N31" s="224" t="s">
        <v>517</v>
      </c>
      <c r="O31" s="220">
        <f>O18</f>
        <v>32.281986411725747</v>
      </c>
      <c r="P31" s="225"/>
      <c r="Q31" s="30">
        <f t="shared" si="4"/>
        <v>1.2616822429906542</v>
      </c>
      <c r="R31" s="30">
        <f t="shared" si="5"/>
        <v>40.729609024139961</v>
      </c>
      <c r="S31" s="30">
        <f t="shared" si="10"/>
        <v>5843685.1802505953</v>
      </c>
      <c r="T31" s="30">
        <f t="shared" si="11"/>
        <v>181020.00000000003</v>
      </c>
      <c r="U31" s="30">
        <f t="shared" si="12"/>
        <v>0</v>
      </c>
      <c r="X31" s="188"/>
      <c r="Y31" s="189" t="s">
        <v>278</v>
      </c>
      <c r="Z31" s="189">
        <v>0.2</v>
      </c>
      <c r="AA31" s="189">
        <v>1.4</v>
      </c>
      <c r="AB31" s="189">
        <v>2100</v>
      </c>
      <c r="AC31" s="189">
        <v>840</v>
      </c>
      <c r="AD31" s="236">
        <f>Z31/AA31</f>
        <v>0.14285714285714288</v>
      </c>
      <c r="AE31" s="190">
        <f>Z31*AB31*AC31</f>
        <v>352800</v>
      </c>
      <c r="AF31" s="14"/>
      <c r="AG31" s="14"/>
      <c r="AH31" s="14"/>
      <c r="AM31" s="159" t="s">
        <v>319</v>
      </c>
      <c r="AN31" s="81" t="s">
        <v>320</v>
      </c>
      <c r="AO31" s="81" t="s">
        <v>345</v>
      </c>
      <c r="AP31" s="167">
        <f>U25+SUM(U17:U20)</f>
        <v>14269622.41878036</v>
      </c>
      <c r="AQ31" s="81" t="s">
        <v>322</v>
      </c>
      <c r="AR31" s="167">
        <v>6867267</v>
      </c>
      <c r="AV31" s="168" t="s">
        <v>319</v>
      </c>
      <c r="AW31" s="168" t="s">
        <v>320</v>
      </c>
      <c r="AX31" s="168" t="s">
        <v>345</v>
      </c>
      <c r="AY31" s="169" t="s">
        <v>323</v>
      </c>
      <c r="AZ31" s="162">
        <f t="shared" si="14"/>
        <v>14269622.41878036</v>
      </c>
      <c r="BA31" s="168" t="s">
        <v>322</v>
      </c>
      <c r="BC31" s="81" t="s">
        <v>409</v>
      </c>
      <c r="BD31" s="167">
        <v>7.3400000000000007E-2</v>
      </c>
      <c r="BE31" s="167">
        <v>4.9700000000000005E-4</v>
      </c>
      <c r="BF31" s="81">
        <v>147.68</v>
      </c>
      <c r="BG31" s="81" t="s">
        <v>388</v>
      </c>
      <c r="BJ31" s="175" t="s">
        <v>319</v>
      </c>
      <c r="BK31" s="175" t="s">
        <v>320</v>
      </c>
      <c r="BL31" s="175" t="s">
        <v>345</v>
      </c>
      <c r="BM31" s="175" t="s">
        <v>323</v>
      </c>
      <c r="BN31" s="174">
        <f>BD60</f>
        <v>2990000</v>
      </c>
      <c r="BO31" s="175" t="s">
        <v>322</v>
      </c>
      <c r="BQ31" s="81" t="s">
        <v>409</v>
      </c>
      <c r="BR31" s="167">
        <v>4.4299999999999999E-2</v>
      </c>
      <c r="BS31" s="167">
        <v>3.0499999999999999E-4</v>
      </c>
      <c r="BT31" s="81">
        <v>145.31</v>
      </c>
      <c r="BU31" s="81" t="s">
        <v>422</v>
      </c>
      <c r="BV31" s="167">
        <v>2E-16</v>
      </c>
      <c r="BW31" s="81" t="s">
        <v>389</v>
      </c>
      <c r="BY31" s="178"/>
      <c r="BZ31" s="178"/>
      <c r="CA31" s="178"/>
      <c r="CB31" s="178"/>
      <c r="CC31" s="177"/>
      <c r="CD31" s="178"/>
      <c r="CO31" s="81" t="s">
        <v>346</v>
      </c>
      <c r="CP31" s="256">
        <f t="shared" si="0"/>
        <v>13622794.516999464</v>
      </c>
      <c r="CQ31" s="256">
        <f t="shared" si="1"/>
        <v>5280000</v>
      </c>
      <c r="CR31" s="256">
        <f t="shared" si="2"/>
        <v>17100000</v>
      </c>
      <c r="CU31" s="258" t="s">
        <v>442</v>
      </c>
      <c r="CV31" s="258" t="s">
        <v>459</v>
      </c>
      <c r="CW31" s="259">
        <v>5.7999999999999996E-3</v>
      </c>
      <c r="CX31" s="259">
        <v>1.17E-2</v>
      </c>
      <c r="CY31" s="258">
        <v>0.49</v>
      </c>
      <c r="CZ31" s="258">
        <v>0.62082000000000004</v>
      </c>
      <c r="DA31" s="167"/>
      <c r="DE31" s="261"/>
      <c r="DI31" s="170"/>
      <c r="DJ31" s="170"/>
      <c r="DK31" s="291"/>
      <c r="DL31" s="170"/>
      <c r="DM31" s="170"/>
    </row>
    <row r="32" spans="1:117" ht="15" customHeight="1" thickTop="1" thickBot="1" x14ac:dyDescent="0.3">
      <c r="L32" s="81"/>
      <c r="M32" s="81"/>
      <c r="N32" s="81"/>
      <c r="Q32" s="81"/>
      <c r="R32" s="81"/>
      <c r="X32" s="205"/>
      <c r="Y32" s="187" t="s">
        <v>80</v>
      </c>
      <c r="Z32" s="187">
        <v>0.01</v>
      </c>
      <c r="AA32" s="187">
        <v>0.6</v>
      </c>
      <c r="AB32" s="187">
        <v>975</v>
      </c>
      <c r="AC32" s="187">
        <v>840</v>
      </c>
      <c r="AD32" s="237">
        <f>Z32/AA32</f>
        <v>1.6666666666666666E-2</v>
      </c>
      <c r="AE32" s="210">
        <f>Z32*AB32*AC32</f>
        <v>8190</v>
      </c>
      <c r="AF32" s="14"/>
      <c r="AG32" s="14"/>
      <c r="AH32" s="14"/>
      <c r="AM32" s="159" t="s">
        <v>319</v>
      </c>
      <c r="AN32" s="81" t="s">
        <v>320</v>
      </c>
      <c r="AO32" s="81" t="s">
        <v>346</v>
      </c>
      <c r="AP32" s="167">
        <f>SUM(U28,U31,U29)</f>
        <v>13622794.516999464</v>
      </c>
      <c r="AQ32" s="81" t="s">
        <v>322</v>
      </c>
      <c r="AR32" s="167">
        <v>4590824</v>
      </c>
      <c r="AV32" s="168" t="s">
        <v>319</v>
      </c>
      <c r="AW32" s="168" t="s">
        <v>320</v>
      </c>
      <c r="AX32" s="168" t="s">
        <v>346</v>
      </c>
      <c r="AY32" s="169" t="s">
        <v>323</v>
      </c>
      <c r="AZ32" s="162">
        <f t="shared" si="14"/>
        <v>13622794.516999464</v>
      </c>
      <c r="BA32" s="168" t="s">
        <v>322</v>
      </c>
      <c r="BC32" s="81" t="s">
        <v>410</v>
      </c>
      <c r="BD32" s="167">
        <v>637</v>
      </c>
      <c r="BE32" s="167">
        <v>4.58</v>
      </c>
      <c r="BF32" s="81">
        <v>139.22</v>
      </c>
      <c r="BG32" s="81" t="s">
        <v>388</v>
      </c>
      <c r="BJ32" s="175" t="s">
        <v>319</v>
      </c>
      <c r="BK32" s="175" t="s">
        <v>320</v>
      </c>
      <c r="BL32" s="175" t="s">
        <v>346</v>
      </c>
      <c r="BM32" s="175" t="s">
        <v>323</v>
      </c>
      <c r="BN32" s="174">
        <f>BD61</f>
        <v>5280000</v>
      </c>
      <c r="BO32" s="175" t="s">
        <v>322</v>
      </c>
      <c r="BQ32" s="81" t="s">
        <v>410</v>
      </c>
      <c r="BR32" s="167">
        <v>278</v>
      </c>
      <c r="BS32" s="167">
        <v>2.25</v>
      </c>
      <c r="BT32" s="81">
        <v>123.56</v>
      </c>
      <c r="BU32" s="81" t="s">
        <v>422</v>
      </c>
      <c r="BV32" s="167">
        <v>2E-16</v>
      </c>
      <c r="BW32" s="81" t="s">
        <v>389</v>
      </c>
      <c r="BY32" s="178" t="s">
        <v>319</v>
      </c>
      <c r="BZ32" s="178" t="s">
        <v>320</v>
      </c>
      <c r="CA32" s="178" t="s">
        <v>344</v>
      </c>
      <c r="CB32" s="178" t="s">
        <v>323</v>
      </c>
      <c r="CC32" s="177">
        <f>BR58</f>
        <v>752000</v>
      </c>
      <c r="CD32" s="178" t="s">
        <v>322</v>
      </c>
      <c r="CO32" s="81" t="s">
        <v>347</v>
      </c>
      <c r="CP32" s="254">
        <f t="shared" si="0"/>
        <v>0.11748821429509115</v>
      </c>
      <c r="CQ32" s="254">
        <f t="shared" si="1"/>
        <v>0.38</v>
      </c>
      <c r="CR32" s="254">
        <f t="shared" si="2"/>
        <v>0.23</v>
      </c>
      <c r="CU32" s="258" t="s">
        <v>442</v>
      </c>
      <c r="CV32" s="258" t="s">
        <v>308</v>
      </c>
      <c r="CW32" s="259">
        <v>1230000000</v>
      </c>
      <c r="CX32" s="259">
        <v>93100000</v>
      </c>
      <c r="CY32" s="258">
        <v>13.26</v>
      </c>
      <c r="CZ32" s="258" t="s">
        <v>422</v>
      </c>
      <c r="DA32" s="167">
        <v>2E-16</v>
      </c>
      <c r="DB32" s="81" t="s">
        <v>389</v>
      </c>
      <c r="DC32" s="260" t="s">
        <v>467</v>
      </c>
      <c r="DD32" s="264" t="s">
        <v>335</v>
      </c>
      <c r="DE32" s="261" t="s">
        <v>323</v>
      </c>
      <c r="DF32" s="262">
        <f>CW47</f>
        <v>144</v>
      </c>
      <c r="DG32" s="260" t="s">
        <v>322</v>
      </c>
      <c r="DI32" s="170" t="s">
        <v>467</v>
      </c>
      <c r="DJ32" s="293" t="s">
        <v>335</v>
      </c>
      <c r="DK32" s="291" t="s">
        <v>323</v>
      </c>
      <c r="DL32" s="170">
        <f>$AP19</f>
        <v>136.73036437545244</v>
      </c>
      <c r="DM32" s="170" t="s">
        <v>322</v>
      </c>
    </row>
    <row r="33" spans="1:117" ht="15" customHeight="1" thickTop="1" thickBot="1" x14ac:dyDescent="0.3">
      <c r="A33" s="72" t="s">
        <v>109</v>
      </c>
      <c r="B33" s="72" t="s">
        <v>110</v>
      </c>
      <c r="C33" s="72"/>
      <c r="D33" s="72" t="s">
        <v>111</v>
      </c>
      <c r="E33" s="307" t="s">
        <v>112</v>
      </c>
      <c r="F33" s="307"/>
      <c r="G33" s="72" t="s">
        <v>113</v>
      </c>
      <c r="L33" s="81"/>
      <c r="M33" s="81"/>
      <c r="N33" s="81"/>
      <c r="Q33" s="69" t="s">
        <v>106</v>
      </c>
      <c r="R33" s="70">
        <f>SUM(R4:R25)</f>
        <v>359.1490221873857</v>
      </c>
      <c r="S33" s="69" t="s">
        <v>107</v>
      </c>
      <c r="X33" s="189"/>
      <c r="Y33" s="189"/>
      <c r="Z33" s="189"/>
      <c r="AA33" s="189"/>
      <c r="AB33" s="189"/>
      <c r="AC33" s="189"/>
      <c r="AD33" s="236"/>
      <c r="AE33" s="189"/>
      <c r="AF33" s="14"/>
      <c r="AG33" s="14"/>
      <c r="AH33" s="14"/>
      <c r="AM33" s="159" t="s">
        <v>319</v>
      </c>
      <c r="AN33" s="81" t="s">
        <v>320</v>
      </c>
      <c r="AO33" s="81" t="s">
        <v>347</v>
      </c>
      <c r="AP33" s="81">
        <f>AP26*0.3</f>
        <v>0.11748821429509115</v>
      </c>
      <c r="AQ33" s="81" t="s">
        <v>322</v>
      </c>
      <c r="AR33" s="167">
        <v>0.1616958</v>
      </c>
      <c r="AV33" s="168" t="s">
        <v>319</v>
      </c>
      <c r="AW33" s="168" t="s">
        <v>320</v>
      </c>
      <c r="AX33" s="168" t="s">
        <v>347</v>
      </c>
      <c r="AY33" s="169" t="s">
        <v>323</v>
      </c>
      <c r="AZ33" s="162">
        <f t="shared" si="14"/>
        <v>0.11748821429509115</v>
      </c>
      <c r="BA33" s="168" t="s">
        <v>322</v>
      </c>
      <c r="BC33" s="81" t="s">
        <v>411</v>
      </c>
      <c r="BD33" s="167">
        <v>795</v>
      </c>
      <c r="BE33" s="167">
        <v>5.28</v>
      </c>
      <c r="BF33" s="81">
        <v>150.51</v>
      </c>
      <c r="BG33" s="81" t="s">
        <v>388</v>
      </c>
      <c r="BJ33" s="175" t="s">
        <v>319</v>
      </c>
      <c r="BK33" s="175" t="s">
        <v>320</v>
      </c>
      <c r="BL33" s="175" t="s">
        <v>347</v>
      </c>
      <c r="BM33" s="175" t="s">
        <v>323</v>
      </c>
      <c r="BN33" s="174">
        <f>BD66</f>
        <v>0.38</v>
      </c>
      <c r="BO33" s="175" t="s">
        <v>322</v>
      </c>
      <c r="BQ33" s="81" t="s">
        <v>411</v>
      </c>
      <c r="BR33" s="167">
        <v>215</v>
      </c>
      <c r="BS33" s="167">
        <v>1.54</v>
      </c>
      <c r="BT33" s="81">
        <v>139.77000000000001</v>
      </c>
      <c r="BU33" s="81" t="s">
        <v>422</v>
      </c>
      <c r="BV33" s="167">
        <v>2E-16</v>
      </c>
      <c r="BW33" s="81" t="s">
        <v>389</v>
      </c>
      <c r="BY33" s="178" t="s">
        <v>319</v>
      </c>
      <c r="BZ33" s="178" t="s">
        <v>320</v>
      </c>
      <c r="CA33" s="178" t="s">
        <v>345</v>
      </c>
      <c r="CB33" s="178" t="s">
        <v>323</v>
      </c>
      <c r="CC33" s="177">
        <f>BR59</f>
        <v>8650000</v>
      </c>
      <c r="CD33" s="178" t="s">
        <v>322</v>
      </c>
      <c r="CO33" s="81" t="s">
        <v>348</v>
      </c>
      <c r="CP33" s="254">
        <f t="shared" si="0"/>
        <v>0.11271822911362221</v>
      </c>
      <c r="CQ33" s="254">
        <f t="shared" si="1"/>
        <v>7.2800000000000004E-2</v>
      </c>
      <c r="CR33" s="254">
        <f t="shared" si="2"/>
        <v>4.8599999999999997E-2</v>
      </c>
      <c r="CU33" s="258" t="s">
        <v>442</v>
      </c>
      <c r="CV33" s="258" t="s">
        <v>304</v>
      </c>
      <c r="CW33" s="259">
        <v>6760000</v>
      </c>
      <c r="CX33" s="259">
        <v>68800</v>
      </c>
      <c r="CY33" s="258">
        <v>98.26</v>
      </c>
      <c r="CZ33" s="258" t="s">
        <v>422</v>
      </c>
      <c r="DA33" s="167">
        <v>2E-16</v>
      </c>
      <c r="DB33" s="81" t="s">
        <v>389</v>
      </c>
      <c r="DC33" s="260" t="s">
        <v>467</v>
      </c>
      <c r="DD33" s="264" t="s">
        <v>336</v>
      </c>
      <c r="DE33" s="261" t="s">
        <v>323</v>
      </c>
      <c r="DF33" s="262">
        <f>CW48</f>
        <v>145</v>
      </c>
      <c r="DG33" s="260" t="s">
        <v>322</v>
      </c>
      <c r="DI33" s="170" t="s">
        <v>467</v>
      </c>
      <c r="DJ33" s="293" t="s">
        <v>336</v>
      </c>
      <c r="DK33" s="291" t="s">
        <v>323</v>
      </c>
      <c r="DL33" s="170">
        <f>$AP20</f>
        <v>199.60396039603961</v>
      </c>
      <c r="DM33" s="170" t="s">
        <v>322</v>
      </c>
    </row>
    <row r="34" spans="1:117" ht="15" customHeight="1" thickTop="1" thickBot="1" x14ac:dyDescent="0.3">
      <c r="A34" s="73">
        <v>1</v>
      </c>
      <c r="B34" s="74">
        <f>B7*3.5</f>
        <v>336</v>
      </c>
      <c r="C34" s="73"/>
      <c r="D34" s="73" t="s">
        <v>42</v>
      </c>
      <c r="E34" s="308">
        <v>21</v>
      </c>
      <c r="F34" s="308"/>
      <c r="G34" s="76">
        <f>VLOOKUP(D34,A6:B22,2,0)</f>
        <v>96</v>
      </c>
      <c r="L34" s="81"/>
      <c r="M34" s="81"/>
      <c r="N34" s="81"/>
      <c r="Q34" s="81"/>
      <c r="R34" s="81">
        <f>G4*Z37</f>
        <v>15.180999999999997</v>
      </c>
      <c r="X34" s="226"/>
      <c r="Y34" s="226"/>
      <c r="Z34" s="227" t="s">
        <v>437</v>
      </c>
      <c r="AA34" s="227">
        <v>2.8</v>
      </c>
      <c r="AB34" s="227" t="s">
        <v>5</v>
      </c>
      <c r="AC34" s="226"/>
      <c r="AD34" s="226"/>
      <c r="AE34" s="226"/>
      <c r="AF34" s="14"/>
      <c r="AG34" s="14"/>
      <c r="AH34" s="14"/>
      <c r="AM34" s="159" t="s">
        <v>319</v>
      </c>
      <c r="AN34" s="81" t="s">
        <v>320</v>
      </c>
      <c r="AO34" s="81" t="s">
        <v>348</v>
      </c>
      <c r="AP34" s="81">
        <f>AP27*0.3</f>
        <v>0.11271822911362221</v>
      </c>
      <c r="AQ34" s="81" t="s">
        <v>322</v>
      </c>
      <c r="AR34" s="81" t="s">
        <v>349</v>
      </c>
      <c r="AV34" s="168" t="s">
        <v>319</v>
      </c>
      <c r="AW34" s="168" t="s">
        <v>320</v>
      </c>
      <c r="AX34" s="168" t="s">
        <v>348</v>
      </c>
      <c r="AY34" s="169" t="s">
        <v>323</v>
      </c>
      <c r="AZ34" s="162">
        <f t="shared" si="14"/>
        <v>0.11271822911362221</v>
      </c>
      <c r="BA34" s="168" t="s">
        <v>322</v>
      </c>
      <c r="BC34" s="81" t="s">
        <v>295</v>
      </c>
      <c r="BD34" s="167">
        <v>1310</v>
      </c>
      <c r="BE34" s="167">
        <v>8.17</v>
      </c>
      <c r="BF34" s="81">
        <v>160.79</v>
      </c>
      <c r="BG34" s="81" t="s">
        <v>388</v>
      </c>
      <c r="BJ34" s="175" t="s">
        <v>319</v>
      </c>
      <c r="BK34" s="175" t="s">
        <v>320</v>
      </c>
      <c r="BL34" s="175" t="s">
        <v>348</v>
      </c>
      <c r="BM34" s="175" t="s">
        <v>323</v>
      </c>
      <c r="BN34" s="174">
        <f>BD67</f>
        <v>7.2800000000000004E-2</v>
      </c>
      <c r="BO34" s="175" t="s">
        <v>322</v>
      </c>
      <c r="BQ34" s="81" t="s">
        <v>295</v>
      </c>
      <c r="BR34" s="167">
        <v>457</v>
      </c>
      <c r="BS34" s="167">
        <v>3.7</v>
      </c>
      <c r="BT34" s="81">
        <v>123.52</v>
      </c>
      <c r="BU34" s="81" t="s">
        <v>422</v>
      </c>
      <c r="BV34" s="167">
        <v>2E-16</v>
      </c>
      <c r="BW34" s="81" t="s">
        <v>389</v>
      </c>
      <c r="BY34" s="178" t="s">
        <v>319</v>
      </c>
      <c r="BZ34" s="178" t="s">
        <v>320</v>
      </c>
      <c r="CA34" s="178" t="s">
        <v>346</v>
      </c>
      <c r="CB34" s="178" t="s">
        <v>323</v>
      </c>
      <c r="CC34" s="177">
        <f>BR60</f>
        <v>17100000</v>
      </c>
      <c r="CD34" s="178" t="s">
        <v>322</v>
      </c>
      <c r="CO34" s="81" t="s">
        <v>350</v>
      </c>
      <c r="CP34" s="254">
        <f t="shared" si="0"/>
        <v>0.71068910326172852</v>
      </c>
      <c r="CQ34" s="254">
        <f t="shared" si="1"/>
        <v>0.41799999999999998</v>
      </c>
      <c r="CR34" s="254">
        <f t="shared" si="2"/>
        <v>0.63200000000000001</v>
      </c>
      <c r="CU34" s="258" t="s">
        <v>442</v>
      </c>
      <c r="CV34" s="258" t="s">
        <v>399</v>
      </c>
      <c r="CW34" s="259">
        <v>1600000</v>
      </c>
      <c r="CX34" s="259">
        <v>7910</v>
      </c>
      <c r="CY34" s="258">
        <v>202.1</v>
      </c>
      <c r="CZ34" s="258" t="s">
        <v>422</v>
      </c>
      <c r="DA34" s="167">
        <v>2E-16</v>
      </c>
      <c r="DB34" s="81" t="s">
        <v>389</v>
      </c>
      <c r="DC34" s="260" t="s">
        <v>467</v>
      </c>
      <c r="DD34" s="265" t="s">
        <v>337</v>
      </c>
      <c r="DE34" s="261" t="s">
        <v>323</v>
      </c>
      <c r="DF34" s="262">
        <f>CW49</f>
        <v>253</v>
      </c>
      <c r="DG34" s="260" t="s">
        <v>322</v>
      </c>
      <c r="DI34" s="170" t="s">
        <v>467</v>
      </c>
      <c r="DJ34" s="294" t="s">
        <v>337</v>
      </c>
      <c r="DK34" s="291" t="s">
        <v>323</v>
      </c>
      <c r="DL34" s="170">
        <f>$AP21</f>
        <v>179.65020969510115</v>
      </c>
      <c r="DM34" s="170" t="s">
        <v>322</v>
      </c>
    </row>
    <row r="35" spans="1:117" ht="15" customHeight="1" thickTop="1" thickBot="1" x14ac:dyDescent="0.3">
      <c r="A35" s="73">
        <v>2</v>
      </c>
      <c r="B35" s="74">
        <f>B4-B34</f>
        <v>173.60000000000002</v>
      </c>
      <c r="C35" s="73"/>
      <c r="D35" s="73" t="s">
        <v>116</v>
      </c>
      <c r="E35" s="77">
        <v>16</v>
      </c>
      <c r="F35" s="77"/>
      <c r="G35" s="76">
        <f>VLOOKUP(D35,A7:B23,2,0)</f>
        <v>89.300000000000011</v>
      </c>
      <c r="L35" s="81"/>
      <c r="M35" s="81"/>
      <c r="N35" s="81" t="s">
        <v>114</v>
      </c>
      <c r="O35" s="153">
        <f>SUM(R6:R9,R15,R17:R20,R25)</f>
        <v>175.74741898097292</v>
      </c>
      <c r="P35" s="153"/>
      <c r="Q35" s="81"/>
      <c r="R35" s="81"/>
      <c r="X35" s="228" t="s">
        <v>115</v>
      </c>
      <c r="Y35" s="229"/>
      <c r="Z35" s="230" t="s">
        <v>21</v>
      </c>
      <c r="AA35" s="243">
        <v>2</v>
      </c>
      <c r="AB35" s="229" t="s">
        <v>5</v>
      </c>
      <c r="AC35" s="229"/>
      <c r="AD35" s="229" t="s">
        <v>22</v>
      </c>
      <c r="AE35" s="232">
        <f>SUM(AE36:AE37)</f>
        <v>0</v>
      </c>
      <c r="AF35" s="14" t="s">
        <v>23</v>
      </c>
      <c r="AG35" s="14">
        <f>SUM(AE37:AE38)</f>
        <v>0</v>
      </c>
      <c r="AH35" s="14"/>
      <c r="AM35" s="159" t="s">
        <v>319</v>
      </c>
      <c r="AN35" s="81" t="s">
        <v>320</v>
      </c>
      <c r="AO35" s="81" t="s">
        <v>350</v>
      </c>
      <c r="AP35" s="81">
        <f>AP28*0.3+0.7</f>
        <v>0.71068910326172852</v>
      </c>
      <c r="AQ35" s="81" t="s">
        <v>322</v>
      </c>
      <c r="AR35" s="81" t="s">
        <v>351</v>
      </c>
      <c r="AV35" s="168" t="s">
        <v>319</v>
      </c>
      <c r="AW35" s="168" t="s">
        <v>320</v>
      </c>
      <c r="AX35" s="168" t="s">
        <v>350</v>
      </c>
      <c r="AY35" s="169" t="s">
        <v>323</v>
      </c>
      <c r="AZ35" s="162">
        <f t="shared" si="14"/>
        <v>0.71068910326172852</v>
      </c>
      <c r="BA35" s="168" t="s">
        <v>322</v>
      </c>
      <c r="BC35" s="81" t="s">
        <v>120</v>
      </c>
      <c r="BD35" s="167">
        <v>253</v>
      </c>
      <c r="BE35" s="167">
        <v>0.97099999999999997</v>
      </c>
      <c r="BF35" s="81">
        <v>260.89</v>
      </c>
      <c r="BG35" s="81" t="s">
        <v>388</v>
      </c>
      <c r="BJ35" s="175" t="s">
        <v>319</v>
      </c>
      <c r="BK35" s="175" t="s">
        <v>320</v>
      </c>
      <c r="BL35" s="175" t="s">
        <v>350</v>
      </c>
      <c r="BM35" s="175" t="s">
        <v>323</v>
      </c>
      <c r="BN35" s="174">
        <f>BD68</f>
        <v>0.41799999999999998</v>
      </c>
      <c r="BO35" s="175" t="s">
        <v>322</v>
      </c>
      <c r="BQ35" s="81" t="s">
        <v>120</v>
      </c>
      <c r="BR35" s="167">
        <v>272</v>
      </c>
      <c r="BS35" s="167">
        <v>18.2</v>
      </c>
      <c r="BT35" s="81">
        <v>14.96</v>
      </c>
      <c r="BU35" s="81" t="s">
        <v>422</v>
      </c>
      <c r="BV35" s="167">
        <v>2E-16</v>
      </c>
      <c r="BW35" s="81" t="s">
        <v>389</v>
      </c>
      <c r="BY35" s="178" t="s">
        <v>319</v>
      </c>
      <c r="BZ35" s="178" t="s">
        <v>320</v>
      </c>
      <c r="CA35" s="178" t="s">
        <v>347</v>
      </c>
      <c r="CB35" s="178" t="s">
        <v>323</v>
      </c>
      <c r="CC35" s="177">
        <f>BR65</f>
        <v>0.23</v>
      </c>
      <c r="CD35" s="178" t="s">
        <v>322</v>
      </c>
      <c r="CP35" s="255"/>
      <c r="CQ35" s="255"/>
      <c r="CR35" s="255"/>
      <c r="CU35" s="258" t="s">
        <v>442</v>
      </c>
      <c r="CV35" s="258" t="s">
        <v>301</v>
      </c>
      <c r="CW35" s="259">
        <v>10400000</v>
      </c>
      <c r="CX35" s="259">
        <v>135000</v>
      </c>
      <c r="CY35" s="258">
        <v>76.930000000000007</v>
      </c>
      <c r="CZ35" s="258" t="s">
        <v>422</v>
      </c>
      <c r="DA35" s="167">
        <v>2E-16</v>
      </c>
      <c r="DB35" s="81" t="s">
        <v>389</v>
      </c>
      <c r="DC35" s="260" t="s">
        <v>467</v>
      </c>
      <c r="DD35" s="265" t="s">
        <v>338</v>
      </c>
      <c r="DE35" s="261" t="s">
        <v>323</v>
      </c>
      <c r="DF35" s="262">
        <f>CW50</f>
        <v>79.400000000000006</v>
      </c>
      <c r="DG35" s="260" t="s">
        <v>322</v>
      </c>
      <c r="DI35" s="170" t="s">
        <v>467</v>
      </c>
      <c r="DJ35" s="294" t="s">
        <v>338</v>
      </c>
      <c r="DK35" s="291" t="s">
        <v>323</v>
      </c>
      <c r="DL35" s="296">
        <f>$AP22</f>
        <v>96.501670329670333</v>
      </c>
      <c r="DM35" s="170" t="s">
        <v>322</v>
      </c>
    </row>
    <row r="36" spans="1:117" ht="15" customHeight="1" thickTop="1" thickBot="1" x14ac:dyDescent="0.3">
      <c r="A36" s="73">
        <v>3</v>
      </c>
      <c r="B36" s="74">
        <f>G36*2</f>
        <v>0</v>
      </c>
      <c r="C36" s="73"/>
      <c r="D36" s="73" t="s">
        <v>118</v>
      </c>
      <c r="E36" s="309" t="s">
        <v>119</v>
      </c>
      <c r="F36" s="309"/>
      <c r="G36" s="76">
        <f>B17</f>
        <v>0</v>
      </c>
      <c r="L36" s="81"/>
      <c r="M36" s="81"/>
      <c r="N36" s="81" t="s">
        <v>117</v>
      </c>
      <c r="O36" s="153">
        <f>SUM(R10:R13,R21:R24)</f>
        <v>64.599999999999994</v>
      </c>
      <c r="Q36" s="81"/>
      <c r="R36" s="81"/>
      <c r="X36" s="239"/>
      <c r="Y36" s="240" t="s">
        <v>16</v>
      </c>
      <c r="Z36" s="240">
        <v>1.361</v>
      </c>
      <c r="AA36" s="240" t="s">
        <v>5</v>
      </c>
      <c r="AB36" s="240"/>
      <c r="AC36" s="240" t="s">
        <v>506</v>
      </c>
      <c r="AD36" s="240">
        <f>(AA35-(1-AD37)*Z36)/AD37</f>
        <v>3.9169999999999998</v>
      </c>
      <c r="AE36" s="244"/>
      <c r="AF36" s="14"/>
      <c r="AG36" s="14"/>
      <c r="AH36" s="14"/>
      <c r="AQ36" s="81" t="s">
        <v>322</v>
      </c>
      <c r="AV36" s="168"/>
      <c r="AW36" s="168"/>
      <c r="AX36" s="168"/>
      <c r="AY36" s="169"/>
      <c r="BA36" s="168"/>
      <c r="BC36" s="81" t="s">
        <v>412</v>
      </c>
      <c r="BD36" s="167">
        <v>-5.43</v>
      </c>
      <c r="BE36" s="167">
        <v>2.2100000000000002E-2</v>
      </c>
      <c r="BF36" s="81">
        <v>-245.28</v>
      </c>
      <c r="BG36" s="81" t="s">
        <v>388</v>
      </c>
      <c r="BJ36" s="175"/>
      <c r="BK36" s="175"/>
      <c r="BL36" s="175"/>
      <c r="BM36" s="175"/>
      <c r="BN36" s="174"/>
      <c r="BO36" s="175"/>
      <c r="BQ36" s="81" t="s">
        <v>412</v>
      </c>
      <c r="BR36" s="167">
        <v>-5.48</v>
      </c>
      <c r="BS36" s="167">
        <v>7.46E-2</v>
      </c>
      <c r="BT36" s="81">
        <v>-73.489999999999995</v>
      </c>
      <c r="BU36" s="81" t="s">
        <v>422</v>
      </c>
      <c r="BV36" s="167">
        <v>2E-16</v>
      </c>
      <c r="BW36" s="81" t="s">
        <v>389</v>
      </c>
      <c r="BY36" s="178" t="s">
        <v>319</v>
      </c>
      <c r="BZ36" s="178" t="s">
        <v>320</v>
      </c>
      <c r="CA36" s="178" t="s">
        <v>348</v>
      </c>
      <c r="CB36" s="178" t="s">
        <v>323</v>
      </c>
      <c r="CC36" s="177">
        <f>BR66</f>
        <v>4.8599999999999997E-2</v>
      </c>
      <c r="CD36" s="178" t="s">
        <v>322</v>
      </c>
      <c r="CO36" s="81" t="s">
        <v>352</v>
      </c>
      <c r="CP36" s="257">
        <f t="shared" si="0"/>
        <v>235.19530169499382</v>
      </c>
      <c r="CQ36" s="257">
        <f t="shared" si="1"/>
        <v>568</v>
      </c>
      <c r="CR36" s="257">
        <f t="shared" si="2"/>
        <v>219</v>
      </c>
      <c r="CU36" s="258" t="s">
        <v>442</v>
      </c>
      <c r="CV36" s="258" t="s">
        <v>303</v>
      </c>
      <c r="CW36" s="259">
        <v>9930000</v>
      </c>
      <c r="CX36" s="259">
        <v>88400</v>
      </c>
      <c r="CY36" s="258">
        <v>112.39</v>
      </c>
      <c r="CZ36" s="258" t="s">
        <v>422</v>
      </c>
      <c r="DA36" s="167">
        <v>2E-16</v>
      </c>
      <c r="DB36" s="81" t="s">
        <v>389</v>
      </c>
      <c r="DC36" s="260" t="s">
        <v>467</v>
      </c>
      <c r="DD36" s="266" t="s">
        <v>340</v>
      </c>
      <c r="DE36" s="261" t="s">
        <v>323</v>
      </c>
      <c r="DF36" s="262">
        <f>CW59</f>
        <v>74.3</v>
      </c>
      <c r="DG36" s="260" t="s">
        <v>322</v>
      </c>
      <c r="DI36" s="170" t="s">
        <v>467</v>
      </c>
      <c r="DJ36" s="297" t="s">
        <v>340</v>
      </c>
      <c r="DK36" s="291" t="s">
        <v>323</v>
      </c>
      <c r="DL36" s="170">
        <f>$AP24</f>
        <v>25.518987341772153</v>
      </c>
      <c r="DM36" s="170" t="s">
        <v>322</v>
      </c>
    </row>
    <row r="37" spans="1:117" ht="15" customHeight="1" thickTop="1" thickBot="1" x14ac:dyDescent="0.3">
      <c r="L37" s="81"/>
      <c r="M37" s="81"/>
      <c r="N37" s="81" t="s">
        <v>120</v>
      </c>
      <c r="O37" s="153">
        <f>'Verwarming Tabula'!B60</f>
        <v>138.03320000000002</v>
      </c>
      <c r="Q37" s="81"/>
      <c r="R37" s="81"/>
      <c r="X37" s="205"/>
      <c r="Y37" s="187" t="s">
        <v>121</v>
      </c>
      <c r="Z37" s="187">
        <v>0.47</v>
      </c>
      <c r="AA37" s="187"/>
      <c r="AB37" s="187"/>
      <c r="AC37" s="187" t="s">
        <v>507</v>
      </c>
      <c r="AD37" s="187">
        <v>0.25</v>
      </c>
      <c r="AE37" s="210"/>
      <c r="AF37" s="149" t="s">
        <v>279</v>
      </c>
      <c r="AG37" s="14"/>
      <c r="AH37" s="14"/>
      <c r="AM37" s="159" t="s">
        <v>319</v>
      </c>
      <c r="AN37" s="81" t="s">
        <v>320</v>
      </c>
      <c r="AO37" s="81" t="s">
        <v>352</v>
      </c>
      <c r="AP37" s="81">
        <f>SUM(O17:O20)*(1/(SUM(AD18:AD19)/2+1/4))+O25*(1/(SUM(AD9:AD10)/2+1/4))</f>
        <v>235.19530169499382</v>
      </c>
      <c r="AQ37" s="81" t="s">
        <v>322</v>
      </c>
      <c r="AR37" s="81" t="s">
        <v>353</v>
      </c>
      <c r="AV37" s="168" t="s">
        <v>319</v>
      </c>
      <c r="AW37" s="168" t="s">
        <v>320</v>
      </c>
      <c r="AX37" s="168" t="s">
        <v>352</v>
      </c>
      <c r="AY37" s="169" t="s">
        <v>323</v>
      </c>
      <c r="AZ37" s="162">
        <f>AP37</f>
        <v>235.19530169499382</v>
      </c>
      <c r="BA37" s="168" t="s">
        <v>322</v>
      </c>
      <c r="BC37" s="81" t="s">
        <v>413</v>
      </c>
      <c r="BD37" s="167">
        <v>-6.85</v>
      </c>
      <c r="BE37" s="167">
        <v>1.8800000000000001E-2</v>
      </c>
      <c r="BF37" s="81">
        <v>-364.7</v>
      </c>
      <c r="BG37" s="81" t="s">
        <v>388</v>
      </c>
      <c r="BJ37" s="175" t="s">
        <v>319</v>
      </c>
      <c r="BK37" s="175" t="s">
        <v>320</v>
      </c>
      <c r="BL37" s="175" t="s">
        <v>352</v>
      </c>
      <c r="BM37" s="175" t="s">
        <v>323</v>
      </c>
      <c r="BN37" s="174">
        <f>BD70</f>
        <v>568</v>
      </c>
      <c r="BO37" s="175" t="s">
        <v>322</v>
      </c>
      <c r="BQ37" s="81" t="s">
        <v>413</v>
      </c>
      <c r="BR37" s="167">
        <v>-6.06</v>
      </c>
      <c r="BS37" s="167">
        <v>4.41E-2</v>
      </c>
      <c r="BT37" s="81">
        <v>-137.35</v>
      </c>
      <c r="BU37" s="81" t="s">
        <v>422</v>
      </c>
      <c r="BV37" s="167">
        <v>2E-16</v>
      </c>
      <c r="BW37" s="81" t="s">
        <v>389</v>
      </c>
      <c r="BY37" s="178" t="s">
        <v>319</v>
      </c>
      <c r="BZ37" s="178" t="s">
        <v>320</v>
      </c>
      <c r="CA37" s="178" t="s">
        <v>350</v>
      </c>
      <c r="CB37" s="178" t="s">
        <v>323</v>
      </c>
      <c r="CC37" s="177">
        <f>BR67</f>
        <v>0.63200000000000001</v>
      </c>
      <c r="CD37" s="178" t="s">
        <v>322</v>
      </c>
      <c r="CO37" s="81" t="s">
        <v>354</v>
      </c>
      <c r="CP37" s="257">
        <f t="shared" si="0"/>
        <v>167.11212214346392</v>
      </c>
      <c r="CQ37" s="257">
        <f t="shared" si="1"/>
        <v>238</v>
      </c>
      <c r="CR37" s="257">
        <f t="shared" si="2"/>
        <v>85.9</v>
      </c>
      <c r="CU37" s="258" t="s">
        <v>442</v>
      </c>
      <c r="CV37" s="258" t="s">
        <v>400</v>
      </c>
      <c r="CW37" s="259">
        <v>-7.34</v>
      </c>
      <c r="CX37" s="259">
        <v>0.13400000000000001</v>
      </c>
      <c r="CY37" s="258">
        <v>-54.82</v>
      </c>
      <c r="CZ37" s="258" t="s">
        <v>422</v>
      </c>
      <c r="DA37" s="167">
        <v>2E-16</v>
      </c>
      <c r="DB37" s="81" t="s">
        <v>389</v>
      </c>
      <c r="DC37" s="260" t="s">
        <v>467</v>
      </c>
      <c r="DD37" s="266" t="s">
        <v>339</v>
      </c>
      <c r="DE37" s="261" t="s">
        <v>323</v>
      </c>
      <c r="DF37" s="262">
        <f>1/CW56</f>
        <v>121.50668286755773</v>
      </c>
      <c r="DG37" s="260" t="s">
        <v>322</v>
      </c>
      <c r="DI37" s="170" t="s">
        <v>467</v>
      </c>
      <c r="DJ37" s="297" t="s">
        <v>339</v>
      </c>
      <c r="DK37" s="291" t="s">
        <v>323</v>
      </c>
      <c r="DL37" s="170">
        <f>$AP23</f>
        <v>125.28411280849714</v>
      </c>
      <c r="DM37" s="170" t="s">
        <v>322</v>
      </c>
    </row>
    <row r="38" spans="1:117" ht="15" customHeight="1" thickTop="1" thickBot="1" x14ac:dyDescent="0.3">
      <c r="B38" s="153"/>
      <c r="L38" s="81"/>
      <c r="M38" s="81"/>
      <c r="N38" s="81"/>
      <c r="O38" s="153"/>
      <c r="Q38" s="81"/>
      <c r="R38" s="81"/>
      <c r="X38" s="226"/>
      <c r="Y38" s="226"/>
      <c r="Z38" s="226"/>
      <c r="AA38" s="226"/>
      <c r="AB38" s="226"/>
      <c r="AC38" s="226"/>
      <c r="AD38" s="226"/>
      <c r="AE38" s="226"/>
      <c r="AF38" s="14"/>
      <c r="AG38" s="14"/>
      <c r="AH38" s="14"/>
      <c r="AM38" s="159" t="s">
        <v>319</v>
      </c>
      <c r="AN38" s="81" t="s">
        <v>320</v>
      </c>
      <c r="AO38" s="81" t="s">
        <v>354</v>
      </c>
      <c r="AP38" s="81">
        <f>2*AA21*O28+1*O31*AA52+2*O29*AA27</f>
        <v>167.11212214346392</v>
      </c>
      <c r="AQ38" s="81" t="s">
        <v>322</v>
      </c>
      <c r="AR38" s="167">
        <v>85.692350000000005</v>
      </c>
      <c r="AV38" s="168" t="s">
        <v>319</v>
      </c>
      <c r="AW38" s="168" t="s">
        <v>320</v>
      </c>
      <c r="AX38" s="168" t="s">
        <v>354</v>
      </c>
      <c r="AY38" s="169" t="s">
        <v>323</v>
      </c>
      <c r="AZ38" s="162">
        <f>AP38</f>
        <v>167.11212214346392</v>
      </c>
      <c r="BA38" s="168" t="s">
        <v>322</v>
      </c>
      <c r="BC38" s="81" t="s">
        <v>414</v>
      </c>
      <c r="BD38" s="167">
        <v>-8.6300000000000008</v>
      </c>
      <c r="BE38" s="167">
        <v>5.8999999999999997E-2</v>
      </c>
      <c r="BF38" s="81">
        <v>-146.31</v>
      </c>
      <c r="BG38" s="81" t="s">
        <v>388</v>
      </c>
      <c r="BJ38" s="175" t="s">
        <v>319</v>
      </c>
      <c r="BK38" s="175" t="s">
        <v>320</v>
      </c>
      <c r="BL38" s="175" t="s">
        <v>354</v>
      </c>
      <c r="BM38" s="175" t="s">
        <v>323</v>
      </c>
      <c r="BN38" s="174">
        <f>BD71</f>
        <v>238</v>
      </c>
      <c r="BO38" s="175" t="s">
        <v>322</v>
      </c>
      <c r="BQ38" s="81" t="s">
        <v>414</v>
      </c>
      <c r="BR38" s="167">
        <v>-6.9</v>
      </c>
      <c r="BS38" s="167">
        <v>0.127</v>
      </c>
      <c r="BT38" s="81">
        <v>-54.4</v>
      </c>
      <c r="BU38" s="81" t="s">
        <v>422</v>
      </c>
      <c r="BV38" s="167">
        <v>2E-16</v>
      </c>
      <c r="BW38" s="81" t="s">
        <v>389</v>
      </c>
      <c r="BY38" s="178"/>
      <c r="BZ38" s="178"/>
      <c r="CA38" s="178"/>
      <c r="CB38" s="178"/>
      <c r="CC38" s="177"/>
      <c r="CD38" s="178"/>
      <c r="CO38" s="81" t="s">
        <v>355</v>
      </c>
      <c r="CP38" s="257">
        <f t="shared" si="0"/>
        <v>48.545035604395608</v>
      </c>
      <c r="CQ38" s="257">
        <f t="shared" si="1"/>
        <v>58</v>
      </c>
      <c r="CR38" s="257">
        <f t="shared" si="2"/>
        <v>49.4</v>
      </c>
      <c r="CU38" s="258" t="s">
        <v>442</v>
      </c>
      <c r="CV38" s="258" t="s">
        <v>401</v>
      </c>
      <c r="CW38" s="259">
        <v>-18.100000000000001</v>
      </c>
      <c r="CX38" s="259">
        <v>126</v>
      </c>
      <c r="CY38" s="258">
        <v>-0.14000000000000001</v>
      </c>
      <c r="CZ38" s="258">
        <v>0.88631000000000004</v>
      </c>
      <c r="DC38" s="260" t="s">
        <v>467</v>
      </c>
      <c r="DD38" s="263" t="s">
        <v>331</v>
      </c>
      <c r="DE38" s="261" t="s">
        <v>323</v>
      </c>
      <c r="DF38" s="262">
        <f>CW42</f>
        <v>5.9400000000000001E-2</v>
      </c>
      <c r="DG38" s="260" t="s">
        <v>322</v>
      </c>
      <c r="DI38" s="170" t="s">
        <v>467</v>
      </c>
      <c r="DJ38" s="292" t="s">
        <v>331</v>
      </c>
      <c r="DK38" s="291" t="s">
        <v>323</v>
      </c>
      <c r="DL38" s="170">
        <f>$AP14</f>
        <v>4.851899087761509E-2</v>
      </c>
      <c r="DM38" s="170" t="s">
        <v>322</v>
      </c>
    </row>
    <row r="39" spans="1:117" ht="15" customHeight="1" thickTop="1" thickBot="1" x14ac:dyDescent="0.3">
      <c r="L39" s="81"/>
      <c r="M39" s="81"/>
      <c r="N39" s="81" t="s">
        <v>122</v>
      </c>
      <c r="O39" s="153">
        <f>B4*1.204*1012*5/1000000</f>
        <v>3.1046055040000002</v>
      </c>
      <c r="P39" s="81" t="s">
        <v>123</v>
      </c>
      <c r="R39" s="81"/>
      <c r="X39" s="226"/>
      <c r="Y39" s="226"/>
      <c r="Z39" s="227" t="s">
        <v>4</v>
      </c>
      <c r="AA39" s="227">
        <v>0.85</v>
      </c>
      <c r="AB39" s="227" t="s">
        <v>5</v>
      </c>
      <c r="AC39" s="226"/>
      <c r="AD39" s="226"/>
      <c r="AE39" s="226"/>
      <c r="AF39" s="14"/>
      <c r="AG39" s="14"/>
      <c r="AH39" s="14"/>
      <c r="AM39" s="159" t="s">
        <v>319</v>
      </c>
      <c r="AN39" s="81" t="s">
        <v>320</v>
      </c>
      <c r="AO39" s="81" t="s">
        <v>355</v>
      </c>
      <c r="AP39" s="153">
        <f>'Verwarming Tabula 2zone Ref 1'!B139+SUM(R21:R24)</f>
        <v>48.545035604395608</v>
      </c>
      <c r="AQ39" s="81" t="s">
        <v>322</v>
      </c>
      <c r="AR39" s="81" t="s">
        <v>356</v>
      </c>
      <c r="AV39" s="168" t="s">
        <v>319</v>
      </c>
      <c r="AW39" s="168" t="s">
        <v>320</v>
      </c>
      <c r="AX39" s="168" t="s">
        <v>355</v>
      </c>
      <c r="AY39" s="169" t="s">
        <v>323</v>
      </c>
      <c r="AZ39" s="162">
        <f>AP39</f>
        <v>48.545035604395608</v>
      </c>
      <c r="BA39" s="168" t="s">
        <v>322</v>
      </c>
      <c r="BC39" s="81" t="s">
        <v>415</v>
      </c>
      <c r="BD39" s="167">
        <v>-6.14</v>
      </c>
      <c r="BE39" s="167">
        <v>2.1399999999999999E-2</v>
      </c>
      <c r="BF39" s="81">
        <v>-287.01</v>
      </c>
      <c r="BG39" s="81" t="s">
        <v>388</v>
      </c>
      <c r="BJ39" s="175" t="s">
        <v>319</v>
      </c>
      <c r="BK39" s="175" t="s">
        <v>320</v>
      </c>
      <c r="BL39" s="175" t="s">
        <v>355</v>
      </c>
      <c r="BM39" s="175" t="s">
        <v>323</v>
      </c>
      <c r="BN39" s="174">
        <f>BD72</f>
        <v>58</v>
      </c>
      <c r="BO39" s="175" t="s">
        <v>322</v>
      </c>
      <c r="BQ39" s="81" t="s">
        <v>415</v>
      </c>
      <c r="BR39" s="167">
        <v>-6.05</v>
      </c>
      <c r="BS39" s="167">
        <v>2.2700000000000001E-2</v>
      </c>
      <c r="BT39" s="81">
        <v>-266.10000000000002</v>
      </c>
      <c r="BU39" s="81" t="s">
        <v>422</v>
      </c>
      <c r="BV39" s="167">
        <v>2E-16</v>
      </c>
      <c r="BW39" s="81" t="s">
        <v>389</v>
      </c>
      <c r="BY39" s="178" t="s">
        <v>319</v>
      </c>
      <c r="BZ39" s="178" t="s">
        <v>320</v>
      </c>
      <c r="CA39" s="178" t="s">
        <v>352</v>
      </c>
      <c r="CB39" s="178" t="s">
        <v>323</v>
      </c>
      <c r="CC39" s="177">
        <f>BR69</f>
        <v>219</v>
      </c>
      <c r="CD39" s="178" t="s">
        <v>322</v>
      </c>
      <c r="CO39" s="81" t="s">
        <v>357</v>
      </c>
      <c r="CP39" s="257">
        <f t="shared" si="0"/>
        <v>154.75919550168621</v>
      </c>
      <c r="CQ39" s="257">
        <f t="shared" si="1"/>
        <v>215.51724137931035</v>
      </c>
      <c r="CR39" s="257">
        <f t="shared" si="2"/>
        <v>350.87719298245611</v>
      </c>
      <c r="CU39" s="258" t="s">
        <v>442</v>
      </c>
      <c r="CV39" s="258" t="s">
        <v>402</v>
      </c>
      <c r="CW39" s="259">
        <v>-25.9</v>
      </c>
      <c r="CX39" s="259">
        <v>37.4</v>
      </c>
      <c r="CY39" s="258">
        <v>-0.69</v>
      </c>
      <c r="CZ39" s="258">
        <v>0.48851</v>
      </c>
      <c r="DC39" s="260" t="s">
        <v>467</v>
      </c>
      <c r="DD39" s="264" t="s">
        <v>332</v>
      </c>
      <c r="DE39" s="261" t="s">
        <v>323</v>
      </c>
      <c r="DF39" s="262">
        <f>CW43</f>
        <v>0.12</v>
      </c>
      <c r="DG39" s="260" t="s">
        <v>322</v>
      </c>
      <c r="DI39" s="170" t="s">
        <v>467</v>
      </c>
      <c r="DJ39" s="293" t="s">
        <v>332</v>
      </c>
      <c r="DK39" s="291" t="s">
        <v>323</v>
      </c>
      <c r="DL39" s="170">
        <f>$AP15</f>
        <v>0.11973417143992103</v>
      </c>
      <c r="DM39" s="170" t="s">
        <v>322</v>
      </c>
    </row>
    <row r="40" spans="1:117" ht="15" customHeight="1" thickTop="1" thickBot="1" x14ac:dyDescent="0.3">
      <c r="A40" s="81" t="s">
        <v>280</v>
      </c>
      <c r="L40" s="81"/>
      <c r="M40" s="81"/>
      <c r="N40" s="81" t="s">
        <v>124</v>
      </c>
      <c r="O40" s="153">
        <f>SUM(S6:S9,S15)/1000000</f>
        <v>39.17867032617378</v>
      </c>
      <c r="P40" s="81" t="s">
        <v>125</v>
      </c>
      <c r="Q40" s="153">
        <f>SUM(U6:U9,U15)/1000000</f>
        <v>15.206901581219645</v>
      </c>
      <c r="R40" s="81"/>
      <c r="X40" s="228" t="s">
        <v>63</v>
      </c>
      <c r="Y40" s="229"/>
      <c r="Z40" s="230" t="s">
        <v>21</v>
      </c>
      <c r="AA40" s="231">
        <f>1/(1/10+SUM(AD42:AD46))</f>
        <v>0.84168336673346678</v>
      </c>
      <c r="AB40" s="229" t="s">
        <v>5</v>
      </c>
      <c r="AC40" s="229"/>
      <c r="AD40" s="229" t="s">
        <v>22</v>
      </c>
      <c r="AE40" s="232">
        <f>SUM(AE42:AE46)</f>
        <v>376883</v>
      </c>
      <c r="AF40" s="14" t="s">
        <v>23</v>
      </c>
      <c r="AG40" s="14">
        <f>SUM(AE42:AE43)</f>
        <v>110960</v>
      </c>
      <c r="AH40" s="14"/>
      <c r="AM40" s="159" t="s">
        <v>319</v>
      </c>
      <c r="AN40" s="81" t="s">
        <v>320</v>
      </c>
      <c r="AO40" s="81" t="s">
        <v>357</v>
      </c>
      <c r="AP40" s="81">
        <f>SUM(O17:O20)*1/(SUM(AD15:AD17)+SUM(AD18:AD19)/2+1/23)+O25*1/(SUM(AD7:AD8)+SUM(AD9:AD10)/2+1/23)</f>
        <v>154.75919550168621</v>
      </c>
      <c r="AQ40" s="81" t="s">
        <v>322</v>
      </c>
      <c r="AR40" s="81">
        <f>1/0.01634389</f>
        <v>61.184944343115376</v>
      </c>
      <c r="AV40" s="168" t="s">
        <v>319</v>
      </c>
      <c r="AW40" s="168" t="s">
        <v>320</v>
      </c>
      <c r="AX40" s="168" t="s">
        <v>357</v>
      </c>
      <c r="AY40" s="169" t="s">
        <v>323</v>
      </c>
      <c r="AZ40" s="162">
        <f>AP40</f>
        <v>154.75919550168621</v>
      </c>
      <c r="BA40" s="168" t="s">
        <v>322</v>
      </c>
      <c r="BC40" s="81" t="s">
        <v>416</v>
      </c>
      <c r="BD40" s="167">
        <v>-7.59</v>
      </c>
      <c r="BE40" s="167">
        <v>2.3199999999999998E-2</v>
      </c>
      <c r="BF40" s="81">
        <v>-327.07</v>
      </c>
      <c r="BG40" s="81" t="s">
        <v>388</v>
      </c>
      <c r="BJ40" s="175" t="s">
        <v>319</v>
      </c>
      <c r="BK40" s="175" t="s">
        <v>320</v>
      </c>
      <c r="BL40" s="175" t="s">
        <v>357</v>
      </c>
      <c r="BM40" s="175" t="s">
        <v>323</v>
      </c>
      <c r="BN40" s="174">
        <f>1/BD77</f>
        <v>215.51724137931035</v>
      </c>
      <c r="BO40" s="175" t="s">
        <v>322</v>
      </c>
      <c r="BQ40" s="81" t="s">
        <v>416</v>
      </c>
      <c r="BR40" s="167">
        <v>-6.56</v>
      </c>
      <c r="BS40" s="167">
        <v>3.3300000000000003E-2</v>
      </c>
      <c r="BT40" s="81">
        <v>-196.87</v>
      </c>
      <c r="BU40" s="81" t="s">
        <v>422</v>
      </c>
      <c r="BV40" s="167">
        <v>2E-16</v>
      </c>
      <c r="BW40" s="81" t="s">
        <v>389</v>
      </c>
      <c r="BY40" s="178" t="s">
        <v>319</v>
      </c>
      <c r="BZ40" s="178" t="s">
        <v>320</v>
      </c>
      <c r="CA40" s="178" t="s">
        <v>354</v>
      </c>
      <c r="CB40" s="178" t="s">
        <v>323</v>
      </c>
      <c r="CC40" s="177">
        <f>BR70</f>
        <v>85.9</v>
      </c>
      <c r="CD40" s="178" t="s">
        <v>322</v>
      </c>
      <c r="CP40" s="255"/>
      <c r="CQ40" s="255"/>
      <c r="CR40" s="255"/>
      <c r="CU40" s="258" t="s">
        <v>442</v>
      </c>
      <c r="CV40" s="258" t="s">
        <v>403</v>
      </c>
      <c r="CW40" s="259">
        <v>-20.9</v>
      </c>
      <c r="CX40" s="259">
        <v>24.4</v>
      </c>
      <c r="CY40" s="258">
        <v>-0.86</v>
      </c>
      <c r="CZ40" s="258">
        <v>0.39195000000000002</v>
      </c>
      <c r="DC40" s="260" t="s">
        <v>467</v>
      </c>
      <c r="DD40" s="264" t="s">
        <v>333</v>
      </c>
      <c r="DE40" s="261" t="s">
        <v>323</v>
      </c>
      <c r="DF40" s="262">
        <f>CW44</f>
        <v>0.70699999999999996</v>
      </c>
      <c r="DG40" s="260" t="s">
        <v>322</v>
      </c>
      <c r="DI40" s="170" t="s">
        <v>467</v>
      </c>
      <c r="DJ40" s="293" t="s">
        <v>333</v>
      </c>
      <c r="DK40" s="291" t="s">
        <v>323</v>
      </c>
      <c r="DL40" s="170">
        <f>$AP16</f>
        <v>0.71056198276779237</v>
      </c>
      <c r="DM40" s="170" t="s">
        <v>322</v>
      </c>
    </row>
    <row r="41" spans="1:117" ht="15" customHeight="1" thickTop="1" thickBot="1" x14ac:dyDescent="0.3">
      <c r="A41" s="150" t="s">
        <v>281</v>
      </c>
      <c r="L41" s="81"/>
      <c r="M41" s="81"/>
      <c r="N41" s="81" t="s">
        <v>126</v>
      </c>
      <c r="O41" s="153">
        <f>SUM(S26:S27)/1000000</f>
        <v>55.48624048300055</v>
      </c>
      <c r="P41" s="81" t="s">
        <v>125</v>
      </c>
      <c r="Q41" s="153">
        <f>SUM(U26:U27)/1000000</f>
        <v>55.48624048300055</v>
      </c>
      <c r="R41" s="81"/>
      <c r="X41" s="233"/>
      <c r="Y41" s="234" t="s">
        <v>27</v>
      </c>
      <c r="Z41" s="234" t="s">
        <v>28</v>
      </c>
      <c r="AA41" s="234" t="s">
        <v>29</v>
      </c>
      <c r="AB41" s="234" t="s">
        <v>30</v>
      </c>
      <c r="AC41" s="234" t="s">
        <v>31</v>
      </c>
      <c r="AD41" s="234" t="s">
        <v>32</v>
      </c>
      <c r="AE41" s="235" t="s">
        <v>33</v>
      </c>
      <c r="AF41" s="14"/>
      <c r="AG41" s="14"/>
      <c r="AH41" s="14"/>
      <c r="AQ41" s="81" t="s">
        <v>322</v>
      </c>
      <c r="AV41" s="168"/>
      <c r="AW41" s="168"/>
      <c r="AX41" s="168"/>
      <c r="AY41" s="169"/>
      <c r="BA41" s="168"/>
      <c r="BC41" s="81" t="s">
        <v>417</v>
      </c>
      <c r="BD41" s="167">
        <v>4.5999999999999999E-3</v>
      </c>
      <c r="BE41" s="167">
        <v>2.5000000000000001E-5</v>
      </c>
      <c r="BF41" s="81">
        <v>184.29</v>
      </c>
      <c r="BG41" s="81" t="s">
        <v>388</v>
      </c>
      <c r="BJ41" s="175"/>
      <c r="BK41" s="175"/>
      <c r="BL41" s="175"/>
      <c r="BM41" s="175"/>
      <c r="BN41" s="174"/>
      <c r="BO41" s="175"/>
      <c r="BQ41" s="81" t="s">
        <v>417</v>
      </c>
      <c r="BR41" s="167">
        <v>3.0599999999999998E-3</v>
      </c>
      <c r="BS41" s="167">
        <v>6.4700000000000001E-5</v>
      </c>
      <c r="BT41" s="81">
        <v>47.35</v>
      </c>
      <c r="BU41" s="81" t="s">
        <v>422</v>
      </c>
      <c r="BV41" s="167">
        <v>2E-16</v>
      </c>
      <c r="BW41" s="81" t="s">
        <v>389</v>
      </c>
      <c r="BY41" s="178" t="s">
        <v>319</v>
      </c>
      <c r="BZ41" s="178" t="s">
        <v>320</v>
      </c>
      <c r="CA41" s="178" t="s">
        <v>355</v>
      </c>
      <c r="CB41" s="178" t="s">
        <v>323</v>
      </c>
      <c r="CC41" s="177">
        <f>BR71</f>
        <v>49.4</v>
      </c>
      <c r="CD41" s="178" t="s">
        <v>322</v>
      </c>
      <c r="CO41" s="81" t="s">
        <v>358</v>
      </c>
      <c r="CP41" s="254">
        <f t="shared" si="0"/>
        <v>0.19467183924950815</v>
      </c>
      <c r="CQ41" s="254">
        <f t="shared" si="1"/>
        <v>9.35E-2</v>
      </c>
      <c r="CR41" s="254">
        <f t="shared" si="2"/>
        <v>0.11799999999999999</v>
      </c>
      <c r="CU41" s="258" t="s">
        <v>442</v>
      </c>
      <c r="CV41" s="258" t="s">
        <v>404</v>
      </c>
      <c r="CW41" s="259">
        <v>-24.2</v>
      </c>
      <c r="CX41" s="259">
        <v>30.4</v>
      </c>
      <c r="CY41" s="258">
        <v>-0.8</v>
      </c>
      <c r="CZ41" s="258">
        <v>0.42480000000000001</v>
      </c>
      <c r="DC41" s="260" t="s">
        <v>467</v>
      </c>
      <c r="DD41" s="261" t="s">
        <v>334</v>
      </c>
      <c r="DE41" s="261" t="s">
        <v>323</v>
      </c>
      <c r="DF41" s="262">
        <f>CW45</f>
        <v>8.5999999999999993E-2</v>
      </c>
      <c r="DG41" s="260" t="s">
        <v>322</v>
      </c>
      <c r="DI41" s="170" t="s">
        <v>467</v>
      </c>
      <c r="DJ41" s="291" t="s">
        <v>334</v>
      </c>
      <c r="DK41" s="291" t="s">
        <v>323</v>
      </c>
      <c r="DL41" s="170">
        <f>$AP17</f>
        <v>6.2783303139818961E-2</v>
      </c>
      <c r="DM41" s="170" t="s">
        <v>322</v>
      </c>
    </row>
    <row r="42" spans="1:117" ht="15" customHeight="1" thickTop="1" thickBot="1" x14ac:dyDescent="0.3">
      <c r="A42" s="81" t="s">
        <v>282</v>
      </c>
      <c r="C42" s="81">
        <f>0.55</f>
        <v>0.55000000000000004</v>
      </c>
      <c r="L42" s="81"/>
      <c r="M42" s="81"/>
      <c r="N42" s="81" t="s">
        <v>127</v>
      </c>
      <c r="O42" s="153">
        <f>S14/1000000</f>
        <v>36.180768</v>
      </c>
      <c r="Q42" s="153">
        <f>U14/1000000</f>
        <v>10.65216</v>
      </c>
      <c r="R42" s="81"/>
      <c r="X42" s="239"/>
      <c r="Y42" s="240" t="s">
        <v>128</v>
      </c>
      <c r="Z42" s="240">
        <v>0.02</v>
      </c>
      <c r="AA42" s="240">
        <v>1.4</v>
      </c>
      <c r="AB42" s="240">
        <v>2100</v>
      </c>
      <c r="AC42" s="240">
        <v>840</v>
      </c>
      <c r="AD42" s="241">
        <f>Z42/AA42</f>
        <v>1.4285714285714287E-2</v>
      </c>
      <c r="AE42" s="242">
        <f>Z42*AB42*AC42</f>
        <v>35280</v>
      </c>
      <c r="AF42" s="14" t="s">
        <v>104</v>
      </c>
      <c r="AG42" s="14"/>
      <c r="AH42" s="14"/>
      <c r="AM42" s="159" t="s">
        <v>319</v>
      </c>
      <c r="AN42" s="81" t="s">
        <v>320</v>
      </c>
      <c r="AO42" s="81" t="s">
        <v>358</v>
      </c>
      <c r="AP42" s="81">
        <f>SUM(O26)/(SUM($O$6:$O$14,$O$26,O30)+2*SUM($O$27))</f>
        <v>0.19467183924950815</v>
      </c>
      <c r="AQ42" s="81" t="s">
        <v>322</v>
      </c>
      <c r="AR42" s="81" t="s">
        <v>359</v>
      </c>
      <c r="AV42" s="168" t="s">
        <v>319</v>
      </c>
      <c r="AW42" s="168" t="s">
        <v>320</v>
      </c>
      <c r="AX42" s="168" t="s">
        <v>358</v>
      </c>
      <c r="AY42" s="169" t="s">
        <v>323</v>
      </c>
      <c r="AZ42" s="162">
        <f>AP42</f>
        <v>0.19467183924950815</v>
      </c>
      <c r="BA42" s="168" t="s">
        <v>322</v>
      </c>
      <c r="BC42" s="81" t="s">
        <v>418</v>
      </c>
      <c r="BD42" s="167">
        <v>393</v>
      </c>
      <c r="BE42" s="167">
        <v>4.21</v>
      </c>
      <c r="BF42" s="81">
        <v>93.48</v>
      </c>
      <c r="BG42" s="81" t="s">
        <v>388</v>
      </c>
      <c r="BJ42" s="175" t="s">
        <v>319</v>
      </c>
      <c r="BK42" s="175" t="s">
        <v>320</v>
      </c>
      <c r="BL42" s="175" t="s">
        <v>358</v>
      </c>
      <c r="BM42" s="175" t="s">
        <v>323</v>
      </c>
      <c r="BN42" s="174">
        <f>BD15</f>
        <v>9.35E-2</v>
      </c>
      <c r="BO42" s="175" t="s">
        <v>322</v>
      </c>
      <c r="BQ42" s="81" t="s">
        <v>418</v>
      </c>
      <c r="BR42" s="167">
        <v>113</v>
      </c>
      <c r="BS42" s="167">
        <v>2.08</v>
      </c>
      <c r="BT42" s="81">
        <v>54.6</v>
      </c>
      <c r="BU42" s="81" t="s">
        <v>422</v>
      </c>
      <c r="BV42" s="167">
        <v>2E-16</v>
      </c>
      <c r="BW42" s="81" t="s">
        <v>389</v>
      </c>
      <c r="BY42" s="178" t="s">
        <v>319</v>
      </c>
      <c r="BZ42" s="178" t="s">
        <v>320</v>
      </c>
      <c r="CA42" s="178" t="s">
        <v>357</v>
      </c>
      <c r="CB42" s="178" t="s">
        <v>323</v>
      </c>
      <c r="CC42" s="177">
        <f>1/BR76</f>
        <v>350.87719298245611</v>
      </c>
      <c r="CD42" s="178" t="s">
        <v>322</v>
      </c>
      <c r="CO42" s="81" t="s">
        <v>360</v>
      </c>
      <c r="CP42" s="254">
        <f t="shared" si="0"/>
        <v>0.19701484443186004</v>
      </c>
      <c r="CQ42" s="254">
        <f t="shared" si="1"/>
        <v>0.19800000000000001</v>
      </c>
      <c r="CR42" s="254">
        <f t="shared" si="2"/>
        <v>0.28299999999999997</v>
      </c>
      <c r="CU42" s="258" t="s">
        <v>442</v>
      </c>
      <c r="CV42" s="258" t="s">
        <v>405</v>
      </c>
      <c r="CW42" s="259">
        <v>5.9400000000000001E-2</v>
      </c>
      <c r="CX42" s="259">
        <v>3.1100000000000002E-4</v>
      </c>
      <c r="CY42" s="258">
        <v>190.79</v>
      </c>
      <c r="CZ42" s="258" t="s">
        <v>422</v>
      </c>
      <c r="DA42" s="167">
        <v>2E-16</v>
      </c>
      <c r="DB42" s="81" t="s">
        <v>389</v>
      </c>
      <c r="DC42" s="260" t="s">
        <v>467</v>
      </c>
      <c r="DD42" s="261" t="s">
        <v>428</v>
      </c>
      <c r="DE42" s="261" t="s">
        <v>323</v>
      </c>
      <c r="DF42" s="262">
        <f>CW46</f>
        <v>3.7499999999999999E-2</v>
      </c>
      <c r="DG42" s="260" t="s">
        <v>322</v>
      </c>
      <c r="DI42" s="170" t="s">
        <v>467</v>
      </c>
      <c r="DJ42" s="291" t="s">
        <v>428</v>
      </c>
      <c r="DK42" s="291" t="s">
        <v>323</v>
      </c>
      <c r="DL42" s="170">
        <f>$AP46</f>
        <v>5.8401551774852442E-2</v>
      </c>
      <c r="DM42" s="170" t="s">
        <v>322</v>
      </c>
    </row>
    <row r="43" spans="1:117" ht="15" customHeight="1" thickTop="1" thickBot="1" x14ac:dyDescent="0.3">
      <c r="A43" s="81" t="s">
        <v>283</v>
      </c>
      <c r="C43" s="81">
        <f>B7/B6</f>
        <v>0.51807879114948729</v>
      </c>
      <c r="D43" s="81" t="s">
        <v>284</v>
      </c>
      <c r="L43" s="81"/>
      <c r="M43" s="81"/>
      <c r="N43" s="81"/>
      <c r="Q43" s="81"/>
      <c r="R43" s="81"/>
      <c r="X43" s="188"/>
      <c r="Y43" s="189" t="s">
        <v>129</v>
      </c>
      <c r="Z43" s="189">
        <v>0.08</v>
      </c>
      <c r="AA43" s="189">
        <v>0.6</v>
      </c>
      <c r="AB43" s="189">
        <v>1100</v>
      </c>
      <c r="AC43" s="189">
        <v>860</v>
      </c>
      <c r="AD43" s="236">
        <f>Z43/AA43</f>
        <v>0.13333333333333333</v>
      </c>
      <c r="AE43" s="190">
        <f>Z43*AB43*AC43</f>
        <v>75680</v>
      </c>
      <c r="AF43" s="14"/>
      <c r="AG43" s="14"/>
      <c r="AH43" s="14"/>
      <c r="AM43" s="159" t="s">
        <v>319</v>
      </c>
      <c r="AN43" s="81" t="s">
        <v>320</v>
      </c>
      <c r="AO43" s="81" t="s">
        <v>360</v>
      </c>
      <c r="AP43" s="81">
        <f>SUM(O26)/SUM(O$17:O$25,2*O$28,O$26,O31,2*O29)</f>
        <v>0.19701484443186004</v>
      </c>
      <c r="AQ43" s="81" t="s">
        <v>322</v>
      </c>
      <c r="AR43" s="81" t="s">
        <v>361</v>
      </c>
      <c r="AV43" s="168" t="s">
        <v>319</v>
      </c>
      <c r="AW43" s="168" t="s">
        <v>320</v>
      </c>
      <c r="AX43" s="168" t="s">
        <v>360</v>
      </c>
      <c r="AY43" s="169" t="s">
        <v>323</v>
      </c>
      <c r="AZ43" s="162">
        <f t="shared" ref="AZ43:AZ50" si="15">AP43</f>
        <v>0.19701484443186004</v>
      </c>
      <c r="BA43" s="168" t="s">
        <v>322</v>
      </c>
      <c r="BC43" s="81" t="s">
        <v>419</v>
      </c>
      <c r="BD43" s="167">
        <v>141</v>
      </c>
      <c r="BE43" s="167">
        <v>4.72</v>
      </c>
      <c r="BF43" s="81">
        <v>29.84</v>
      </c>
      <c r="BG43" s="81" t="s">
        <v>388</v>
      </c>
      <c r="BJ43" s="175" t="s">
        <v>319</v>
      </c>
      <c r="BK43" s="175" t="s">
        <v>320</v>
      </c>
      <c r="BL43" s="175" t="s">
        <v>360</v>
      </c>
      <c r="BM43" s="175" t="s">
        <v>323</v>
      </c>
      <c r="BN43" s="174">
        <f>BD57</f>
        <v>0.19800000000000001</v>
      </c>
      <c r="BO43" s="175" t="s">
        <v>322</v>
      </c>
      <c r="BQ43" s="81" t="s">
        <v>419</v>
      </c>
      <c r="BR43" s="167">
        <v>4990</v>
      </c>
      <c r="BS43" s="167">
        <v>2330</v>
      </c>
      <c r="BT43" s="81">
        <v>2.14</v>
      </c>
      <c r="BU43" s="81">
        <v>3.27E-2</v>
      </c>
      <c r="BV43" s="81" t="s">
        <v>434</v>
      </c>
      <c r="BY43" s="178"/>
      <c r="BZ43" s="178"/>
      <c r="CA43" s="178"/>
      <c r="CB43" s="178"/>
      <c r="CC43" s="177"/>
      <c r="CD43" s="178"/>
      <c r="CO43" s="81" t="s">
        <v>362</v>
      </c>
      <c r="CP43" s="256">
        <f t="shared" si="0"/>
        <v>20420677.500000004</v>
      </c>
      <c r="CQ43" s="256">
        <f t="shared" si="1"/>
        <v>8270000</v>
      </c>
      <c r="CR43" s="256">
        <f t="shared" si="2"/>
        <v>19200000</v>
      </c>
      <c r="CU43" s="258" t="s">
        <v>442</v>
      </c>
      <c r="CV43" s="258" t="s">
        <v>406</v>
      </c>
      <c r="CW43" s="259">
        <v>0.12</v>
      </c>
      <c r="CX43" s="259">
        <v>5.5000000000000003E-4</v>
      </c>
      <c r="CY43" s="258">
        <v>217.37</v>
      </c>
      <c r="CZ43" s="258" t="s">
        <v>422</v>
      </c>
      <c r="DA43" s="167">
        <v>2E-16</v>
      </c>
      <c r="DB43" s="81" t="s">
        <v>389</v>
      </c>
      <c r="DE43" s="261"/>
      <c r="DI43" s="170"/>
      <c r="DJ43" s="170"/>
      <c r="DK43" s="291"/>
      <c r="DL43" s="170"/>
      <c r="DM43" s="170"/>
    </row>
    <row r="44" spans="1:117" ht="15" customHeight="1" thickTop="1" thickBot="1" x14ac:dyDescent="0.3">
      <c r="A44" s="81" t="s">
        <v>287</v>
      </c>
      <c r="C44" s="81">
        <v>0.7</v>
      </c>
      <c r="E44" s="79"/>
      <c r="L44" s="81"/>
      <c r="M44" s="81"/>
      <c r="N44" s="81"/>
      <c r="Q44" s="81"/>
      <c r="R44" s="81"/>
      <c r="X44" s="188"/>
      <c r="Y44" s="189" t="s">
        <v>285</v>
      </c>
      <c r="Z44" s="189">
        <v>0.03</v>
      </c>
      <c r="AA44" s="189">
        <v>3.5999999999999997E-2</v>
      </c>
      <c r="AB44" s="189">
        <v>30</v>
      </c>
      <c r="AC44" s="189">
        <v>1470</v>
      </c>
      <c r="AD44" s="236">
        <f>Z44/AA44</f>
        <v>0.83333333333333337</v>
      </c>
      <c r="AE44" s="190">
        <f>Z44*AB44*AC44</f>
        <v>1322.9999999999998</v>
      </c>
      <c r="AF44" s="149" t="s">
        <v>286</v>
      </c>
      <c r="AG44" s="14"/>
      <c r="AH44" s="14"/>
      <c r="AM44" s="159" t="s">
        <v>319</v>
      </c>
      <c r="AN44" s="81" t="s">
        <v>320</v>
      </c>
      <c r="AO44" s="81" t="s">
        <v>362</v>
      </c>
      <c r="AP44" s="81">
        <f>U26/2</f>
        <v>20420677.500000004</v>
      </c>
      <c r="AQ44" s="81" t="s">
        <v>322</v>
      </c>
      <c r="AR44" s="81" t="s">
        <v>363</v>
      </c>
      <c r="AV44" s="168" t="s">
        <v>319</v>
      </c>
      <c r="AW44" s="168" t="s">
        <v>320</v>
      </c>
      <c r="AX44" s="168" t="s">
        <v>362</v>
      </c>
      <c r="AY44" s="169" t="s">
        <v>323</v>
      </c>
      <c r="AZ44" s="162">
        <f t="shared" si="15"/>
        <v>20420677.500000004</v>
      </c>
      <c r="BA44" s="168" t="s">
        <v>322</v>
      </c>
      <c r="BC44" s="81" t="s">
        <v>420</v>
      </c>
      <c r="BD44" s="167">
        <v>81.900000000000006</v>
      </c>
      <c r="BE44" s="167">
        <v>0.45900000000000002</v>
      </c>
      <c r="BF44" s="81">
        <v>178.48</v>
      </c>
      <c r="BG44" s="81" t="s">
        <v>388</v>
      </c>
      <c r="BJ44" s="175" t="s">
        <v>319</v>
      </c>
      <c r="BK44" s="175" t="s">
        <v>320</v>
      </c>
      <c r="BL44" s="175" t="s">
        <v>362</v>
      </c>
      <c r="BM44" s="175" t="s">
        <v>323</v>
      </c>
      <c r="BN44" s="174">
        <f>BD87</f>
        <v>8270000</v>
      </c>
      <c r="BO44" s="175" t="s">
        <v>322</v>
      </c>
      <c r="BQ44" s="81" t="s">
        <v>420</v>
      </c>
      <c r="BR44" s="167">
        <v>75.900000000000006</v>
      </c>
      <c r="BS44" s="167">
        <v>3.39</v>
      </c>
      <c r="BT44" s="81">
        <v>22.42</v>
      </c>
      <c r="BU44" s="81" t="s">
        <v>422</v>
      </c>
      <c r="BV44" s="167">
        <v>2E-16</v>
      </c>
      <c r="BW44" s="81" t="s">
        <v>389</v>
      </c>
      <c r="BY44" s="178" t="s">
        <v>319</v>
      </c>
      <c r="BZ44" s="178" t="s">
        <v>320</v>
      </c>
      <c r="CA44" s="178" t="s">
        <v>358</v>
      </c>
      <c r="CB44" s="178" t="s">
        <v>323</v>
      </c>
      <c r="CC44" s="177">
        <f>BR15</f>
        <v>0.11799999999999999</v>
      </c>
      <c r="CD44" s="178" t="s">
        <v>322</v>
      </c>
      <c r="CO44" s="81" t="s">
        <v>364</v>
      </c>
      <c r="CP44" s="256">
        <f t="shared" si="0"/>
        <v>20420677.500000004</v>
      </c>
      <c r="CQ44" s="256">
        <f t="shared" si="1"/>
        <v>25000000</v>
      </c>
      <c r="CR44" s="256">
        <f t="shared" si="2"/>
        <v>65100000</v>
      </c>
      <c r="CU44" s="258" t="s">
        <v>442</v>
      </c>
      <c r="CV44" s="258" t="s">
        <v>407</v>
      </c>
      <c r="CW44" s="259">
        <v>0.70699999999999996</v>
      </c>
      <c r="CX44" s="259">
        <v>1.6199999999999999E-3</v>
      </c>
      <c r="CY44" s="258">
        <v>435.64</v>
      </c>
      <c r="CZ44" s="258" t="s">
        <v>422</v>
      </c>
      <c r="DA44" s="167">
        <v>2E-16</v>
      </c>
      <c r="DB44" s="81" t="s">
        <v>389</v>
      </c>
      <c r="DC44" s="260" t="s">
        <v>467</v>
      </c>
      <c r="DD44" s="266" t="s">
        <v>489</v>
      </c>
      <c r="DE44" s="261" t="s">
        <v>323</v>
      </c>
      <c r="DF44" s="262">
        <f>CW68</f>
        <v>0.16600000000000001</v>
      </c>
      <c r="DG44" s="260" t="s">
        <v>322</v>
      </c>
      <c r="DI44" s="170" t="s">
        <v>467</v>
      </c>
      <c r="DJ44" s="297" t="s">
        <v>489</v>
      </c>
      <c r="DK44" s="291" t="s">
        <v>323</v>
      </c>
      <c r="DL44" s="170">
        <f>$O$11*$Z$37*$AP$26</f>
        <v>0.73625947624923793</v>
      </c>
      <c r="DM44" s="170" t="s">
        <v>322</v>
      </c>
    </row>
    <row r="45" spans="1:117" ht="15" customHeight="1" thickTop="1" thickBot="1" x14ac:dyDescent="0.3">
      <c r="A45" s="81" t="s">
        <v>288</v>
      </c>
      <c r="C45" s="81">
        <v>0.5</v>
      </c>
      <c r="E45" s="79"/>
      <c r="L45" s="81"/>
      <c r="M45" s="81"/>
      <c r="N45" s="81"/>
      <c r="Q45" s="81"/>
      <c r="R45" s="81"/>
      <c r="X45" s="188"/>
      <c r="Y45" s="189" t="s">
        <v>131</v>
      </c>
      <c r="Z45" s="189">
        <v>0.15</v>
      </c>
      <c r="AA45" s="189">
        <v>1.4</v>
      </c>
      <c r="AB45" s="189">
        <v>2100</v>
      </c>
      <c r="AC45" s="189">
        <v>840</v>
      </c>
      <c r="AD45" s="236">
        <f>Z45/AA45</f>
        <v>0.10714285714285715</v>
      </c>
      <c r="AE45" s="190">
        <f>Z45*AB45*AC45</f>
        <v>264600</v>
      </c>
      <c r="AF45" s="14"/>
      <c r="AG45" s="14"/>
      <c r="AH45" s="14"/>
      <c r="AM45" s="159" t="s">
        <v>319</v>
      </c>
      <c r="AN45" s="81" t="s">
        <v>320</v>
      </c>
      <c r="AO45" s="81" t="s">
        <v>364</v>
      </c>
      <c r="AP45" s="81">
        <f>U26/2</f>
        <v>20420677.500000004</v>
      </c>
      <c r="AQ45" s="81" t="s">
        <v>322</v>
      </c>
      <c r="AR45" s="81" t="s">
        <v>365</v>
      </c>
      <c r="AV45" s="168" t="s">
        <v>319</v>
      </c>
      <c r="AW45" s="168" t="s">
        <v>320</v>
      </c>
      <c r="AX45" s="168" t="s">
        <v>364</v>
      </c>
      <c r="AY45" s="169" t="s">
        <v>323</v>
      </c>
      <c r="AZ45" s="162">
        <f t="shared" si="15"/>
        <v>20420677.500000004</v>
      </c>
      <c r="BA45" s="168" t="s">
        <v>322</v>
      </c>
      <c r="BJ45" s="175" t="s">
        <v>319</v>
      </c>
      <c r="BK45" s="175" t="s">
        <v>320</v>
      </c>
      <c r="BL45" s="175" t="s">
        <v>364</v>
      </c>
      <c r="BM45" s="175" t="s">
        <v>323</v>
      </c>
      <c r="BN45" s="174">
        <f>BD88</f>
        <v>25000000</v>
      </c>
      <c r="BO45" s="175" t="s">
        <v>322</v>
      </c>
      <c r="BY45" s="178" t="s">
        <v>319</v>
      </c>
      <c r="BZ45" s="178" t="s">
        <v>320</v>
      </c>
      <c r="CA45" s="178" t="s">
        <v>360</v>
      </c>
      <c r="CB45" s="178" t="s">
        <v>323</v>
      </c>
      <c r="CC45" s="177">
        <f>BR56</f>
        <v>0.28299999999999997</v>
      </c>
      <c r="CD45" s="178" t="s">
        <v>322</v>
      </c>
      <c r="CO45" s="81" t="s">
        <v>366</v>
      </c>
      <c r="CP45" s="254">
        <f t="shared" si="0"/>
        <v>5.8401551774852442E-2</v>
      </c>
      <c r="CQ45" s="254">
        <f t="shared" si="1"/>
        <v>7.3400000000000007E-2</v>
      </c>
      <c r="CR45" s="254">
        <f t="shared" si="2"/>
        <v>4.4299999999999999E-2</v>
      </c>
      <c r="CU45" s="258" t="s">
        <v>442</v>
      </c>
      <c r="CV45" s="258" t="s">
        <v>408</v>
      </c>
      <c r="CW45" s="259">
        <v>8.5999999999999993E-2</v>
      </c>
      <c r="CX45" s="259">
        <v>3.1399999999999999E-4</v>
      </c>
      <c r="CY45" s="258">
        <v>273.89999999999998</v>
      </c>
      <c r="CZ45" s="258" t="s">
        <v>422</v>
      </c>
      <c r="DA45" s="167">
        <v>2E-16</v>
      </c>
      <c r="DB45" s="81" t="s">
        <v>389</v>
      </c>
      <c r="DC45" s="260" t="s">
        <v>467</v>
      </c>
      <c r="DD45" s="266" t="s">
        <v>490</v>
      </c>
      <c r="DE45" s="261" t="s">
        <v>323</v>
      </c>
      <c r="DF45" s="262">
        <f t="shared" ref="DF45:DF59" si="16">CW69</f>
        <v>0.41399999999999998</v>
      </c>
      <c r="DG45" s="260" t="s">
        <v>322</v>
      </c>
      <c r="DI45" s="170" t="s">
        <v>467</v>
      </c>
      <c r="DJ45" s="297" t="s">
        <v>490</v>
      </c>
      <c r="DK45" s="291" t="s">
        <v>323</v>
      </c>
      <c r="DL45" s="170">
        <f>$O$10*$Z$37*$AP$26</f>
        <v>0.71785298934300701</v>
      </c>
      <c r="DM45" s="170" t="s">
        <v>322</v>
      </c>
    </row>
    <row r="46" spans="1:117" ht="15" customHeight="1" thickTop="1" thickBot="1" x14ac:dyDescent="0.3">
      <c r="L46" s="81"/>
      <c r="M46" s="81"/>
      <c r="N46" s="81"/>
      <c r="Q46" s="81"/>
      <c r="R46" s="81"/>
      <c r="X46" s="205"/>
      <c r="Y46" s="187" t="s">
        <v>132</v>
      </c>
      <c r="Z46" s="187">
        <v>0</v>
      </c>
      <c r="AA46" s="187">
        <v>0.02</v>
      </c>
      <c r="AB46" s="187">
        <v>30</v>
      </c>
      <c r="AC46" s="187">
        <v>1470</v>
      </c>
      <c r="AD46" s="237">
        <f>Z46/AA46</f>
        <v>0</v>
      </c>
      <c r="AE46" s="210">
        <f>Z46*AB46*AC46</f>
        <v>0</v>
      </c>
      <c r="AF46" s="14"/>
      <c r="AG46" s="14"/>
      <c r="AH46" s="14"/>
      <c r="AM46" s="159" t="s">
        <v>319</v>
      </c>
      <c r="AN46" s="81" t="s">
        <v>320</v>
      </c>
      <c r="AO46" s="81" t="s">
        <v>366</v>
      </c>
      <c r="AP46" s="81">
        <f>AP42*0.3</f>
        <v>5.8401551774852442E-2</v>
      </c>
      <c r="AQ46" s="81" t="s">
        <v>322</v>
      </c>
      <c r="AR46" s="81" t="s">
        <v>367</v>
      </c>
      <c r="AV46" s="168" t="s">
        <v>319</v>
      </c>
      <c r="AW46" s="168" t="s">
        <v>320</v>
      </c>
      <c r="AX46" s="168" t="s">
        <v>366</v>
      </c>
      <c r="AY46" s="169" t="s">
        <v>323</v>
      </c>
      <c r="AZ46" s="162">
        <f t="shared" si="15"/>
        <v>5.8401551774852442E-2</v>
      </c>
      <c r="BA46" s="168" t="s">
        <v>322</v>
      </c>
      <c r="BJ46" s="175" t="s">
        <v>319</v>
      </c>
      <c r="BK46" s="175" t="s">
        <v>320</v>
      </c>
      <c r="BL46" s="175" t="s">
        <v>366</v>
      </c>
      <c r="BM46" s="175" t="s">
        <v>323</v>
      </c>
      <c r="BN46" s="174">
        <f>BD31</f>
        <v>7.3400000000000007E-2</v>
      </c>
      <c r="BO46" s="175" t="s">
        <v>322</v>
      </c>
      <c r="BQ46" s="81" t="s">
        <v>433</v>
      </c>
      <c r="BR46" s="81" t="s">
        <v>421</v>
      </c>
      <c r="BY46" s="178" t="s">
        <v>319</v>
      </c>
      <c r="BZ46" s="178" t="s">
        <v>320</v>
      </c>
      <c r="CA46" s="178" t="s">
        <v>362</v>
      </c>
      <c r="CB46" s="178" t="s">
        <v>323</v>
      </c>
      <c r="CC46" s="177">
        <f>BR87</f>
        <v>19200000</v>
      </c>
      <c r="CD46" s="178" t="s">
        <v>322</v>
      </c>
      <c r="CO46" s="81" t="s">
        <v>368</v>
      </c>
      <c r="CP46" s="254">
        <f t="shared" si="0"/>
        <v>5.9104453329558007E-2</v>
      </c>
      <c r="CQ46" s="254">
        <f t="shared" si="1"/>
        <v>0.126</v>
      </c>
      <c r="CR46" s="254">
        <f t="shared" si="2"/>
        <v>7.3200000000000001E-2</v>
      </c>
      <c r="CU46" s="258" t="s">
        <v>442</v>
      </c>
      <c r="CV46" s="258" t="s">
        <v>409</v>
      </c>
      <c r="CW46" s="259">
        <v>3.7499999999999999E-2</v>
      </c>
      <c r="CX46" s="259">
        <v>4.2900000000000002E-4</v>
      </c>
      <c r="CY46" s="258">
        <v>87.48</v>
      </c>
      <c r="CZ46" s="258" t="s">
        <v>422</v>
      </c>
      <c r="DA46" s="167">
        <v>2E-16</v>
      </c>
      <c r="DB46" s="81" t="s">
        <v>389</v>
      </c>
      <c r="DC46" s="260" t="s">
        <v>467</v>
      </c>
      <c r="DD46" s="266" t="s">
        <v>491</v>
      </c>
      <c r="DE46" s="261" t="s">
        <v>323</v>
      </c>
      <c r="DF46" s="262">
        <f t="shared" si="16"/>
        <v>0.49399999999999999</v>
      </c>
      <c r="DG46" s="260" t="s">
        <v>322</v>
      </c>
      <c r="DI46" s="170" t="s">
        <v>467</v>
      </c>
      <c r="DJ46" s="297" t="s">
        <v>491</v>
      </c>
      <c r="DK46" s="291" t="s">
        <v>323</v>
      </c>
      <c r="DL46" s="170">
        <f>$O$12*$Z$37*$AP$26</f>
        <v>0.83749515423350795</v>
      </c>
      <c r="DM46" s="170" t="s">
        <v>322</v>
      </c>
    </row>
    <row r="47" spans="1:117" ht="15" customHeight="1" thickTop="1" thickBot="1" x14ac:dyDescent="0.3">
      <c r="B47" s="153"/>
      <c r="L47" s="81"/>
      <c r="M47" s="81"/>
      <c r="N47" s="81"/>
      <c r="Q47" s="81"/>
      <c r="R47" s="81"/>
      <c r="X47" s="189"/>
      <c r="Y47" s="189"/>
      <c r="Z47" s="189"/>
      <c r="AA47" s="189"/>
      <c r="AB47" s="189"/>
      <c r="AC47" s="189"/>
      <c r="AD47" s="236"/>
      <c r="AE47" s="189"/>
      <c r="AF47" s="14"/>
      <c r="AG47" s="14"/>
      <c r="AH47" s="14"/>
      <c r="AM47" s="159" t="s">
        <v>319</v>
      </c>
      <c r="AN47" s="81" t="s">
        <v>320</v>
      </c>
      <c r="AO47" s="81" t="s">
        <v>368</v>
      </c>
      <c r="AP47" s="81">
        <f>AP43*0.3</f>
        <v>5.9104453329558007E-2</v>
      </c>
      <c r="AQ47" s="81" t="s">
        <v>322</v>
      </c>
      <c r="AR47" s="81" t="s">
        <v>369</v>
      </c>
      <c r="AV47" s="168" t="s">
        <v>319</v>
      </c>
      <c r="AW47" s="168" t="s">
        <v>320</v>
      </c>
      <c r="AX47" s="168" t="s">
        <v>368</v>
      </c>
      <c r="AY47" s="169" t="s">
        <v>323</v>
      </c>
      <c r="AZ47" s="162">
        <f t="shared" si="15"/>
        <v>5.9104453329558007E-2</v>
      </c>
      <c r="BA47" s="168" t="s">
        <v>322</v>
      </c>
      <c r="BD47" s="172" t="s">
        <v>421</v>
      </c>
      <c r="BJ47" s="175" t="s">
        <v>319</v>
      </c>
      <c r="BK47" s="175" t="s">
        <v>320</v>
      </c>
      <c r="BL47" s="175" t="s">
        <v>368</v>
      </c>
      <c r="BM47" s="175" t="s">
        <v>323</v>
      </c>
      <c r="BN47" s="174">
        <f>BD69</f>
        <v>0.126</v>
      </c>
      <c r="BO47" s="175" t="s">
        <v>322</v>
      </c>
      <c r="BQ47" s="81" t="s">
        <v>380</v>
      </c>
      <c r="BY47" s="178" t="s">
        <v>319</v>
      </c>
      <c r="BZ47" s="178" t="s">
        <v>320</v>
      </c>
      <c r="CA47" s="178" t="s">
        <v>364</v>
      </c>
      <c r="CB47" s="178" t="s">
        <v>323</v>
      </c>
      <c r="CC47" s="177">
        <f>BR89</f>
        <v>65100000</v>
      </c>
      <c r="CD47" s="178" t="s">
        <v>322</v>
      </c>
      <c r="CO47" s="81" t="s">
        <v>370</v>
      </c>
      <c r="CP47" s="257">
        <f t="shared" si="0"/>
        <v>381.09398814563929</v>
      </c>
      <c r="CQ47" s="257">
        <f t="shared" si="1"/>
        <v>502</v>
      </c>
      <c r="CR47" s="257">
        <f t="shared" si="2"/>
        <v>198</v>
      </c>
      <c r="CU47" s="258" t="s">
        <v>442</v>
      </c>
      <c r="CV47" s="258" t="s">
        <v>410</v>
      </c>
      <c r="CW47" s="259">
        <v>144</v>
      </c>
      <c r="CX47" s="259">
        <v>0.58199999999999996</v>
      </c>
      <c r="CY47" s="258">
        <v>246.91</v>
      </c>
      <c r="CZ47" s="258" t="s">
        <v>422</v>
      </c>
      <c r="DA47" s="167">
        <v>2E-16</v>
      </c>
      <c r="DB47" s="81" t="s">
        <v>389</v>
      </c>
      <c r="DC47" s="260" t="s">
        <v>467</v>
      </c>
      <c r="DD47" s="266" t="s">
        <v>492</v>
      </c>
      <c r="DE47" s="261" t="s">
        <v>323</v>
      </c>
      <c r="DF47" s="262">
        <f t="shared" si="16"/>
        <v>0.436</v>
      </c>
      <c r="DG47" s="260" t="s">
        <v>322</v>
      </c>
      <c r="DI47" s="170" t="s">
        <v>467</v>
      </c>
      <c r="DJ47" s="297" t="s">
        <v>492</v>
      </c>
      <c r="DK47" s="291" t="s">
        <v>323</v>
      </c>
      <c r="DL47" s="170">
        <f>$O$13*$Z$37*$AP$26</f>
        <v>0.68104001553054505</v>
      </c>
      <c r="DM47" s="170" t="s">
        <v>322</v>
      </c>
    </row>
    <row r="48" spans="1:117" ht="15" customHeight="1" thickTop="1" thickBot="1" x14ac:dyDescent="0.3">
      <c r="B48" s="153"/>
      <c r="L48" s="81"/>
      <c r="M48" s="81"/>
      <c r="N48" s="81"/>
      <c r="Q48" s="81"/>
      <c r="R48" s="81"/>
      <c r="X48" s="226"/>
      <c r="Y48" s="226"/>
      <c r="Z48" s="245" t="s">
        <v>4</v>
      </c>
      <c r="AA48" s="245">
        <v>4</v>
      </c>
      <c r="AB48" s="245" t="s">
        <v>5</v>
      </c>
      <c r="AC48" s="226"/>
      <c r="AD48" s="226"/>
      <c r="AE48" s="226"/>
      <c r="AF48" s="14"/>
      <c r="AG48" s="14"/>
      <c r="AH48" s="14"/>
      <c r="AM48" s="159" t="s">
        <v>319</v>
      </c>
      <c r="AN48" s="81" t="s">
        <v>320</v>
      </c>
      <c r="AO48" s="81" t="s">
        <v>370</v>
      </c>
      <c r="AP48" s="81">
        <f>AA27*4*O26</f>
        <v>381.09398814563929</v>
      </c>
      <c r="AQ48" s="81" t="s">
        <v>322</v>
      </c>
      <c r="AR48" s="81" t="s">
        <v>371</v>
      </c>
      <c r="AV48" s="168" t="s">
        <v>319</v>
      </c>
      <c r="AW48" s="168" t="s">
        <v>320</v>
      </c>
      <c r="AX48" s="168" t="s">
        <v>370</v>
      </c>
      <c r="AY48" s="169" t="s">
        <v>323</v>
      </c>
      <c r="AZ48" s="162">
        <f t="shared" si="15"/>
        <v>381.09398814563929</v>
      </c>
      <c r="BA48" s="168" t="s">
        <v>322</v>
      </c>
      <c r="BC48" s="81" t="s">
        <v>380</v>
      </c>
      <c r="BJ48" s="175" t="s">
        <v>319</v>
      </c>
      <c r="BK48" s="175" t="s">
        <v>320</v>
      </c>
      <c r="BL48" s="175" t="s">
        <v>370</v>
      </c>
      <c r="BM48" s="175" t="s">
        <v>323</v>
      </c>
      <c r="BN48" s="174">
        <f>BD95</f>
        <v>502</v>
      </c>
      <c r="BO48" s="175" t="s">
        <v>322</v>
      </c>
      <c r="BQ48" s="81" t="s">
        <v>381</v>
      </c>
      <c r="BR48" s="81" t="s">
        <v>382</v>
      </c>
      <c r="BS48" s="81" t="s">
        <v>383</v>
      </c>
      <c r="BT48" s="81" t="s">
        <v>384</v>
      </c>
      <c r="BU48" s="81" t="s">
        <v>385</v>
      </c>
      <c r="BV48" s="81" t="s">
        <v>386</v>
      </c>
      <c r="BY48" s="178" t="s">
        <v>319</v>
      </c>
      <c r="BZ48" s="178" t="s">
        <v>320</v>
      </c>
      <c r="CA48" s="178" t="s">
        <v>366</v>
      </c>
      <c r="CB48" s="178" t="s">
        <v>323</v>
      </c>
      <c r="CC48" s="177">
        <f>BR31</f>
        <v>4.4299999999999999E-2</v>
      </c>
      <c r="CD48" s="178" t="s">
        <v>322</v>
      </c>
      <c r="CO48" s="81" t="s">
        <v>372</v>
      </c>
      <c r="CP48" s="257">
        <f t="shared" si="0"/>
        <v>190.54699407281964</v>
      </c>
      <c r="CQ48" s="257">
        <f t="shared" si="1"/>
        <v>393</v>
      </c>
      <c r="CR48" s="257">
        <f t="shared" si="2"/>
        <v>3.48E-4</v>
      </c>
      <c r="CU48" s="258" t="s">
        <v>442</v>
      </c>
      <c r="CV48" s="258" t="s">
        <v>411</v>
      </c>
      <c r="CW48" s="259">
        <v>145</v>
      </c>
      <c r="CX48" s="259">
        <v>0.57499999999999996</v>
      </c>
      <c r="CY48" s="258">
        <v>252.1</v>
      </c>
      <c r="CZ48" s="258" t="s">
        <v>422</v>
      </c>
      <c r="DA48" s="167">
        <v>2E-16</v>
      </c>
      <c r="DB48" s="81" t="s">
        <v>389</v>
      </c>
      <c r="DC48" s="260" t="s">
        <v>467</v>
      </c>
      <c r="DD48" s="266" t="s">
        <v>493</v>
      </c>
      <c r="DE48" s="261" t="s">
        <v>323</v>
      </c>
      <c r="DF48" s="262">
        <f t="shared" si="16"/>
        <v>0.53500000000000003</v>
      </c>
      <c r="DG48" s="260" t="s">
        <v>322</v>
      </c>
      <c r="DI48" s="170" t="s">
        <v>467</v>
      </c>
      <c r="DJ48" s="297" t="s">
        <v>493</v>
      </c>
      <c r="DK48" s="291" t="s">
        <v>323</v>
      </c>
      <c r="DL48" s="170">
        <f>$O$11*$Z$37*$AP$27</f>
        <v>0.70636756911203258</v>
      </c>
      <c r="DM48" s="170" t="s">
        <v>322</v>
      </c>
    </row>
    <row r="49" spans="2:117" ht="15" customHeight="1" thickTop="1" thickBot="1" x14ac:dyDescent="0.3">
      <c r="B49" s="153"/>
      <c r="L49" s="81"/>
      <c r="M49" s="81"/>
      <c r="N49" s="81"/>
      <c r="Q49" s="81"/>
      <c r="R49" s="81"/>
      <c r="X49" s="246" t="s">
        <v>68</v>
      </c>
      <c r="Y49" s="247"/>
      <c r="Z49" s="248" t="s">
        <v>21</v>
      </c>
      <c r="AA49" s="249">
        <v>4</v>
      </c>
      <c r="AB49" s="247" t="s">
        <v>5</v>
      </c>
      <c r="AC49" s="247"/>
      <c r="AD49" s="247" t="s">
        <v>22</v>
      </c>
      <c r="AE49" s="250">
        <f>0.04*550*1660</f>
        <v>36520</v>
      </c>
      <c r="AF49" s="14" t="s">
        <v>23</v>
      </c>
      <c r="AG49" s="14">
        <f>SUM(AE51:AE52)</f>
        <v>0</v>
      </c>
      <c r="AH49" s="14"/>
      <c r="AM49" s="159" t="s">
        <v>319</v>
      </c>
      <c r="AN49" s="81" t="s">
        <v>320</v>
      </c>
      <c r="AO49" s="81" t="s">
        <v>372</v>
      </c>
      <c r="AP49" s="81">
        <f>AP50/2</f>
        <v>190.54699407281964</v>
      </c>
      <c r="AQ49" s="81" t="s">
        <v>322</v>
      </c>
      <c r="AR49" s="81" t="s">
        <v>373</v>
      </c>
      <c r="AV49" s="168" t="s">
        <v>319</v>
      </c>
      <c r="AW49" s="168" t="s">
        <v>320</v>
      </c>
      <c r="AX49" s="168" t="s">
        <v>372</v>
      </c>
      <c r="AY49" s="169" t="s">
        <v>323</v>
      </c>
      <c r="AZ49" s="162">
        <f t="shared" si="15"/>
        <v>190.54699407281964</v>
      </c>
      <c r="BA49" s="168" t="s">
        <v>322</v>
      </c>
      <c r="BC49" s="81" t="s">
        <v>381</v>
      </c>
      <c r="BD49" s="81" t="s">
        <v>382</v>
      </c>
      <c r="BE49" s="81" t="s">
        <v>383</v>
      </c>
      <c r="BF49" s="81" t="s">
        <v>384</v>
      </c>
      <c r="BG49" s="81" t="s">
        <v>385</v>
      </c>
      <c r="BH49" s="81" t="s">
        <v>386</v>
      </c>
      <c r="BJ49" s="175" t="s">
        <v>319</v>
      </c>
      <c r="BK49" s="175" t="s">
        <v>320</v>
      </c>
      <c r="BL49" s="175" t="s">
        <v>372</v>
      </c>
      <c r="BM49" s="175" t="s">
        <v>323</v>
      </c>
      <c r="BN49" s="174">
        <f>BD96</f>
        <v>393</v>
      </c>
      <c r="BO49" s="175" t="s">
        <v>322</v>
      </c>
      <c r="BQ49" s="81" t="s">
        <v>387</v>
      </c>
      <c r="BR49" s="167">
        <v>289</v>
      </c>
      <c r="BS49" s="167">
        <v>0.27</v>
      </c>
      <c r="BT49" s="81">
        <v>1069.93</v>
      </c>
      <c r="BU49" s="81" t="s">
        <v>422</v>
      </c>
      <c r="BV49" s="167">
        <v>2E-16</v>
      </c>
      <c r="BW49" s="81" t="s">
        <v>389</v>
      </c>
      <c r="BY49" s="178" t="s">
        <v>319</v>
      </c>
      <c r="BZ49" s="178" t="s">
        <v>320</v>
      </c>
      <c r="CA49" s="178" t="s">
        <v>368</v>
      </c>
      <c r="CB49" s="178" t="s">
        <v>323</v>
      </c>
      <c r="CC49" s="177">
        <f>BR68</f>
        <v>7.3200000000000001E-2</v>
      </c>
      <c r="CD49" s="178" t="s">
        <v>322</v>
      </c>
      <c r="CO49" s="81" t="s">
        <v>374</v>
      </c>
      <c r="CP49" s="257">
        <f t="shared" si="0"/>
        <v>381.09398814563929</v>
      </c>
      <c r="CQ49" s="257">
        <f t="shared" si="1"/>
        <v>506</v>
      </c>
      <c r="CR49" s="257">
        <f t="shared" si="2"/>
        <v>221</v>
      </c>
      <c r="CU49" s="258" t="s">
        <v>442</v>
      </c>
      <c r="CV49" s="258" t="s">
        <v>295</v>
      </c>
      <c r="CW49" s="259">
        <v>253</v>
      </c>
      <c r="CX49" s="259">
        <v>1.1000000000000001</v>
      </c>
      <c r="CY49" s="258">
        <v>229.5</v>
      </c>
      <c r="CZ49" s="258" t="s">
        <v>422</v>
      </c>
      <c r="DA49" s="167">
        <v>2E-16</v>
      </c>
      <c r="DB49" s="81" t="s">
        <v>389</v>
      </c>
      <c r="DC49" s="260" t="s">
        <v>467</v>
      </c>
      <c r="DD49" s="266" t="s">
        <v>494</v>
      </c>
      <c r="DE49" s="261" t="s">
        <v>323</v>
      </c>
      <c r="DF49" s="262">
        <f t="shared" si="16"/>
        <v>0.252</v>
      </c>
      <c r="DG49" s="260" t="s">
        <v>322</v>
      </c>
      <c r="DI49" s="170" t="s">
        <v>467</v>
      </c>
      <c r="DJ49" s="297" t="s">
        <v>494</v>
      </c>
      <c r="DK49" s="291" t="s">
        <v>323</v>
      </c>
      <c r="DL49" s="170">
        <f>$O$10*$Z$37*$AP$27</f>
        <v>0.68870837988423173</v>
      </c>
      <c r="DM49" s="170" t="s">
        <v>322</v>
      </c>
    </row>
    <row r="50" spans="2:117" ht="15" customHeight="1" thickTop="1" thickBot="1" x14ac:dyDescent="0.3">
      <c r="L50" s="81"/>
      <c r="M50" s="81"/>
      <c r="N50" s="81"/>
      <c r="Q50" s="81"/>
      <c r="R50" s="81"/>
      <c r="X50" s="251"/>
      <c r="Y50" s="252" t="s">
        <v>16</v>
      </c>
      <c r="Z50" s="252">
        <v>4</v>
      </c>
      <c r="AA50" s="252" t="s">
        <v>5</v>
      </c>
      <c r="AB50" s="252"/>
      <c r="AC50" s="252" t="s">
        <v>313</v>
      </c>
      <c r="AD50" s="252">
        <f>0.11*(1/AA49-1/23-1/8)</f>
        <v>8.9673913043478264E-3</v>
      </c>
      <c r="AE50" s="253"/>
      <c r="AF50" s="14"/>
      <c r="AG50" s="14"/>
      <c r="AH50" s="14"/>
      <c r="AM50" s="159" t="s">
        <v>319</v>
      </c>
      <c r="AN50" s="81" t="s">
        <v>320</v>
      </c>
      <c r="AO50" s="81" t="s">
        <v>374</v>
      </c>
      <c r="AP50" s="81">
        <f>AP48</f>
        <v>381.09398814563929</v>
      </c>
      <c r="AQ50" s="81" t="s">
        <v>322</v>
      </c>
      <c r="AR50" s="81" t="s">
        <v>375</v>
      </c>
      <c r="AV50" s="168" t="s">
        <v>319</v>
      </c>
      <c r="AW50" s="168" t="s">
        <v>320</v>
      </c>
      <c r="AX50" s="168" t="s">
        <v>374</v>
      </c>
      <c r="AY50" s="169" t="s">
        <v>323</v>
      </c>
      <c r="AZ50" s="162">
        <f t="shared" si="15"/>
        <v>381.09398814563929</v>
      </c>
      <c r="BA50" s="168" t="s">
        <v>322</v>
      </c>
      <c r="BC50" s="81" t="s">
        <v>387</v>
      </c>
      <c r="BD50" s="167">
        <v>291</v>
      </c>
      <c r="BE50" s="167">
        <v>5.11E-2</v>
      </c>
      <c r="BF50" s="81">
        <v>5694.69</v>
      </c>
      <c r="BG50" s="81" t="s">
        <v>422</v>
      </c>
      <c r="BH50" s="167">
        <v>2E-16</v>
      </c>
      <c r="BI50" s="81" t="s">
        <v>389</v>
      </c>
      <c r="BJ50" s="175" t="s">
        <v>319</v>
      </c>
      <c r="BK50" s="175" t="s">
        <v>320</v>
      </c>
      <c r="BL50" s="175" t="s">
        <v>374</v>
      </c>
      <c r="BM50" s="175" t="s">
        <v>323</v>
      </c>
      <c r="BN50" s="174">
        <f>BD97</f>
        <v>506</v>
      </c>
      <c r="BO50" s="175" t="s">
        <v>322</v>
      </c>
      <c r="BQ50" s="81" t="s">
        <v>390</v>
      </c>
      <c r="BR50" s="167">
        <v>285</v>
      </c>
      <c r="BS50" s="167">
        <v>0.32700000000000001</v>
      </c>
      <c r="BT50" s="81">
        <v>872.45</v>
      </c>
      <c r="BU50" s="81" t="s">
        <v>422</v>
      </c>
      <c r="BV50" s="167">
        <v>2E-16</v>
      </c>
      <c r="BW50" s="81" t="s">
        <v>389</v>
      </c>
      <c r="BY50" s="178" t="s">
        <v>319</v>
      </c>
      <c r="BZ50" s="178" t="s">
        <v>320</v>
      </c>
      <c r="CA50" s="178" t="s">
        <v>370</v>
      </c>
      <c r="CB50" s="178" t="s">
        <v>323</v>
      </c>
      <c r="CC50" s="177">
        <f>BR94</f>
        <v>198</v>
      </c>
      <c r="CD50" s="178" t="s">
        <v>322</v>
      </c>
      <c r="CU50" s="258" t="s">
        <v>442</v>
      </c>
      <c r="CV50" s="258" t="s">
        <v>120</v>
      </c>
      <c r="CW50" s="259">
        <v>79.400000000000006</v>
      </c>
      <c r="CX50" s="259">
        <v>0.19700000000000001</v>
      </c>
      <c r="CY50" s="258">
        <v>404.08</v>
      </c>
      <c r="CZ50" s="258" t="s">
        <v>422</v>
      </c>
      <c r="DA50" s="167">
        <v>2E-16</v>
      </c>
      <c r="DB50" s="81" t="s">
        <v>389</v>
      </c>
      <c r="DC50" s="260" t="s">
        <v>467</v>
      </c>
      <c r="DD50" s="266" t="s">
        <v>495</v>
      </c>
      <c r="DE50" s="261" t="s">
        <v>323</v>
      </c>
      <c r="DF50" s="262">
        <f t="shared" si="16"/>
        <v>0.55700000000000005</v>
      </c>
      <c r="DG50" s="260" t="s">
        <v>322</v>
      </c>
      <c r="DI50" s="170" t="s">
        <v>467</v>
      </c>
      <c r="DJ50" s="297" t="s">
        <v>495</v>
      </c>
      <c r="DK50" s="291" t="s">
        <v>323</v>
      </c>
      <c r="DL50" s="170">
        <f>$O$12*$Z$37*$AP$27</f>
        <v>0.80349310986493694</v>
      </c>
      <c r="DM50" s="170" t="s">
        <v>322</v>
      </c>
    </row>
    <row r="51" spans="2:117" ht="15" customHeight="1" thickTop="1" thickBot="1" x14ac:dyDescent="0.3">
      <c r="L51" s="81"/>
      <c r="M51" s="81"/>
      <c r="N51" s="81"/>
      <c r="Q51" s="81"/>
      <c r="R51" s="81"/>
      <c r="X51" s="226"/>
      <c r="Y51" s="226"/>
      <c r="Z51" s="227"/>
      <c r="AA51" s="227"/>
      <c r="AB51" s="227"/>
      <c r="AC51" s="226"/>
      <c r="AD51" s="226"/>
      <c r="AE51" s="226"/>
      <c r="AF51" s="14"/>
      <c r="AG51" s="14"/>
      <c r="AH51" s="14"/>
      <c r="BC51" s="81" t="s">
        <v>390</v>
      </c>
      <c r="BD51" s="167">
        <v>289</v>
      </c>
      <c r="BE51" s="167">
        <v>0.17199999999999999</v>
      </c>
      <c r="BF51" s="81">
        <v>1674.64</v>
      </c>
      <c r="BG51" s="81" t="s">
        <v>422</v>
      </c>
      <c r="BH51" s="167">
        <v>2E-16</v>
      </c>
      <c r="BI51" s="81" t="s">
        <v>389</v>
      </c>
      <c r="BQ51" s="81" t="s">
        <v>391</v>
      </c>
      <c r="BR51" s="167">
        <v>291</v>
      </c>
      <c r="BS51" s="167">
        <v>0.14000000000000001</v>
      </c>
      <c r="BT51" s="81">
        <v>2086.0700000000002</v>
      </c>
      <c r="BU51" s="81" t="s">
        <v>422</v>
      </c>
      <c r="BV51" s="167">
        <v>2E-16</v>
      </c>
      <c r="BW51" s="81" t="s">
        <v>389</v>
      </c>
      <c r="BY51" s="178" t="s">
        <v>319</v>
      </c>
      <c r="BZ51" s="178" t="s">
        <v>320</v>
      </c>
      <c r="CA51" s="178" t="s">
        <v>372</v>
      </c>
      <c r="CB51" s="178" t="s">
        <v>323</v>
      </c>
      <c r="CC51" s="177">
        <f>BR95</f>
        <v>3.48E-4</v>
      </c>
      <c r="CD51" s="178" t="s">
        <v>322</v>
      </c>
      <c r="CU51" s="258" t="s">
        <v>442</v>
      </c>
      <c r="CV51" s="258" t="s">
        <v>412</v>
      </c>
      <c r="CW51" s="259">
        <v>-6.53</v>
      </c>
      <c r="CX51" s="259">
        <v>1.9300000000000001E-2</v>
      </c>
      <c r="CY51" s="258">
        <v>-338.49</v>
      </c>
      <c r="CZ51" s="258" t="s">
        <v>422</v>
      </c>
      <c r="DA51" s="167">
        <v>2E-16</v>
      </c>
      <c r="DB51" s="81" t="s">
        <v>389</v>
      </c>
      <c r="DC51" s="260" t="s">
        <v>467</v>
      </c>
      <c r="DD51" s="266" t="s">
        <v>496</v>
      </c>
      <c r="DE51" s="261" t="s">
        <v>323</v>
      </c>
      <c r="DF51" s="262">
        <f t="shared" si="16"/>
        <v>0.28100000000000003</v>
      </c>
      <c r="DG51" s="260" t="s">
        <v>322</v>
      </c>
      <c r="DI51" s="170" t="s">
        <v>467</v>
      </c>
      <c r="DJ51" s="297" t="s">
        <v>496</v>
      </c>
      <c r="DK51" s="291" t="s">
        <v>323</v>
      </c>
      <c r="DL51" s="170">
        <f>$O$13*$Z$37*$AP$27</f>
        <v>0.65339000142863013</v>
      </c>
      <c r="DM51" s="170" t="s">
        <v>322</v>
      </c>
    </row>
    <row r="52" spans="2:117" thickTop="1" thickBot="1" x14ac:dyDescent="0.3">
      <c r="BC52" s="81" t="s">
        <v>391</v>
      </c>
      <c r="BD52" s="167">
        <v>293</v>
      </c>
      <c r="BE52" s="167">
        <v>2.9399999999999999E-2</v>
      </c>
      <c r="BF52" s="81">
        <v>9948.2000000000007</v>
      </c>
      <c r="BG52" s="81" t="s">
        <v>422</v>
      </c>
      <c r="BH52" s="167">
        <v>2E-16</v>
      </c>
      <c r="BI52" s="81" t="s">
        <v>389</v>
      </c>
      <c r="BQ52" s="81" t="s">
        <v>392</v>
      </c>
      <c r="BR52" s="167">
        <v>293</v>
      </c>
      <c r="BS52" s="167">
        <v>0.214</v>
      </c>
      <c r="BT52" s="81">
        <v>1373.31</v>
      </c>
      <c r="BU52" s="81" t="s">
        <v>422</v>
      </c>
      <c r="BV52" s="167">
        <v>2E-16</v>
      </c>
      <c r="BW52" s="81" t="s">
        <v>389</v>
      </c>
      <c r="BY52" s="178" t="s">
        <v>319</v>
      </c>
      <c r="BZ52" s="178" t="s">
        <v>320</v>
      </c>
      <c r="CA52" s="178" t="s">
        <v>374</v>
      </c>
      <c r="CB52" s="178" t="s">
        <v>323</v>
      </c>
      <c r="CC52" s="177">
        <f>BR96</f>
        <v>221</v>
      </c>
      <c r="CD52" s="178" t="s">
        <v>322</v>
      </c>
      <c r="CU52" s="258" t="s">
        <v>442</v>
      </c>
      <c r="CV52" s="258" t="s">
        <v>413</v>
      </c>
      <c r="CW52" s="259">
        <v>-6.87</v>
      </c>
      <c r="CX52" s="259">
        <v>1.44E-2</v>
      </c>
      <c r="CY52" s="258">
        <v>-478.52</v>
      </c>
      <c r="CZ52" s="258" t="s">
        <v>422</v>
      </c>
      <c r="DA52" s="167">
        <v>2E-16</v>
      </c>
      <c r="DB52" s="81" t="s">
        <v>389</v>
      </c>
      <c r="DC52" s="260" t="s">
        <v>467</v>
      </c>
      <c r="DD52" s="266" t="s">
        <v>497</v>
      </c>
      <c r="DE52" s="261" t="s">
        <v>323</v>
      </c>
      <c r="DF52" s="262">
        <f t="shared" si="16"/>
        <v>0.11</v>
      </c>
      <c r="DG52" s="260" t="s">
        <v>322</v>
      </c>
      <c r="DI52" s="170" t="s">
        <v>467</v>
      </c>
      <c r="DJ52" s="297" t="s">
        <v>497</v>
      </c>
      <c r="DK52" s="291" t="s">
        <v>323</v>
      </c>
      <c r="DL52" s="170">
        <f>$O$11*$Z$37*$AP$28</f>
        <v>6.6985047106832396E-2</v>
      </c>
      <c r="DM52" s="170" t="s">
        <v>322</v>
      </c>
    </row>
    <row r="53" spans="2:117" thickTop="1" thickBot="1" x14ac:dyDescent="0.3">
      <c r="X53" s="274" t="s">
        <v>517</v>
      </c>
      <c r="Y53" s="275"/>
      <c r="Z53" s="276" t="s">
        <v>21</v>
      </c>
      <c r="AA53" s="277">
        <f>(1/(1/4+SUM(AD55:AD57)+1/4))</f>
        <v>1.2616822429906542</v>
      </c>
      <c r="AB53" s="275" t="s">
        <v>5</v>
      </c>
      <c r="AC53" s="275"/>
      <c r="AD53" s="275" t="s">
        <v>22</v>
      </c>
      <c r="AE53" s="278">
        <f>SUM(AE55:AE59)</f>
        <v>181020.00000000003</v>
      </c>
      <c r="BC53" s="81" t="s">
        <v>392</v>
      </c>
      <c r="BD53" s="167">
        <v>294</v>
      </c>
      <c r="BE53" s="167">
        <v>4.8099999999999997E-2</v>
      </c>
      <c r="BF53" s="81">
        <v>6117.24</v>
      </c>
      <c r="BG53" s="81" t="s">
        <v>422</v>
      </c>
      <c r="BH53" s="167">
        <v>2E-16</v>
      </c>
      <c r="BI53" s="81" t="s">
        <v>389</v>
      </c>
      <c r="BQ53" s="81" t="s">
        <v>394</v>
      </c>
      <c r="BR53" s="167">
        <v>0.46800000000000003</v>
      </c>
      <c r="BS53" s="167">
        <v>1.24E-2</v>
      </c>
      <c r="BT53" s="81">
        <v>37.76</v>
      </c>
      <c r="BU53" s="81" t="s">
        <v>422</v>
      </c>
      <c r="BV53" s="167">
        <v>2E-16</v>
      </c>
      <c r="BW53" s="81" t="s">
        <v>389</v>
      </c>
      <c r="CU53" s="258" t="s">
        <v>442</v>
      </c>
      <c r="CV53" s="258" t="s">
        <v>414</v>
      </c>
      <c r="CW53" s="259">
        <v>-6.88</v>
      </c>
      <c r="CX53" s="259">
        <v>2.4400000000000002E-2</v>
      </c>
      <c r="CY53" s="258">
        <v>-281.45999999999998</v>
      </c>
      <c r="CZ53" s="258" t="s">
        <v>422</v>
      </c>
      <c r="DA53" s="167">
        <v>2E-16</v>
      </c>
      <c r="DB53" s="81" t="s">
        <v>389</v>
      </c>
      <c r="DC53" s="260" t="s">
        <v>467</v>
      </c>
      <c r="DD53" s="266" t="s">
        <v>498</v>
      </c>
      <c r="DE53" s="261" t="s">
        <v>323</v>
      </c>
      <c r="DF53" s="262">
        <f t="shared" si="16"/>
        <v>3.5999999999999998E-16</v>
      </c>
      <c r="DG53" s="260" t="s">
        <v>322</v>
      </c>
      <c r="DI53" s="170" t="s">
        <v>467</v>
      </c>
      <c r="DJ53" s="297" t="s">
        <v>498</v>
      </c>
      <c r="DK53" s="291" t="s">
        <v>323</v>
      </c>
      <c r="DL53" s="170">
        <f>$O$10*$Z$37*$AP$28</f>
        <v>6.5310420929161589E-2</v>
      </c>
      <c r="DM53" s="170" t="s">
        <v>322</v>
      </c>
    </row>
    <row r="54" spans="2:117" thickTop="1" thickBot="1" x14ac:dyDescent="0.3">
      <c r="X54" s="279"/>
      <c r="Y54" s="234" t="s">
        <v>27</v>
      </c>
      <c r="Z54" s="234" t="s">
        <v>28</v>
      </c>
      <c r="AA54" s="234" t="s">
        <v>29</v>
      </c>
      <c r="AB54" s="234" t="s">
        <v>30</v>
      </c>
      <c r="AC54" s="234" t="s">
        <v>31</v>
      </c>
      <c r="AD54" s="234" t="s">
        <v>32</v>
      </c>
      <c r="AE54" s="280" t="s">
        <v>33</v>
      </c>
      <c r="AO54" s="170" t="s">
        <v>376</v>
      </c>
      <c r="AP54" s="170">
        <f>SUM(AP42,AP4:AP7)</f>
        <v>1</v>
      </c>
      <c r="AQ54" s="170"/>
      <c r="BC54" s="81" t="s">
        <v>394</v>
      </c>
      <c r="BD54" s="167">
        <v>0.44900000000000001</v>
      </c>
      <c r="BE54" s="167">
        <v>1.77E-2</v>
      </c>
      <c r="BF54" s="81">
        <v>25.4</v>
      </c>
      <c r="BG54" s="81" t="s">
        <v>422</v>
      </c>
      <c r="BH54" s="167">
        <v>2E-16</v>
      </c>
      <c r="BI54" s="81" t="s">
        <v>389</v>
      </c>
      <c r="BQ54" s="81" t="s">
        <v>395</v>
      </c>
      <c r="BR54" s="167">
        <v>0.14099999999999999</v>
      </c>
      <c r="BS54" s="167">
        <v>2.1800000000000001E-3</v>
      </c>
      <c r="BT54" s="81">
        <v>64.91</v>
      </c>
      <c r="BU54" s="81" t="s">
        <v>422</v>
      </c>
      <c r="BV54" s="167">
        <v>2E-16</v>
      </c>
      <c r="BW54" s="81" t="s">
        <v>389</v>
      </c>
      <c r="CU54" s="258" t="s">
        <v>442</v>
      </c>
      <c r="CV54" s="258" t="s">
        <v>415</v>
      </c>
      <c r="CW54" s="259">
        <v>-6.38</v>
      </c>
      <c r="CX54" s="259">
        <v>1.5699999999999999E-2</v>
      </c>
      <c r="CY54" s="258">
        <v>-404.99</v>
      </c>
      <c r="CZ54" s="258" t="s">
        <v>422</v>
      </c>
      <c r="DA54" s="167">
        <v>2E-16</v>
      </c>
      <c r="DB54" s="81" t="s">
        <v>389</v>
      </c>
      <c r="DC54" s="260" t="s">
        <v>467</v>
      </c>
      <c r="DD54" s="266" t="s">
        <v>499</v>
      </c>
      <c r="DE54" s="261" t="s">
        <v>323</v>
      </c>
      <c r="DF54" s="262">
        <f t="shared" si="16"/>
        <v>0.106</v>
      </c>
      <c r="DG54" s="260" t="s">
        <v>322</v>
      </c>
      <c r="DI54" s="170" t="s">
        <v>467</v>
      </c>
      <c r="DJ54" s="297" t="s">
        <v>499</v>
      </c>
      <c r="DK54" s="291" t="s">
        <v>323</v>
      </c>
      <c r="DL54" s="170">
        <f>$O$12*$Z$37*$AP$28</f>
        <v>7.6195491084021849E-2</v>
      </c>
      <c r="DM54" s="170" t="s">
        <v>322</v>
      </c>
    </row>
    <row r="55" spans="2:117" thickTop="1" thickBot="1" x14ac:dyDescent="0.3">
      <c r="X55" s="281"/>
      <c r="Y55" s="189" t="s">
        <v>90</v>
      </c>
      <c r="Z55" s="189">
        <v>0.02</v>
      </c>
      <c r="AA55" s="189">
        <v>0.6</v>
      </c>
      <c r="AB55" s="189">
        <v>975</v>
      </c>
      <c r="AC55" s="189">
        <v>840</v>
      </c>
      <c r="AD55" s="236">
        <f>Z55/AA55</f>
        <v>3.3333333333333333E-2</v>
      </c>
      <c r="AE55" s="282">
        <f>Z55*AB55*AC55</f>
        <v>16380</v>
      </c>
      <c r="AO55" s="170" t="s">
        <v>376</v>
      </c>
      <c r="AP55" s="170">
        <f>SUM(AP43,AP26:AP28)</f>
        <v>1</v>
      </c>
      <c r="AQ55" s="170"/>
      <c r="BC55" s="81" t="s">
        <v>395</v>
      </c>
      <c r="BD55" s="167">
        <v>0.111</v>
      </c>
      <c r="BE55" s="167">
        <v>1.1199999999999999E-3</v>
      </c>
      <c r="BF55" s="81">
        <v>99.15</v>
      </c>
      <c r="BG55" s="81" t="s">
        <v>422</v>
      </c>
      <c r="BH55" s="167">
        <v>2E-16</v>
      </c>
      <c r="BI55" s="81" t="s">
        <v>389</v>
      </c>
      <c r="BQ55" s="81" t="s">
        <v>396</v>
      </c>
      <c r="BR55" s="167">
        <v>0.108</v>
      </c>
      <c r="BS55" s="167">
        <v>2.07E-2</v>
      </c>
      <c r="BT55" s="81">
        <v>5.23</v>
      </c>
      <c r="BU55" s="167">
        <v>1.8E-7</v>
      </c>
      <c r="BV55" s="81" t="s">
        <v>389</v>
      </c>
      <c r="CU55" s="258" t="s">
        <v>442</v>
      </c>
      <c r="CV55" s="258" t="s">
        <v>416</v>
      </c>
      <c r="CW55" s="259">
        <v>-6.87</v>
      </c>
      <c r="CX55" s="259">
        <v>2.3099999999999999E-2</v>
      </c>
      <c r="CY55" s="258">
        <v>-296.95999999999998</v>
      </c>
      <c r="CZ55" s="258" t="s">
        <v>422</v>
      </c>
      <c r="DA55" s="167">
        <v>2E-16</v>
      </c>
      <c r="DB55" s="81" t="s">
        <v>389</v>
      </c>
      <c r="DC55" s="260" t="s">
        <v>467</v>
      </c>
      <c r="DD55" s="266" t="s">
        <v>500</v>
      </c>
      <c r="DE55" s="261" t="s">
        <v>323</v>
      </c>
      <c r="DF55" s="262">
        <f t="shared" si="16"/>
        <v>0.19800000000000001</v>
      </c>
      <c r="DG55" s="260" t="s">
        <v>322</v>
      </c>
      <c r="DI55" s="170" t="s">
        <v>467</v>
      </c>
      <c r="DJ55" s="297" t="s">
        <v>500</v>
      </c>
      <c r="DK55" s="291" t="s">
        <v>323</v>
      </c>
      <c r="DL55" s="170">
        <f>$O$13*$Z$37*$AP$28</f>
        <v>6.1961168573819968E-2</v>
      </c>
      <c r="DM55" s="170" t="s">
        <v>322</v>
      </c>
    </row>
    <row r="56" spans="2:117" thickTop="1" thickBot="1" x14ac:dyDescent="0.3">
      <c r="X56" s="281"/>
      <c r="Y56" s="199" t="s">
        <v>275</v>
      </c>
      <c r="Z56" s="189">
        <v>0.14000000000000001</v>
      </c>
      <c r="AA56" s="189">
        <v>0.54</v>
      </c>
      <c r="AB56" s="189">
        <v>1400</v>
      </c>
      <c r="AC56" s="199">
        <v>840</v>
      </c>
      <c r="AD56" s="236">
        <f>Z56/AA56</f>
        <v>0.25925925925925924</v>
      </c>
      <c r="AE56" s="190">
        <f>Z56*AB56*AC56</f>
        <v>164640.00000000003</v>
      </c>
      <c r="AO56" s="170" t="s">
        <v>377</v>
      </c>
      <c r="AP56" s="170">
        <f>SUM(AP46,AP14:AP17)</f>
        <v>0.99999999999999989</v>
      </c>
      <c r="AQ56" s="170"/>
      <c r="BC56" s="81" t="s">
        <v>396</v>
      </c>
      <c r="BD56" s="167">
        <v>0.255</v>
      </c>
      <c r="BE56" s="167">
        <v>1.8100000000000002E-2</v>
      </c>
      <c r="BF56" s="81">
        <v>14.05</v>
      </c>
      <c r="BG56" s="81" t="s">
        <v>422</v>
      </c>
      <c r="BH56" s="167">
        <v>2E-16</v>
      </c>
      <c r="BI56" s="81" t="s">
        <v>389</v>
      </c>
      <c r="BQ56" s="81" t="s">
        <v>397</v>
      </c>
      <c r="BR56" s="167">
        <v>0.28299999999999997</v>
      </c>
      <c r="BS56" s="167">
        <v>6.1999999999999998E-3</v>
      </c>
      <c r="BT56" s="81">
        <v>45.61</v>
      </c>
      <c r="BU56" s="81" t="s">
        <v>422</v>
      </c>
      <c r="BV56" s="167">
        <v>2E-16</v>
      </c>
      <c r="BW56" s="81" t="s">
        <v>389</v>
      </c>
      <c r="CU56" s="258" t="s">
        <v>442</v>
      </c>
      <c r="CV56" s="258" t="s">
        <v>417</v>
      </c>
      <c r="CW56" s="259">
        <v>8.2299999999999995E-3</v>
      </c>
      <c r="CX56" s="259">
        <v>6.2399999999999999E-5</v>
      </c>
      <c r="CY56" s="258">
        <v>131.96</v>
      </c>
      <c r="CZ56" s="258" t="s">
        <v>422</v>
      </c>
      <c r="DA56" s="167">
        <v>2E-16</v>
      </c>
      <c r="DB56" s="81" t="s">
        <v>389</v>
      </c>
      <c r="DC56" s="260" t="s">
        <v>467</v>
      </c>
      <c r="DD56" s="266" t="s">
        <v>501</v>
      </c>
      <c r="DE56" s="261" t="s">
        <v>323</v>
      </c>
      <c r="DF56" s="262">
        <f t="shared" si="16"/>
        <v>0.23699999999999999</v>
      </c>
      <c r="DG56" s="260" t="s">
        <v>322</v>
      </c>
      <c r="DI56" s="170" t="s">
        <v>467</v>
      </c>
      <c r="DJ56" s="297" t="s">
        <v>501</v>
      </c>
      <c r="DK56" s="291" t="s">
        <v>323</v>
      </c>
      <c r="DL56" s="170">
        <f>$O$11*$Z$37*$AP$43</f>
        <v>0.37038790753189688</v>
      </c>
      <c r="DM56" s="170" t="s">
        <v>322</v>
      </c>
    </row>
    <row r="57" spans="2:117" thickTop="1" thickBot="1" x14ac:dyDescent="0.3">
      <c r="X57" s="283"/>
      <c r="Y57" s="284" t="s">
        <v>273</v>
      </c>
      <c r="Z57" s="285">
        <v>0</v>
      </c>
      <c r="AA57" s="285">
        <v>3.5999999999999997E-2</v>
      </c>
      <c r="AB57" s="285">
        <v>26</v>
      </c>
      <c r="AC57" s="285">
        <v>1470</v>
      </c>
      <c r="AD57" s="286">
        <f>Z57/AA57</f>
        <v>0</v>
      </c>
      <c r="AE57" s="287">
        <f>Z57*AB57*AC57</f>
        <v>0</v>
      </c>
      <c r="AO57" s="170" t="s">
        <v>377</v>
      </c>
      <c r="AP57" s="170">
        <f>SUM(AP47,AP33:AP35)</f>
        <v>0.99999999999999989</v>
      </c>
      <c r="AQ57" s="170"/>
      <c r="BC57" s="81" t="s">
        <v>397</v>
      </c>
      <c r="BD57" s="167">
        <v>0.19800000000000001</v>
      </c>
      <c r="BE57" s="167">
        <v>3.8500000000000001E-3</v>
      </c>
      <c r="BF57" s="81">
        <v>51.44</v>
      </c>
      <c r="BG57" s="81" t="s">
        <v>422</v>
      </c>
      <c r="BH57" s="167">
        <v>2E-16</v>
      </c>
      <c r="BI57" s="81" t="s">
        <v>389</v>
      </c>
      <c r="BQ57" s="81" t="s">
        <v>308</v>
      </c>
      <c r="BR57" s="167">
        <v>990000000</v>
      </c>
      <c r="BS57" s="167">
        <v>65000000</v>
      </c>
      <c r="BT57" s="81">
        <v>15.24</v>
      </c>
      <c r="BU57" s="81" t="s">
        <v>422</v>
      </c>
      <c r="BV57" s="167">
        <v>2E-16</v>
      </c>
      <c r="BW57" s="81" t="s">
        <v>389</v>
      </c>
      <c r="CU57" s="258" t="s">
        <v>442</v>
      </c>
      <c r="CV57" s="258" t="s">
        <v>418</v>
      </c>
      <c r="CW57" s="259">
        <v>161</v>
      </c>
      <c r="CX57" s="259">
        <v>1.05</v>
      </c>
      <c r="CY57" s="258">
        <v>152.74</v>
      </c>
      <c r="CZ57" s="258" t="s">
        <v>422</v>
      </c>
      <c r="DA57" s="167">
        <v>2E-16</v>
      </c>
      <c r="DB57" s="81" t="s">
        <v>389</v>
      </c>
      <c r="DC57" s="260" t="s">
        <v>467</v>
      </c>
      <c r="DD57" s="266" t="s">
        <v>502</v>
      </c>
      <c r="DE57" s="261" t="s">
        <v>323</v>
      </c>
      <c r="DF57" s="262">
        <f t="shared" si="16"/>
        <v>0.30099999999999999</v>
      </c>
      <c r="DG57" s="260" t="s">
        <v>322</v>
      </c>
      <c r="DI57" s="170" t="s">
        <v>467</v>
      </c>
      <c r="DJ57" s="297" t="s">
        <v>502</v>
      </c>
      <c r="DK57" s="291" t="s">
        <v>323</v>
      </c>
      <c r="DL57" s="170">
        <f>$O$10*$Z$37*$AP$43</f>
        <v>0.36112820984359945</v>
      </c>
      <c r="DM57" s="170" t="s">
        <v>322</v>
      </c>
    </row>
    <row r="58" spans="2:117" thickTop="1" thickBot="1" x14ac:dyDescent="0.3">
      <c r="BC58" s="81" t="s">
        <v>308</v>
      </c>
      <c r="BD58" s="167">
        <v>29000000</v>
      </c>
      <c r="BE58" s="167">
        <v>522000</v>
      </c>
      <c r="BF58" s="81">
        <v>55.58</v>
      </c>
      <c r="BG58" s="81" t="s">
        <v>422</v>
      </c>
      <c r="BH58" s="167">
        <v>2E-16</v>
      </c>
      <c r="BI58" s="81" t="s">
        <v>389</v>
      </c>
      <c r="BQ58" s="81" t="s">
        <v>399</v>
      </c>
      <c r="BR58" s="167">
        <v>752000</v>
      </c>
      <c r="BS58" s="167">
        <v>20000</v>
      </c>
      <c r="BT58" s="81">
        <v>37.6</v>
      </c>
      <c r="BU58" s="81" t="s">
        <v>422</v>
      </c>
      <c r="BV58" s="167">
        <v>2E-16</v>
      </c>
      <c r="BW58" s="81" t="s">
        <v>389</v>
      </c>
      <c r="CU58" s="258" t="s">
        <v>442</v>
      </c>
      <c r="CV58" s="258" t="s">
        <v>419</v>
      </c>
      <c r="CW58" s="259">
        <v>9970</v>
      </c>
      <c r="CX58" s="259">
        <v>133</v>
      </c>
      <c r="CY58" s="258">
        <v>75.09</v>
      </c>
      <c r="CZ58" s="259" t="s">
        <v>422</v>
      </c>
      <c r="DA58" s="167">
        <v>2E-16</v>
      </c>
      <c r="DB58" s="81" t="s">
        <v>389</v>
      </c>
      <c r="DC58" s="260" t="s">
        <v>467</v>
      </c>
      <c r="DD58" s="266" t="s">
        <v>503</v>
      </c>
      <c r="DE58" s="261" t="s">
        <v>323</v>
      </c>
      <c r="DF58" s="262">
        <f t="shared" si="16"/>
        <v>0.245</v>
      </c>
      <c r="DG58" s="260" t="s">
        <v>322</v>
      </c>
      <c r="DI58" s="170" t="s">
        <v>467</v>
      </c>
      <c r="DJ58" s="297" t="s">
        <v>503</v>
      </c>
      <c r="DK58" s="291" t="s">
        <v>323</v>
      </c>
      <c r="DL58" s="170">
        <f>$O$12*$Z$37*$AP$43</f>
        <v>0.4213162448175326</v>
      </c>
      <c r="DM58" s="170" t="s">
        <v>322</v>
      </c>
    </row>
    <row r="59" spans="2:117" thickTop="1" thickBot="1" x14ac:dyDescent="0.3">
      <c r="BC59" s="81" t="s">
        <v>399</v>
      </c>
      <c r="BD59" s="167">
        <v>858000</v>
      </c>
      <c r="BE59" s="167">
        <v>4620</v>
      </c>
      <c r="BF59" s="81">
        <v>185.74</v>
      </c>
      <c r="BG59" s="81" t="s">
        <v>422</v>
      </c>
      <c r="BH59" s="167">
        <v>2E-16</v>
      </c>
      <c r="BI59" s="81" t="s">
        <v>389</v>
      </c>
      <c r="BQ59" s="81" t="s">
        <v>301</v>
      </c>
      <c r="BR59" s="167">
        <v>8650000</v>
      </c>
      <c r="BS59" s="167">
        <v>780000</v>
      </c>
      <c r="BT59" s="81">
        <v>11.09</v>
      </c>
      <c r="BU59" s="81" t="s">
        <v>422</v>
      </c>
      <c r="BV59" s="167">
        <v>2E-16</v>
      </c>
      <c r="BW59" s="81" t="s">
        <v>389</v>
      </c>
      <c r="CU59" s="258" t="s">
        <v>442</v>
      </c>
      <c r="CV59" s="258" t="s">
        <v>420</v>
      </c>
      <c r="CW59" s="259">
        <v>74.3</v>
      </c>
      <c r="CX59" s="259">
        <v>0.74</v>
      </c>
      <c r="CY59" s="258">
        <v>100.5</v>
      </c>
      <c r="CZ59" s="258" t="s">
        <v>422</v>
      </c>
      <c r="DA59" s="167">
        <v>2E-16</v>
      </c>
      <c r="DB59" s="81" t="s">
        <v>389</v>
      </c>
      <c r="DC59" s="260" t="s">
        <v>467</v>
      </c>
      <c r="DD59" s="266" t="s">
        <v>504</v>
      </c>
      <c r="DE59" s="261" t="s">
        <v>323</v>
      </c>
      <c r="DF59" s="262">
        <f t="shared" si="16"/>
        <v>0.11</v>
      </c>
      <c r="DG59" s="260" t="s">
        <v>322</v>
      </c>
      <c r="DI59" s="170" t="s">
        <v>467</v>
      </c>
      <c r="DJ59" s="297" t="s">
        <v>504</v>
      </c>
      <c r="DK59" s="291" t="s">
        <v>323</v>
      </c>
      <c r="DL59" s="170">
        <f>$O$13*$Z$37*$AP$43</f>
        <v>0.34260881446700459</v>
      </c>
      <c r="DM59" s="170" t="s">
        <v>322</v>
      </c>
    </row>
    <row r="60" spans="2:117" thickTop="1" thickBot="1" x14ac:dyDescent="0.3">
      <c r="BC60" s="81" t="s">
        <v>301</v>
      </c>
      <c r="BD60" s="167">
        <v>2990000</v>
      </c>
      <c r="BE60" s="167">
        <v>49000</v>
      </c>
      <c r="BF60" s="81">
        <v>61.12</v>
      </c>
      <c r="BG60" s="81" t="s">
        <v>422</v>
      </c>
      <c r="BH60" s="167">
        <v>2E-16</v>
      </c>
      <c r="BI60" s="81" t="s">
        <v>389</v>
      </c>
      <c r="BQ60" s="81" t="s">
        <v>303</v>
      </c>
      <c r="BR60" s="167">
        <v>17100000</v>
      </c>
      <c r="BS60" s="167">
        <v>4790000</v>
      </c>
      <c r="BT60" s="81">
        <v>3.56</v>
      </c>
      <c r="BU60" s="81">
        <v>3.6999999999999999E-4</v>
      </c>
      <c r="BV60" s="81" t="s">
        <v>389</v>
      </c>
      <c r="DD60" s="266"/>
      <c r="DE60" s="261"/>
      <c r="DF60" s="262"/>
      <c r="DI60" s="170"/>
      <c r="DJ60" s="297"/>
      <c r="DK60" s="291"/>
      <c r="DL60" s="170"/>
      <c r="DM60" s="170"/>
    </row>
    <row r="61" spans="2:117" thickTop="1" thickBot="1" x14ac:dyDescent="0.3">
      <c r="BC61" s="81" t="s">
        <v>303</v>
      </c>
      <c r="BD61" s="167">
        <v>5280000</v>
      </c>
      <c r="BE61" s="167">
        <v>21200</v>
      </c>
      <c r="BF61" s="81">
        <v>249</v>
      </c>
      <c r="BG61" s="81" t="s">
        <v>422</v>
      </c>
      <c r="BH61" s="167">
        <v>2E-16</v>
      </c>
      <c r="BI61" s="81" t="s">
        <v>389</v>
      </c>
      <c r="BQ61" s="81" t="s">
        <v>400</v>
      </c>
      <c r="BR61" s="167">
        <v>-20.100000000000001</v>
      </c>
      <c r="BS61" s="167">
        <v>467</v>
      </c>
      <c r="BT61" s="81">
        <v>-0.04</v>
      </c>
      <c r="BU61" s="81">
        <v>0.96562999999999999</v>
      </c>
      <c r="CU61" s="258" t="s">
        <v>442</v>
      </c>
      <c r="CV61" s="258" t="s">
        <v>433</v>
      </c>
      <c r="CW61" s="258" t="s">
        <v>460</v>
      </c>
      <c r="DC61" s="260" t="s">
        <v>467</v>
      </c>
      <c r="DD61" s="266" t="s">
        <v>344</v>
      </c>
      <c r="DE61" s="261" t="s">
        <v>323</v>
      </c>
      <c r="DF61" s="262">
        <f>CW85</f>
        <v>1510000</v>
      </c>
      <c r="DG61" s="260" t="s">
        <v>322</v>
      </c>
      <c r="DI61" s="170" t="s">
        <v>467</v>
      </c>
      <c r="DJ61" s="297" t="s">
        <v>344</v>
      </c>
      <c r="DK61" s="291" t="s">
        <v>323</v>
      </c>
      <c r="DL61" s="295">
        <f>$AP30</f>
        <v>913552.64000000025</v>
      </c>
      <c r="DM61" s="170" t="s">
        <v>322</v>
      </c>
    </row>
    <row r="62" spans="2:117" thickTop="1" thickBot="1" x14ac:dyDescent="0.3">
      <c r="BC62" s="81" t="s">
        <v>400</v>
      </c>
      <c r="BD62" s="167">
        <v>-24.7</v>
      </c>
      <c r="BE62" s="167">
        <v>0.50900000000000001</v>
      </c>
      <c r="BF62" s="81">
        <v>-48.59</v>
      </c>
      <c r="BG62" s="81" t="s">
        <v>422</v>
      </c>
      <c r="BH62" s="167">
        <v>2E-16</v>
      </c>
      <c r="BI62" s="81" t="s">
        <v>389</v>
      </c>
      <c r="BQ62" s="81" t="s">
        <v>401</v>
      </c>
      <c r="BR62" s="167">
        <v>-13.2</v>
      </c>
      <c r="BS62" s="167">
        <v>543</v>
      </c>
      <c r="BT62" s="81">
        <v>-0.02</v>
      </c>
      <c r="BU62" s="81">
        <v>0.98057000000000005</v>
      </c>
      <c r="CU62" s="258" t="s">
        <v>442</v>
      </c>
      <c r="CV62" s="258" t="s">
        <v>380</v>
      </c>
      <c r="DC62" s="260" t="s">
        <v>467</v>
      </c>
      <c r="DD62" s="266" t="s">
        <v>345</v>
      </c>
      <c r="DE62" s="261" t="s">
        <v>323</v>
      </c>
      <c r="DF62" s="262">
        <f>CW86</f>
        <v>7590000</v>
      </c>
      <c r="DG62" s="260" t="s">
        <v>322</v>
      </c>
      <c r="DI62" s="170" t="s">
        <v>467</v>
      </c>
      <c r="DJ62" s="297" t="s">
        <v>345</v>
      </c>
      <c r="DK62" s="291" t="s">
        <v>323</v>
      </c>
      <c r="DL62" s="295">
        <f>$AP31</f>
        <v>14269622.41878036</v>
      </c>
      <c r="DM62" s="170" t="s">
        <v>322</v>
      </c>
    </row>
    <row r="63" spans="2:117" thickTop="1" thickBot="1" x14ac:dyDescent="0.3">
      <c r="BC63" s="81" t="s">
        <v>401</v>
      </c>
      <c r="BD63" s="167">
        <v>-11.8</v>
      </c>
      <c r="BE63" s="167">
        <v>10.6</v>
      </c>
      <c r="BF63" s="81">
        <v>-1.1200000000000001</v>
      </c>
      <c r="BG63" s="81">
        <v>0.26</v>
      </c>
      <c r="BQ63" s="81" t="s">
        <v>402</v>
      </c>
      <c r="BR63" s="167">
        <v>-13.4</v>
      </c>
      <c r="BS63" s="167">
        <v>316</v>
      </c>
      <c r="BT63" s="81">
        <v>-0.04</v>
      </c>
      <c r="BU63" s="81">
        <v>0.96606999999999998</v>
      </c>
      <c r="CU63" s="258" t="s">
        <v>442</v>
      </c>
      <c r="CV63" s="258" t="s">
        <v>381</v>
      </c>
      <c r="CW63" s="258" t="s">
        <v>382</v>
      </c>
      <c r="CX63" s="258" t="s">
        <v>383</v>
      </c>
      <c r="CY63" s="258" t="s">
        <v>384</v>
      </c>
      <c r="CZ63" s="258" t="s">
        <v>385</v>
      </c>
      <c r="DA63" s="81" t="s">
        <v>386</v>
      </c>
      <c r="DC63" s="260" t="s">
        <v>467</v>
      </c>
      <c r="DD63" s="266" t="s">
        <v>346</v>
      </c>
      <c r="DE63" s="261" t="s">
        <v>323</v>
      </c>
      <c r="DF63" s="262">
        <f>CW87</f>
        <v>13100000</v>
      </c>
      <c r="DG63" s="260" t="s">
        <v>322</v>
      </c>
      <c r="DI63" s="170" t="s">
        <v>467</v>
      </c>
      <c r="DJ63" s="297" t="s">
        <v>346</v>
      </c>
      <c r="DK63" s="291" t="s">
        <v>323</v>
      </c>
      <c r="DL63" s="295">
        <f>$AP32</f>
        <v>13622794.516999464</v>
      </c>
      <c r="DM63" s="170" t="s">
        <v>322</v>
      </c>
    </row>
    <row r="64" spans="2:117" thickTop="1" thickBot="1" x14ac:dyDescent="0.3">
      <c r="BC64" s="81" t="s">
        <v>402</v>
      </c>
      <c r="BD64" s="167">
        <v>-18.3</v>
      </c>
      <c r="BE64" s="167">
        <v>2.2400000000000002</v>
      </c>
      <c r="BF64" s="81">
        <v>-8.19</v>
      </c>
      <c r="BG64" s="167">
        <v>4.4E-16</v>
      </c>
      <c r="BH64" s="81" t="s">
        <v>389</v>
      </c>
      <c r="BQ64" s="81" t="s">
        <v>403</v>
      </c>
      <c r="BR64" s="167">
        <v>-14.3</v>
      </c>
      <c r="BS64" s="167">
        <v>664</v>
      </c>
      <c r="BT64" s="81">
        <v>-0.02</v>
      </c>
      <c r="BU64" s="81">
        <v>0.98280999999999996</v>
      </c>
      <c r="CU64" s="258" t="s">
        <v>442</v>
      </c>
      <c r="CV64" s="258" t="s">
        <v>387</v>
      </c>
      <c r="CW64" s="259">
        <v>292</v>
      </c>
      <c r="CX64" s="259">
        <v>2.5899999999999999E-2</v>
      </c>
      <c r="CY64" s="258">
        <v>11255.67</v>
      </c>
      <c r="CZ64" s="258" t="s">
        <v>422</v>
      </c>
      <c r="DA64" s="167">
        <v>2E-16</v>
      </c>
      <c r="DB64" s="81" t="s">
        <v>389</v>
      </c>
      <c r="DE64" s="261"/>
      <c r="DI64" s="170"/>
      <c r="DJ64" s="170"/>
      <c r="DK64" s="291"/>
      <c r="DL64" s="170"/>
      <c r="DM64" s="170"/>
    </row>
    <row r="65" spans="55:117" thickTop="1" thickBot="1" x14ac:dyDescent="0.3">
      <c r="BC65" s="81" t="s">
        <v>403</v>
      </c>
      <c r="BD65" s="167">
        <v>-16.100000000000001</v>
      </c>
      <c r="BE65" s="167">
        <v>1.95</v>
      </c>
      <c r="BF65" s="81">
        <v>-8.25</v>
      </c>
      <c r="BG65" s="167">
        <v>2.2E-16</v>
      </c>
      <c r="BH65" s="81" t="s">
        <v>389</v>
      </c>
      <c r="BQ65" s="81" t="s">
        <v>405</v>
      </c>
      <c r="BR65" s="167">
        <v>0.23</v>
      </c>
      <c r="BS65" s="167">
        <v>2.3800000000000002E-3</v>
      </c>
      <c r="BT65" s="81">
        <v>96.68</v>
      </c>
      <c r="BU65" s="81" t="s">
        <v>422</v>
      </c>
      <c r="BV65" s="167">
        <v>2E-16</v>
      </c>
      <c r="BW65" s="81" t="s">
        <v>389</v>
      </c>
      <c r="CU65" s="258" t="s">
        <v>442</v>
      </c>
      <c r="CV65" s="258" t="s">
        <v>390</v>
      </c>
      <c r="CW65" s="259">
        <v>288</v>
      </c>
      <c r="CX65" s="259">
        <v>5.2200000000000003E-2</v>
      </c>
      <c r="CY65" s="258">
        <v>5522.81</v>
      </c>
      <c r="CZ65" s="258" t="s">
        <v>422</v>
      </c>
      <c r="DA65" s="167">
        <v>2E-16</v>
      </c>
      <c r="DB65" s="81" t="s">
        <v>389</v>
      </c>
      <c r="DC65" s="260" t="s">
        <v>467</v>
      </c>
      <c r="DD65" s="266" t="s">
        <v>347</v>
      </c>
      <c r="DE65" s="261" t="s">
        <v>323</v>
      </c>
      <c r="DF65" s="262">
        <f>CW92</f>
        <v>0.13</v>
      </c>
      <c r="DG65" s="260" t="s">
        <v>322</v>
      </c>
      <c r="DI65" s="170" t="s">
        <v>467</v>
      </c>
      <c r="DJ65" s="297" t="s">
        <v>347</v>
      </c>
      <c r="DK65" s="291" t="s">
        <v>323</v>
      </c>
      <c r="DL65" s="170">
        <f>$AP33</f>
        <v>0.11748821429509115</v>
      </c>
      <c r="DM65" s="170" t="s">
        <v>322</v>
      </c>
    </row>
    <row r="66" spans="55:117" thickTop="1" thickBot="1" x14ac:dyDescent="0.3">
      <c r="BC66" s="81" t="s">
        <v>405</v>
      </c>
      <c r="BD66" s="167">
        <v>0.38</v>
      </c>
      <c r="BE66" s="167">
        <v>5.0499999999999998E-3</v>
      </c>
      <c r="BF66" s="81">
        <v>75.36</v>
      </c>
      <c r="BG66" s="81" t="s">
        <v>422</v>
      </c>
      <c r="BH66" s="167">
        <v>2E-16</v>
      </c>
      <c r="BI66" s="81" t="s">
        <v>389</v>
      </c>
      <c r="BQ66" s="81" t="s">
        <v>406</v>
      </c>
      <c r="BR66" s="167">
        <v>4.8599999999999997E-2</v>
      </c>
      <c r="BS66" s="167">
        <v>4.2499999999999998E-4</v>
      </c>
      <c r="BT66" s="81">
        <v>114.51</v>
      </c>
      <c r="BU66" s="81" t="s">
        <v>422</v>
      </c>
      <c r="BV66" s="167">
        <v>2E-16</v>
      </c>
      <c r="BW66" s="81" t="s">
        <v>389</v>
      </c>
      <c r="CU66" s="258" t="s">
        <v>442</v>
      </c>
      <c r="CV66" s="258" t="s">
        <v>391</v>
      </c>
      <c r="CW66" s="259">
        <v>292</v>
      </c>
      <c r="CX66" s="259">
        <v>3.6200000000000003E-2</v>
      </c>
      <c r="CY66" s="258">
        <v>8054.03</v>
      </c>
      <c r="CZ66" s="258" t="s">
        <v>422</v>
      </c>
      <c r="DA66" s="167">
        <v>2E-16</v>
      </c>
      <c r="DB66" s="81" t="s">
        <v>389</v>
      </c>
      <c r="DC66" s="260" t="s">
        <v>467</v>
      </c>
      <c r="DD66" s="266" t="s">
        <v>348</v>
      </c>
      <c r="DE66" s="261" t="s">
        <v>323</v>
      </c>
      <c r="DF66" s="262">
        <f>CW93</f>
        <v>0.107</v>
      </c>
      <c r="DG66" s="260" t="s">
        <v>322</v>
      </c>
      <c r="DI66" s="170" t="s">
        <v>467</v>
      </c>
      <c r="DJ66" s="297" t="s">
        <v>348</v>
      </c>
      <c r="DK66" s="291" t="s">
        <v>323</v>
      </c>
      <c r="DL66" s="170">
        <f>$AP34</f>
        <v>0.11271822911362221</v>
      </c>
      <c r="DM66" s="170" t="s">
        <v>322</v>
      </c>
    </row>
    <row r="67" spans="55:117" thickTop="1" thickBot="1" x14ac:dyDescent="0.3">
      <c r="BC67" s="81" t="s">
        <v>406</v>
      </c>
      <c r="BD67" s="167">
        <v>7.2800000000000004E-2</v>
      </c>
      <c r="BE67" s="167">
        <v>4.1599999999999997E-4</v>
      </c>
      <c r="BF67" s="81">
        <v>175.16</v>
      </c>
      <c r="BG67" s="81" t="s">
        <v>422</v>
      </c>
      <c r="BH67" s="167">
        <v>2E-16</v>
      </c>
      <c r="BI67" s="81" t="s">
        <v>389</v>
      </c>
      <c r="BQ67" s="81" t="s">
        <v>407</v>
      </c>
      <c r="BR67" s="167">
        <v>0.63200000000000001</v>
      </c>
      <c r="BS67" s="167">
        <v>1.03E-2</v>
      </c>
      <c r="BT67" s="81">
        <v>61.45</v>
      </c>
      <c r="BU67" s="81" t="s">
        <v>422</v>
      </c>
      <c r="BV67" s="167">
        <v>2E-16</v>
      </c>
      <c r="BW67" s="81" t="s">
        <v>389</v>
      </c>
      <c r="CU67" s="258" t="s">
        <v>442</v>
      </c>
      <c r="CV67" s="258" t="s">
        <v>392</v>
      </c>
      <c r="CW67" s="259">
        <v>297</v>
      </c>
      <c r="CX67" s="259">
        <v>8.6599999999999996E-2</v>
      </c>
      <c r="CY67" s="258">
        <v>3425.95</v>
      </c>
      <c r="CZ67" s="258" t="s">
        <v>422</v>
      </c>
      <c r="DA67" s="167">
        <v>2E-16</v>
      </c>
      <c r="DB67" s="81" t="s">
        <v>389</v>
      </c>
      <c r="DC67" s="260" t="s">
        <v>467</v>
      </c>
      <c r="DD67" s="266" t="s">
        <v>350</v>
      </c>
      <c r="DE67" s="261" t="s">
        <v>323</v>
      </c>
      <c r="DF67" s="262">
        <f>CW94</f>
        <v>0.69199999999999995</v>
      </c>
      <c r="DG67" s="260" t="s">
        <v>322</v>
      </c>
      <c r="DI67" s="170" t="s">
        <v>467</v>
      </c>
      <c r="DJ67" s="297" t="s">
        <v>350</v>
      </c>
      <c r="DK67" s="291" t="s">
        <v>323</v>
      </c>
      <c r="DL67" s="170">
        <f>$AP35</f>
        <v>0.71068910326172852</v>
      </c>
      <c r="DM67" s="170" t="s">
        <v>322</v>
      </c>
    </row>
    <row r="68" spans="55:117" thickTop="1" thickBot="1" x14ac:dyDescent="0.3">
      <c r="BC68" s="81" t="s">
        <v>407</v>
      </c>
      <c r="BD68" s="167">
        <v>0.41799999999999998</v>
      </c>
      <c r="BE68" s="167">
        <v>5.2300000000000003E-3</v>
      </c>
      <c r="BF68" s="81">
        <v>79.87</v>
      </c>
      <c r="BG68" s="81" t="s">
        <v>422</v>
      </c>
      <c r="BH68" s="167">
        <v>2E-16</v>
      </c>
      <c r="BI68" s="81" t="s">
        <v>389</v>
      </c>
      <c r="BQ68" s="81" t="s">
        <v>408</v>
      </c>
      <c r="BR68" s="167">
        <v>7.3200000000000001E-2</v>
      </c>
      <c r="BS68" s="167">
        <v>1.1100000000000001E-3</v>
      </c>
      <c r="BT68" s="81">
        <v>65.86</v>
      </c>
      <c r="BU68" s="81" t="s">
        <v>422</v>
      </c>
      <c r="BV68" s="167">
        <v>2E-16</v>
      </c>
      <c r="BW68" s="81" t="s">
        <v>389</v>
      </c>
      <c r="CU68" s="258" t="s">
        <v>442</v>
      </c>
      <c r="CV68" s="258" t="s">
        <v>444</v>
      </c>
      <c r="CW68" s="259">
        <v>0.16600000000000001</v>
      </c>
      <c r="CX68" s="259">
        <v>2.8299999999999999E-2</v>
      </c>
      <c r="CY68" s="258">
        <v>5.85</v>
      </c>
      <c r="CZ68" s="259">
        <v>5.0000000000000001E-9</v>
      </c>
      <c r="DA68" s="81" t="s">
        <v>389</v>
      </c>
      <c r="DC68" s="260" t="s">
        <v>467</v>
      </c>
      <c r="DD68" s="266" t="s">
        <v>429</v>
      </c>
      <c r="DE68" s="261" t="s">
        <v>323</v>
      </c>
      <c r="DF68" s="262">
        <f>CW95</f>
        <v>5.91E-2</v>
      </c>
      <c r="DG68" s="260" t="s">
        <v>322</v>
      </c>
      <c r="DI68" s="170" t="s">
        <v>467</v>
      </c>
      <c r="DJ68" s="297" t="s">
        <v>429</v>
      </c>
      <c r="DK68" s="291" t="s">
        <v>323</v>
      </c>
      <c r="DL68" s="170">
        <f>$AP47</f>
        <v>5.9104453329558007E-2</v>
      </c>
      <c r="DM68" s="170" t="s">
        <v>322</v>
      </c>
    </row>
    <row r="69" spans="55:117" thickTop="1" thickBot="1" x14ac:dyDescent="0.3">
      <c r="BC69" s="81" t="s">
        <v>408</v>
      </c>
      <c r="BD69" s="167">
        <v>0.126</v>
      </c>
      <c r="BE69" s="167">
        <v>1.1999999999999999E-3</v>
      </c>
      <c r="BF69" s="81">
        <v>104.99</v>
      </c>
      <c r="BG69" s="81" t="s">
        <v>422</v>
      </c>
      <c r="BH69" s="167">
        <v>2E-16</v>
      </c>
      <c r="BI69" s="81" t="s">
        <v>389</v>
      </c>
      <c r="BQ69" s="81" t="s">
        <v>410</v>
      </c>
      <c r="BR69" s="167">
        <v>219</v>
      </c>
      <c r="BS69" s="167">
        <v>4.1900000000000004</v>
      </c>
      <c r="BT69" s="81">
        <v>52.26</v>
      </c>
      <c r="BU69" s="81" t="s">
        <v>422</v>
      </c>
      <c r="BV69" s="167">
        <v>2E-16</v>
      </c>
      <c r="BW69" s="81" t="s">
        <v>389</v>
      </c>
      <c r="CU69" s="258" t="s">
        <v>442</v>
      </c>
      <c r="CV69" s="258" t="s">
        <v>341</v>
      </c>
      <c r="CW69" s="259">
        <v>0.41399999999999998</v>
      </c>
      <c r="CX69" s="259">
        <v>5.62E-2</v>
      </c>
      <c r="CY69" s="258">
        <v>7.37</v>
      </c>
      <c r="CZ69" s="259">
        <v>1.7999999999999999E-13</v>
      </c>
      <c r="DA69" s="81" t="s">
        <v>389</v>
      </c>
      <c r="DE69" s="261"/>
      <c r="DI69" s="170"/>
      <c r="DJ69" s="170"/>
      <c r="DK69" s="291"/>
      <c r="DL69" s="170"/>
      <c r="DM69" s="170"/>
    </row>
    <row r="70" spans="55:117" thickTop="1" thickBot="1" x14ac:dyDescent="0.3">
      <c r="BC70" s="81" t="s">
        <v>410</v>
      </c>
      <c r="BD70" s="167">
        <v>568</v>
      </c>
      <c r="BE70" s="167">
        <v>16.100000000000001</v>
      </c>
      <c r="BF70" s="81">
        <v>35.270000000000003</v>
      </c>
      <c r="BG70" s="81" t="s">
        <v>422</v>
      </c>
      <c r="BH70" s="167">
        <v>2E-16</v>
      </c>
      <c r="BI70" s="81" t="s">
        <v>389</v>
      </c>
      <c r="BQ70" s="81" t="s">
        <v>295</v>
      </c>
      <c r="BR70" s="167">
        <v>85.9</v>
      </c>
      <c r="BS70" s="167">
        <v>0.65300000000000002</v>
      </c>
      <c r="BT70" s="81">
        <v>131.52000000000001</v>
      </c>
      <c r="BU70" s="81" t="s">
        <v>422</v>
      </c>
      <c r="BV70" s="167">
        <v>2E-16</v>
      </c>
      <c r="BW70" s="81" t="s">
        <v>389</v>
      </c>
      <c r="CU70" s="258" t="s">
        <v>442</v>
      </c>
      <c r="CV70" s="258" t="s">
        <v>445</v>
      </c>
      <c r="CW70" s="259">
        <v>0.49399999999999999</v>
      </c>
      <c r="CX70" s="259">
        <v>1.54E-2</v>
      </c>
      <c r="CY70" s="258">
        <v>32.15</v>
      </c>
      <c r="CZ70" s="258" t="s">
        <v>422</v>
      </c>
      <c r="DA70" s="167">
        <v>2E-16</v>
      </c>
      <c r="DB70" s="81" t="s">
        <v>389</v>
      </c>
      <c r="DC70" s="260" t="s">
        <v>467</v>
      </c>
      <c r="DD70" s="266" t="s">
        <v>352</v>
      </c>
      <c r="DE70" s="261" t="s">
        <v>323</v>
      </c>
      <c r="DF70" s="262">
        <f>CW96</f>
        <v>257</v>
      </c>
      <c r="DG70" s="260" t="s">
        <v>322</v>
      </c>
      <c r="DI70" s="170" t="s">
        <v>467</v>
      </c>
      <c r="DJ70" s="297" t="s">
        <v>352</v>
      </c>
      <c r="DK70" s="291" t="s">
        <v>323</v>
      </c>
      <c r="DL70" s="170">
        <f>$AP37</f>
        <v>235.19530169499382</v>
      </c>
      <c r="DM70" s="170" t="s">
        <v>322</v>
      </c>
    </row>
    <row r="71" spans="55:117" thickTop="1" thickBot="1" x14ac:dyDescent="0.3">
      <c r="BC71" s="81" t="s">
        <v>295</v>
      </c>
      <c r="BD71" s="167">
        <v>238</v>
      </c>
      <c r="BE71" s="167">
        <v>1.01</v>
      </c>
      <c r="BF71" s="81">
        <v>236.64</v>
      </c>
      <c r="BG71" s="81" t="s">
        <v>422</v>
      </c>
      <c r="BH71" s="167">
        <v>2E-16</v>
      </c>
      <c r="BI71" s="81" t="s">
        <v>389</v>
      </c>
      <c r="BQ71" s="81" t="s">
        <v>120</v>
      </c>
      <c r="BR71" s="167">
        <v>49.4</v>
      </c>
      <c r="BS71" s="167">
        <v>1.8</v>
      </c>
      <c r="BT71" s="81">
        <v>27.51</v>
      </c>
      <c r="BU71" s="81" t="s">
        <v>422</v>
      </c>
      <c r="BV71" s="167">
        <v>2E-16</v>
      </c>
      <c r="BW71" s="81" t="s">
        <v>389</v>
      </c>
      <c r="CU71" s="258" t="s">
        <v>442</v>
      </c>
      <c r="CV71" s="258" t="s">
        <v>446</v>
      </c>
      <c r="CW71" s="259">
        <v>0.436</v>
      </c>
      <c r="CX71" s="259">
        <v>1.15E-2</v>
      </c>
      <c r="CY71" s="258">
        <v>37.909999999999997</v>
      </c>
      <c r="CZ71" s="258" t="s">
        <v>422</v>
      </c>
      <c r="DA71" s="167">
        <v>2E-16</v>
      </c>
      <c r="DB71" s="81" t="s">
        <v>389</v>
      </c>
      <c r="DC71" s="260" t="s">
        <v>467</v>
      </c>
      <c r="DD71" s="266" t="s">
        <v>354</v>
      </c>
      <c r="DE71" s="261" t="s">
        <v>323</v>
      </c>
      <c r="DF71" s="262">
        <f>CW97</f>
        <v>263</v>
      </c>
      <c r="DG71" s="260" t="s">
        <v>322</v>
      </c>
      <c r="DI71" s="170" t="s">
        <v>467</v>
      </c>
      <c r="DJ71" s="297" t="s">
        <v>354</v>
      </c>
      <c r="DK71" s="291" t="s">
        <v>323</v>
      </c>
      <c r="DL71" s="170">
        <f>$AP38</f>
        <v>167.11212214346392</v>
      </c>
      <c r="DM71" s="170" t="s">
        <v>322</v>
      </c>
    </row>
    <row r="72" spans="55:117" thickTop="1" thickBot="1" x14ac:dyDescent="0.3">
      <c r="BC72" s="81" t="s">
        <v>120</v>
      </c>
      <c r="BD72" s="167">
        <v>58</v>
      </c>
      <c r="BE72" s="167">
        <v>0.107</v>
      </c>
      <c r="BF72" s="81">
        <v>543.78</v>
      </c>
      <c r="BG72" s="81" t="s">
        <v>422</v>
      </c>
      <c r="BH72" s="167">
        <v>2E-16</v>
      </c>
      <c r="BI72" s="81" t="s">
        <v>389</v>
      </c>
      <c r="BQ72" s="81" t="s">
        <v>412</v>
      </c>
      <c r="BR72" s="167">
        <v>-4.6100000000000003</v>
      </c>
      <c r="BS72" s="167">
        <v>2.1399999999999999E-2</v>
      </c>
      <c r="BT72" s="81">
        <v>-215.25</v>
      </c>
      <c r="BU72" s="81" t="s">
        <v>422</v>
      </c>
      <c r="BV72" s="167">
        <v>2E-16</v>
      </c>
      <c r="BW72" s="81" t="s">
        <v>389</v>
      </c>
      <c r="CU72" s="258" t="s">
        <v>442</v>
      </c>
      <c r="CV72" s="258" t="s">
        <v>447</v>
      </c>
      <c r="CW72" s="259">
        <v>0.53500000000000003</v>
      </c>
      <c r="CX72" s="259">
        <v>2.4299999999999999E-2</v>
      </c>
      <c r="CY72" s="258">
        <v>22.03</v>
      </c>
      <c r="CZ72" s="258" t="s">
        <v>422</v>
      </c>
      <c r="DA72" s="167">
        <v>2E-16</v>
      </c>
      <c r="DB72" s="81" t="s">
        <v>389</v>
      </c>
      <c r="DC72" s="260" t="s">
        <v>467</v>
      </c>
      <c r="DD72" s="266" t="s">
        <v>355</v>
      </c>
      <c r="DE72" s="261" t="s">
        <v>323</v>
      </c>
      <c r="DF72" s="262">
        <f>CW98</f>
        <v>38</v>
      </c>
      <c r="DG72" s="260" t="s">
        <v>322</v>
      </c>
      <c r="DI72" s="170" t="s">
        <v>467</v>
      </c>
      <c r="DJ72" s="297" t="s">
        <v>355</v>
      </c>
      <c r="DK72" s="291" t="s">
        <v>323</v>
      </c>
      <c r="DL72" s="296">
        <f>$AP39</f>
        <v>48.545035604395608</v>
      </c>
      <c r="DM72" s="170" t="s">
        <v>322</v>
      </c>
    </row>
    <row r="73" spans="55:117" thickTop="1" thickBot="1" x14ac:dyDescent="0.3">
      <c r="BC73" s="81" t="s">
        <v>412</v>
      </c>
      <c r="BD73" s="167">
        <v>-15.3</v>
      </c>
      <c r="BE73" s="167">
        <v>0.30099999999999999</v>
      </c>
      <c r="BF73" s="81">
        <v>-50.74</v>
      </c>
      <c r="BG73" s="81" t="s">
        <v>422</v>
      </c>
      <c r="BH73" s="167">
        <v>2E-16</v>
      </c>
      <c r="BI73" s="81" t="s">
        <v>389</v>
      </c>
      <c r="BQ73" s="81" t="s">
        <v>413</v>
      </c>
      <c r="BR73" s="167">
        <v>-4.8499999999999996</v>
      </c>
      <c r="BS73" s="167">
        <v>2.2599999999999999E-2</v>
      </c>
      <c r="BT73" s="81">
        <v>-214.32</v>
      </c>
      <c r="BU73" s="81" t="s">
        <v>422</v>
      </c>
      <c r="BV73" s="167">
        <v>2E-16</v>
      </c>
      <c r="BW73" s="81" t="s">
        <v>389</v>
      </c>
      <c r="CU73" s="258" t="s">
        <v>442</v>
      </c>
      <c r="CV73" s="258" t="s">
        <v>342</v>
      </c>
      <c r="CW73" s="259">
        <v>0.252</v>
      </c>
      <c r="CX73" s="259">
        <v>5.1299999999999998E-2</v>
      </c>
      <c r="CY73" s="258">
        <v>4.9000000000000004</v>
      </c>
      <c r="CZ73" s="259">
        <v>9.5999999999999991E-7</v>
      </c>
      <c r="DA73" s="81" t="s">
        <v>389</v>
      </c>
      <c r="DC73" s="260" t="s">
        <v>467</v>
      </c>
      <c r="DD73" s="266" t="s">
        <v>357</v>
      </c>
      <c r="DE73" s="261" t="s">
        <v>323</v>
      </c>
      <c r="DF73" s="262">
        <f>1/CW103</f>
        <v>176.99115044247787</v>
      </c>
      <c r="DG73" s="260" t="s">
        <v>322</v>
      </c>
      <c r="DI73" s="170" t="s">
        <v>467</v>
      </c>
      <c r="DJ73" s="297" t="s">
        <v>357</v>
      </c>
      <c r="DK73" s="291" t="s">
        <v>323</v>
      </c>
      <c r="DL73" s="170">
        <f>$AP40</f>
        <v>154.75919550168621</v>
      </c>
      <c r="DM73" s="170" t="s">
        <v>322</v>
      </c>
    </row>
    <row r="74" spans="55:117" thickTop="1" thickBot="1" x14ac:dyDescent="0.3">
      <c r="BC74" s="81" t="s">
        <v>413</v>
      </c>
      <c r="BD74" s="167">
        <v>-5.4</v>
      </c>
      <c r="BE74" s="167">
        <v>2.6700000000000002E-2</v>
      </c>
      <c r="BF74" s="81">
        <v>-202.07</v>
      </c>
      <c r="BG74" s="81" t="s">
        <v>422</v>
      </c>
      <c r="BH74" s="167">
        <v>2E-16</v>
      </c>
      <c r="BI74" s="81" t="s">
        <v>389</v>
      </c>
      <c r="BQ74" s="81" t="s">
        <v>414</v>
      </c>
      <c r="BR74" s="167">
        <v>-5.68</v>
      </c>
      <c r="BS74" s="167">
        <v>2.2200000000000001E-2</v>
      </c>
      <c r="BT74" s="81">
        <v>-255.8</v>
      </c>
      <c r="BU74" s="81" t="s">
        <v>422</v>
      </c>
      <c r="BV74" s="167">
        <v>2E-16</v>
      </c>
      <c r="BW74" s="81" t="s">
        <v>389</v>
      </c>
      <c r="CU74" s="258" t="s">
        <v>442</v>
      </c>
      <c r="CV74" s="258" t="s">
        <v>448</v>
      </c>
      <c r="CW74" s="259">
        <v>0.55700000000000005</v>
      </c>
      <c r="CX74" s="259">
        <v>1.3100000000000001E-2</v>
      </c>
      <c r="CY74" s="258">
        <v>42.52</v>
      </c>
      <c r="CZ74" s="258" t="s">
        <v>422</v>
      </c>
      <c r="DA74" s="167">
        <v>2E-16</v>
      </c>
      <c r="DB74" s="81" t="s">
        <v>389</v>
      </c>
      <c r="DE74" s="261"/>
      <c r="DI74" s="170"/>
      <c r="DJ74" s="170"/>
      <c r="DK74" s="291"/>
      <c r="DL74" s="170"/>
      <c r="DM74" s="170"/>
    </row>
    <row r="75" spans="55:117" thickTop="1" thickBot="1" x14ac:dyDescent="0.3">
      <c r="BC75" s="81" t="s">
        <v>414</v>
      </c>
      <c r="BD75" s="167">
        <v>-7.38</v>
      </c>
      <c r="BE75" s="167">
        <v>2.1499999999999998E-2</v>
      </c>
      <c r="BF75" s="81">
        <v>-343.38</v>
      </c>
      <c r="BG75" s="81" t="s">
        <v>422</v>
      </c>
      <c r="BH75" s="167">
        <v>2E-16</v>
      </c>
      <c r="BI75" s="81" t="s">
        <v>389</v>
      </c>
      <c r="BQ75" s="81" t="s">
        <v>415</v>
      </c>
      <c r="BR75" s="167">
        <v>-5.31</v>
      </c>
      <c r="BS75" s="167">
        <v>2.2599999999999999E-2</v>
      </c>
      <c r="BT75" s="81">
        <v>-234.52</v>
      </c>
      <c r="BU75" s="81" t="s">
        <v>422</v>
      </c>
      <c r="BV75" s="167">
        <v>2E-16</v>
      </c>
      <c r="BW75" s="81" t="s">
        <v>389</v>
      </c>
      <c r="CU75" s="258" t="s">
        <v>442</v>
      </c>
      <c r="CV75" s="258" t="s">
        <v>449</v>
      </c>
      <c r="CW75" s="259">
        <v>0.28100000000000003</v>
      </c>
      <c r="CX75" s="259">
        <v>9.5700000000000004E-3</v>
      </c>
      <c r="CY75" s="258">
        <v>29.33</v>
      </c>
      <c r="CZ75" s="258" t="s">
        <v>422</v>
      </c>
      <c r="DA75" s="167">
        <v>2E-16</v>
      </c>
      <c r="DB75" s="81" t="s">
        <v>389</v>
      </c>
      <c r="DC75" s="260" t="s">
        <v>467</v>
      </c>
      <c r="DD75" s="266" t="s">
        <v>424</v>
      </c>
      <c r="DE75" s="261" t="s">
        <v>323</v>
      </c>
      <c r="DF75" s="262">
        <f>CW116</f>
        <v>997000000</v>
      </c>
      <c r="DG75" s="260" t="s">
        <v>322</v>
      </c>
      <c r="DI75" s="170" t="s">
        <v>467</v>
      </c>
      <c r="DJ75" s="297" t="s">
        <v>424</v>
      </c>
      <c r="DK75" s="291" t="s">
        <v>323</v>
      </c>
      <c r="DL75" s="170">
        <f>$AP44</f>
        <v>20420677.500000004</v>
      </c>
      <c r="DM75" s="170" t="s">
        <v>322</v>
      </c>
    </row>
    <row r="76" spans="55:117" thickTop="1" thickBot="1" x14ac:dyDescent="0.3">
      <c r="BC76" s="81" t="s">
        <v>415</v>
      </c>
      <c r="BD76" s="167">
        <v>-6.87</v>
      </c>
      <c r="BE76" s="167">
        <v>1.9699999999999999E-2</v>
      </c>
      <c r="BF76" s="81">
        <v>-347.91</v>
      </c>
      <c r="BG76" s="81" t="s">
        <v>422</v>
      </c>
      <c r="BH76" s="167">
        <v>2E-16</v>
      </c>
      <c r="BI76" s="81" t="s">
        <v>389</v>
      </c>
      <c r="BQ76" s="81" t="s">
        <v>417</v>
      </c>
      <c r="BR76" s="167">
        <v>2.8500000000000001E-3</v>
      </c>
      <c r="BS76" s="167">
        <v>7.6799999999999997E-5</v>
      </c>
      <c r="BT76" s="81">
        <v>37.07</v>
      </c>
      <c r="BU76" s="81" t="s">
        <v>422</v>
      </c>
      <c r="BV76" s="167">
        <v>2E-16</v>
      </c>
      <c r="BW76" s="81" t="s">
        <v>389</v>
      </c>
      <c r="CU76" s="258" t="s">
        <v>442</v>
      </c>
      <c r="CV76" s="258" t="s">
        <v>450</v>
      </c>
      <c r="CW76" s="259">
        <v>0.11</v>
      </c>
      <c r="CX76" s="259">
        <v>4.5999999999999999E-2</v>
      </c>
      <c r="CY76" s="258">
        <v>2.39</v>
      </c>
      <c r="CZ76" s="258">
        <v>1.7000000000000001E-2</v>
      </c>
      <c r="DA76" s="81" t="s">
        <v>434</v>
      </c>
      <c r="DC76" s="260" t="s">
        <v>467</v>
      </c>
      <c r="DD76" s="266" t="s">
        <v>364</v>
      </c>
      <c r="DE76" s="261" t="s">
        <v>323</v>
      </c>
      <c r="DF76" s="262">
        <f>CW117</f>
        <v>992000000</v>
      </c>
      <c r="DG76" s="260" t="s">
        <v>322</v>
      </c>
      <c r="DI76" s="170" t="s">
        <v>467</v>
      </c>
      <c r="DJ76" s="297" t="s">
        <v>364</v>
      </c>
      <c r="DK76" s="291" t="s">
        <v>323</v>
      </c>
      <c r="DL76" s="170">
        <f>$AP45</f>
        <v>20420677.500000004</v>
      </c>
      <c r="DM76" s="170" t="s">
        <v>322</v>
      </c>
    </row>
    <row r="77" spans="55:117" thickTop="1" thickBot="1" x14ac:dyDescent="0.3">
      <c r="BC77" s="81" t="s">
        <v>417</v>
      </c>
      <c r="BD77" s="167">
        <v>4.64E-3</v>
      </c>
      <c r="BE77" s="167">
        <v>2.4600000000000002E-5</v>
      </c>
      <c r="BF77" s="81">
        <v>188.79</v>
      </c>
      <c r="BG77" s="81" t="s">
        <v>422</v>
      </c>
      <c r="BH77" s="167">
        <v>2E-16</v>
      </c>
      <c r="BI77" s="81" t="s">
        <v>389</v>
      </c>
      <c r="BQ77" s="81" t="s">
        <v>418</v>
      </c>
      <c r="BR77" s="167">
        <v>170</v>
      </c>
      <c r="BS77" s="167">
        <v>1.77</v>
      </c>
      <c r="BT77" s="81">
        <v>96.07</v>
      </c>
      <c r="BU77" s="81" t="s">
        <v>422</v>
      </c>
      <c r="BV77" s="167">
        <v>2E-16</v>
      </c>
      <c r="BW77" s="81" t="s">
        <v>389</v>
      </c>
      <c r="CU77" s="258" t="s">
        <v>442</v>
      </c>
      <c r="CV77" s="258" t="s">
        <v>343</v>
      </c>
      <c r="CW77" s="259">
        <v>3.5999999999999998E-16</v>
      </c>
      <c r="CX77" s="259">
        <v>1.6400000000000001E-13</v>
      </c>
      <c r="CY77" s="258">
        <v>0</v>
      </c>
      <c r="CZ77" s="258">
        <v>0.998</v>
      </c>
      <c r="DC77" s="260" t="s">
        <v>467</v>
      </c>
      <c r="DD77" s="266" t="s">
        <v>370</v>
      </c>
      <c r="DE77" s="261" t="s">
        <v>323</v>
      </c>
      <c r="DF77" s="262">
        <f>CW124</f>
        <v>160</v>
      </c>
      <c r="DG77" s="260" t="s">
        <v>322</v>
      </c>
      <c r="DI77" s="170" t="s">
        <v>467</v>
      </c>
      <c r="DJ77" s="297" t="s">
        <v>370</v>
      </c>
      <c r="DK77" s="291" t="s">
        <v>323</v>
      </c>
      <c r="DL77" s="170">
        <f>$AP48</f>
        <v>381.09398814563929</v>
      </c>
      <c r="DM77" s="170" t="s">
        <v>322</v>
      </c>
    </row>
    <row r="78" spans="55:117" thickTop="1" thickBot="1" x14ac:dyDescent="0.3">
      <c r="BC78" s="81" t="s">
        <v>418</v>
      </c>
      <c r="BD78" s="167">
        <v>492</v>
      </c>
      <c r="BE78" s="167">
        <v>2.67</v>
      </c>
      <c r="BF78" s="81">
        <v>184.53</v>
      </c>
      <c r="BG78" s="81" t="s">
        <v>422</v>
      </c>
      <c r="BH78" s="167">
        <v>2E-16</v>
      </c>
      <c r="BI78" s="81" t="s">
        <v>389</v>
      </c>
      <c r="BQ78" s="81" t="s">
        <v>419</v>
      </c>
      <c r="BR78" s="167">
        <v>1380</v>
      </c>
      <c r="BS78" s="167">
        <v>946</v>
      </c>
      <c r="BT78" s="81">
        <v>1.46</v>
      </c>
      <c r="BU78" s="81">
        <v>0.14507999999999999</v>
      </c>
      <c r="CU78" s="258" t="s">
        <v>442</v>
      </c>
      <c r="CV78" s="258" t="s">
        <v>451</v>
      </c>
      <c r="CW78" s="259">
        <v>0.106</v>
      </c>
      <c r="CX78" s="259">
        <v>2.3199999999999998E-2</v>
      </c>
      <c r="CY78" s="258">
        <v>4.54</v>
      </c>
      <c r="CZ78" s="259">
        <v>5.5999999999999997E-6</v>
      </c>
      <c r="DA78" s="81" t="s">
        <v>389</v>
      </c>
      <c r="DC78" s="260" t="s">
        <v>467</v>
      </c>
      <c r="DD78" s="266" t="s">
        <v>372</v>
      </c>
      <c r="DE78" s="261" t="s">
        <v>323</v>
      </c>
      <c r="DF78" s="262">
        <f>CW125</f>
        <v>1.1800000000000001E-3</v>
      </c>
      <c r="DG78" s="260" t="s">
        <v>322</v>
      </c>
      <c r="DI78" s="170" t="s">
        <v>467</v>
      </c>
      <c r="DJ78" s="297" t="s">
        <v>372</v>
      </c>
      <c r="DK78" s="291" t="s">
        <v>323</v>
      </c>
      <c r="DL78" s="170">
        <f>$AP49</f>
        <v>190.54699407281964</v>
      </c>
      <c r="DM78" s="170" t="s">
        <v>322</v>
      </c>
    </row>
    <row r="79" spans="55:117" thickTop="1" thickBot="1" x14ac:dyDescent="0.3">
      <c r="BC79" s="81" t="s">
        <v>419</v>
      </c>
      <c r="BD79" s="167">
        <v>210</v>
      </c>
      <c r="BE79" s="167">
        <v>7.91</v>
      </c>
      <c r="BF79" s="81">
        <v>26.58</v>
      </c>
      <c r="BG79" s="81" t="s">
        <v>422</v>
      </c>
      <c r="BH79" s="167">
        <v>2E-16</v>
      </c>
      <c r="BI79" s="81" t="s">
        <v>389</v>
      </c>
      <c r="CU79" s="258" t="s">
        <v>442</v>
      </c>
      <c r="CV79" s="258" t="s">
        <v>452</v>
      </c>
      <c r="CW79" s="259">
        <v>0.19800000000000001</v>
      </c>
      <c r="CX79" s="259">
        <v>1.9599999999999999E-2</v>
      </c>
      <c r="CY79" s="258">
        <v>10.08</v>
      </c>
      <c r="CZ79" s="258" t="s">
        <v>422</v>
      </c>
      <c r="DA79" s="167">
        <v>2E-16</v>
      </c>
      <c r="DB79" s="81" t="s">
        <v>389</v>
      </c>
      <c r="DC79" s="260" t="s">
        <v>467</v>
      </c>
      <c r="DD79" s="266" t="s">
        <v>374</v>
      </c>
      <c r="DE79" s="261" t="s">
        <v>323</v>
      </c>
      <c r="DF79" s="262">
        <f>CW126</f>
        <v>67.5</v>
      </c>
      <c r="DG79" s="260" t="s">
        <v>322</v>
      </c>
      <c r="DI79" s="170" t="s">
        <v>467</v>
      </c>
      <c r="DJ79" s="297" t="s">
        <v>374</v>
      </c>
      <c r="DK79" s="291" t="s">
        <v>323</v>
      </c>
      <c r="DL79" s="170">
        <f>$AP50</f>
        <v>381.09398814563929</v>
      </c>
      <c r="DM79" s="170" t="s">
        <v>322</v>
      </c>
    </row>
    <row r="80" spans="55:117" thickTop="1" thickBot="1" x14ac:dyDescent="0.3">
      <c r="BQ80" s="81" t="s">
        <v>433</v>
      </c>
      <c r="BR80" s="81" t="s">
        <v>435</v>
      </c>
      <c r="CU80" s="258" t="s">
        <v>442</v>
      </c>
      <c r="CV80" s="258" t="s">
        <v>453</v>
      </c>
      <c r="CW80" s="259">
        <v>0.23699999999999999</v>
      </c>
      <c r="CX80" s="259">
        <v>1.17E-2</v>
      </c>
      <c r="CY80" s="258">
        <v>20.23</v>
      </c>
      <c r="CZ80" s="258" t="s">
        <v>422</v>
      </c>
      <c r="DA80" s="167">
        <v>2E-16</v>
      </c>
      <c r="DB80" s="81" t="s">
        <v>389</v>
      </c>
    </row>
    <row r="81" spans="55:106" thickTop="1" thickBot="1" x14ac:dyDescent="0.3">
      <c r="BQ81" s="81" t="s">
        <v>380</v>
      </c>
      <c r="CU81" s="258" t="s">
        <v>442</v>
      </c>
      <c r="CV81" s="258" t="s">
        <v>454</v>
      </c>
      <c r="CW81" s="259">
        <v>0.30099999999999999</v>
      </c>
      <c r="CX81" s="259">
        <v>2.41E-2</v>
      </c>
      <c r="CY81" s="258">
        <v>12.49</v>
      </c>
      <c r="CZ81" s="258" t="s">
        <v>422</v>
      </c>
      <c r="DA81" s="167">
        <v>2E-16</v>
      </c>
      <c r="DB81" s="81" t="s">
        <v>389</v>
      </c>
    </row>
    <row r="82" spans="55:106" thickTop="1" thickBot="1" x14ac:dyDescent="0.3">
      <c r="BD82" s="81" t="s">
        <v>431</v>
      </c>
      <c r="BQ82" s="81" t="s">
        <v>381</v>
      </c>
      <c r="BR82" s="81" t="s">
        <v>382</v>
      </c>
      <c r="BS82" s="81" t="s">
        <v>383</v>
      </c>
      <c r="BT82" s="81" t="s">
        <v>384</v>
      </c>
      <c r="BU82" s="81" t="s">
        <v>385</v>
      </c>
      <c r="BV82" s="81" t="s">
        <v>386</v>
      </c>
      <c r="CU82" s="258" t="s">
        <v>442</v>
      </c>
      <c r="CV82" s="258" t="s">
        <v>455</v>
      </c>
      <c r="CW82" s="259">
        <v>0.245</v>
      </c>
      <c r="CX82" s="259">
        <v>6.7099999999999998E-3</v>
      </c>
      <c r="CY82" s="258">
        <v>36.549999999999997</v>
      </c>
      <c r="CZ82" s="258" t="s">
        <v>422</v>
      </c>
      <c r="DA82" s="167">
        <v>2E-16</v>
      </c>
      <c r="DB82" s="81" t="s">
        <v>389</v>
      </c>
    </row>
    <row r="83" spans="55:106" thickTop="1" thickBot="1" x14ac:dyDescent="0.3">
      <c r="BD83" s="167">
        <v>297</v>
      </c>
      <c r="BE83" s="167">
        <v>8.0100000000000005E-2</v>
      </c>
      <c r="BF83" s="81">
        <v>3708.09</v>
      </c>
      <c r="BG83" s="81" t="s">
        <v>388</v>
      </c>
      <c r="BH83" s="81" t="s">
        <v>389</v>
      </c>
      <c r="BQ83" s="81" t="s">
        <v>436</v>
      </c>
      <c r="BR83" s="167">
        <v>290</v>
      </c>
      <c r="BS83" s="167">
        <v>0.36799999999999999</v>
      </c>
      <c r="BT83" s="81">
        <v>790.07</v>
      </c>
      <c r="BU83" s="81" t="s">
        <v>422</v>
      </c>
      <c r="BV83" s="167">
        <v>2E-16</v>
      </c>
      <c r="BW83" s="81" t="s">
        <v>389</v>
      </c>
      <c r="CU83" s="258" t="s">
        <v>442</v>
      </c>
      <c r="CV83" s="258" t="s">
        <v>456</v>
      </c>
      <c r="CW83" s="259">
        <v>0.11</v>
      </c>
      <c r="CX83" s="259">
        <v>4.5500000000000002E-3</v>
      </c>
      <c r="CY83" s="258">
        <v>24.23</v>
      </c>
      <c r="CZ83" s="259" t="s">
        <v>422</v>
      </c>
      <c r="DA83" s="167">
        <v>2E-16</v>
      </c>
      <c r="DB83" s="81" t="s">
        <v>389</v>
      </c>
    </row>
    <row r="84" spans="55:106" thickTop="1" thickBot="1" x14ac:dyDescent="0.3">
      <c r="BC84" s="81" t="s">
        <v>423</v>
      </c>
      <c r="BD84" s="167">
        <v>294</v>
      </c>
      <c r="BE84" s="167">
        <v>4.2999999999999997E-2</v>
      </c>
      <c r="BF84" s="81">
        <v>6835.63</v>
      </c>
      <c r="BG84" s="81" t="s">
        <v>388</v>
      </c>
      <c r="BH84" s="81" t="s">
        <v>389</v>
      </c>
      <c r="BQ84" s="81" t="s">
        <v>423</v>
      </c>
      <c r="BR84" s="167">
        <v>292</v>
      </c>
      <c r="BS84" s="167">
        <v>0.36699999999999999</v>
      </c>
      <c r="BT84" s="81">
        <v>796.23</v>
      </c>
      <c r="BU84" s="81" t="s">
        <v>422</v>
      </c>
      <c r="BV84" s="167">
        <v>2E-16</v>
      </c>
      <c r="BW84" s="81" t="s">
        <v>389</v>
      </c>
      <c r="CU84" s="258" t="s">
        <v>442</v>
      </c>
      <c r="CV84" s="258" t="s">
        <v>308</v>
      </c>
      <c r="CW84" s="259">
        <v>993000000</v>
      </c>
      <c r="CX84" s="259">
        <v>40900000</v>
      </c>
      <c r="CY84" s="258">
        <v>24.29</v>
      </c>
      <c r="CZ84" s="259" t="s">
        <v>422</v>
      </c>
      <c r="DA84" s="167">
        <v>2E-16</v>
      </c>
      <c r="DB84" s="81" t="s">
        <v>389</v>
      </c>
    </row>
    <row r="85" spans="55:106" thickTop="1" thickBot="1" x14ac:dyDescent="0.3">
      <c r="BC85" s="81" t="s">
        <v>358</v>
      </c>
      <c r="BD85" s="167">
        <v>0.09</v>
      </c>
      <c r="BE85" s="167">
        <v>1.75E-3</v>
      </c>
      <c r="BF85" s="81">
        <v>51.34</v>
      </c>
      <c r="BG85" s="81" t="s">
        <v>388</v>
      </c>
      <c r="BH85" s="81" t="s">
        <v>389</v>
      </c>
      <c r="BQ85" s="81" t="s">
        <v>358</v>
      </c>
      <c r="BR85" s="167">
        <v>1.24E-7</v>
      </c>
      <c r="BS85" s="167">
        <v>2.21E-6</v>
      </c>
      <c r="BT85" s="81">
        <v>0.06</v>
      </c>
      <c r="BU85" s="81">
        <v>0.96</v>
      </c>
      <c r="CU85" s="258" t="s">
        <v>442</v>
      </c>
      <c r="CV85" s="258" t="s">
        <v>399</v>
      </c>
      <c r="CW85" s="259">
        <v>1510000</v>
      </c>
      <c r="CX85" s="259">
        <v>7900</v>
      </c>
      <c r="CY85" s="258">
        <v>191.34</v>
      </c>
      <c r="CZ85" s="258" t="s">
        <v>422</v>
      </c>
      <c r="DA85" s="167">
        <v>2E-16</v>
      </c>
      <c r="DB85" s="81" t="s">
        <v>389</v>
      </c>
    </row>
    <row r="86" spans="55:106" thickTop="1" thickBot="1" x14ac:dyDescent="0.3">
      <c r="BC86" s="81" t="s">
        <v>360</v>
      </c>
      <c r="BD86" s="167">
        <v>0.192</v>
      </c>
      <c r="BE86" s="167">
        <v>3.5400000000000002E-3</v>
      </c>
      <c r="BF86" s="81">
        <v>54.37</v>
      </c>
      <c r="BG86" s="81" t="s">
        <v>388</v>
      </c>
      <c r="BH86" s="81" t="s">
        <v>389</v>
      </c>
      <c r="BQ86" s="81" t="s">
        <v>360</v>
      </c>
      <c r="BR86" s="167">
        <v>4.1799999999999997E-8</v>
      </c>
      <c r="BS86" s="167">
        <v>8.2999999999999999E-7</v>
      </c>
      <c r="BT86" s="81">
        <v>0.05</v>
      </c>
      <c r="BU86" s="81">
        <v>0.96</v>
      </c>
      <c r="CU86" s="258" t="s">
        <v>442</v>
      </c>
      <c r="CV86" s="258" t="s">
        <v>301</v>
      </c>
      <c r="CW86" s="259">
        <v>7590000</v>
      </c>
      <c r="CX86" s="259">
        <v>159000</v>
      </c>
      <c r="CY86" s="258">
        <v>47.83</v>
      </c>
      <c r="CZ86" s="258" t="s">
        <v>422</v>
      </c>
      <c r="DA86" s="167">
        <v>2E-16</v>
      </c>
      <c r="DB86" s="81" t="s">
        <v>389</v>
      </c>
    </row>
    <row r="87" spans="55:106" thickTop="1" thickBot="1" x14ac:dyDescent="0.3">
      <c r="BC87" s="81" t="s">
        <v>424</v>
      </c>
      <c r="BD87" s="167">
        <v>8270000</v>
      </c>
      <c r="BE87" s="167">
        <v>124000</v>
      </c>
      <c r="BF87" s="81">
        <v>66.77</v>
      </c>
      <c r="BG87" s="81" t="s">
        <v>388</v>
      </c>
      <c r="BH87" s="81" t="s">
        <v>389</v>
      </c>
      <c r="BQ87" s="81" t="s">
        <v>424</v>
      </c>
      <c r="BR87" s="167">
        <v>19200000</v>
      </c>
      <c r="BS87" s="167">
        <v>2600000</v>
      </c>
      <c r="BT87" s="81">
        <v>7.38</v>
      </c>
      <c r="BU87" s="167">
        <v>2.0999999999999999E-13</v>
      </c>
      <c r="BV87" s="81" t="s">
        <v>389</v>
      </c>
      <c r="CU87" s="258" t="s">
        <v>442</v>
      </c>
      <c r="CV87" s="258" t="s">
        <v>303</v>
      </c>
      <c r="CW87" s="259">
        <v>13100000</v>
      </c>
      <c r="CX87" s="259">
        <v>385000</v>
      </c>
      <c r="CY87" s="258">
        <v>34.049999999999997</v>
      </c>
      <c r="CZ87" s="258" t="s">
        <v>422</v>
      </c>
      <c r="DA87" s="167">
        <v>2E-16</v>
      </c>
      <c r="DB87" s="81" t="s">
        <v>389</v>
      </c>
    </row>
    <row r="88" spans="55:106" thickTop="1" thickBot="1" x14ac:dyDescent="0.3">
      <c r="BC88" s="81" t="s">
        <v>364</v>
      </c>
      <c r="BD88" s="167">
        <v>25000000</v>
      </c>
      <c r="BE88" s="167">
        <v>376000</v>
      </c>
      <c r="BF88" s="81">
        <v>66.52</v>
      </c>
      <c r="BG88" s="81" t="s">
        <v>388</v>
      </c>
      <c r="BH88" s="81" t="s">
        <v>389</v>
      </c>
      <c r="CU88" s="258" t="s">
        <v>442</v>
      </c>
      <c r="CV88" s="258" t="s">
        <v>400</v>
      </c>
      <c r="CW88" s="259">
        <v>-29.2</v>
      </c>
      <c r="CX88" s="259">
        <v>181</v>
      </c>
      <c r="CY88" s="258">
        <v>-0.16</v>
      </c>
      <c r="CZ88" s="258">
        <v>0.872</v>
      </c>
    </row>
    <row r="89" spans="55:106" thickTop="1" thickBot="1" x14ac:dyDescent="0.3">
      <c r="BC89" s="81" t="s">
        <v>404</v>
      </c>
      <c r="BD89" s="167">
        <v>3.73</v>
      </c>
      <c r="BE89" s="167">
        <v>1.42</v>
      </c>
      <c r="BF89" s="81">
        <v>2.62</v>
      </c>
      <c r="BG89" s="81">
        <v>8.6999999999999994E-3</v>
      </c>
      <c r="BH89" s="81" t="s">
        <v>425</v>
      </c>
      <c r="BQ89" s="81" t="s">
        <v>364</v>
      </c>
      <c r="BR89" s="167">
        <v>65100000</v>
      </c>
      <c r="BS89" s="167">
        <v>33200000</v>
      </c>
      <c r="BT89" s="81">
        <v>1.96</v>
      </c>
      <c r="BU89" s="81">
        <v>0.05</v>
      </c>
      <c r="BV89" s="81" t="s">
        <v>434</v>
      </c>
      <c r="CU89" s="258" t="s">
        <v>442</v>
      </c>
      <c r="CV89" s="258" t="s">
        <v>401</v>
      </c>
      <c r="CW89" s="259">
        <v>-20.399999999999999</v>
      </c>
      <c r="CX89" s="259">
        <v>164</v>
      </c>
      <c r="CY89" s="258">
        <v>-0.12</v>
      </c>
      <c r="CZ89" s="258">
        <v>0.90100000000000002</v>
      </c>
    </row>
    <row r="90" spans="55:106" thickTop="1" thickBot="1" x14ac:dyDescent="0.3">
      <c r="BC90" s="81" t="s">
        <v>426</v>
      </c>
      <c r="BD90" s="167">
        <v>-13.1</v>
      </c>
      <c r="BE90" s="167">
        <v>7.16</v>
      </c>
      <c r="BF90" s="81">
        <v>-1.83</v>
      </c>
      <c r="BG90" s="81">
        <v>6.7599999999999993E-2</v>
      </c>
      <c r="BH90" s="81" t="s">
        <v>427</v>
      </c>
      <c r="BQ90" s="81" t="s">
        <v>404</v>
      </c>
      <c r="BR90" s="167">
        <v>8.17</v>
      </c>
      <c r="BS90" s="167">
        <v>7.2700000000000001E-2</v>
      </c>
      <c r="BT90" s="81">
        <v>112.45</v>
      </c>
      <c r="BU90" s="81" t="s">
        <v>422</v>
      </c>
      <c r="BV90" s="167">
        <v>2E-16</v>
      </c>
      <c r="BW90" s="81" t="s">
        <v>389</v>
      </c>
      <c r="CU90" s="258" t="s">
        <v>442</v>
      </c>
      <c r="CV90" s="258" t="s">
        <v>402</v>
      </c>
      <c r="CW90" s="259">
        <v>-26.8</v>
      </c>
      <c r="CX90" s="259">
        <v>238</v>
      </c>
      <c r="CY90" s="258">
        <v>-0.11</v>
      </c>
      <c r="CZ90" s="258">
        <v>0.91100000000000003</v>
      </c>
    </row>
    <row r="91" spans="55:106" thickTop="1" thickBot="1" x14ac:dyDescent="0.3">
      <c r="BC91" s="81" t="s">
        <v>428</v>
      </c>
      <c r="BD91" s="167">
        <v>6.5799999999999997E-2</v>
      </c>
      <c r="BE91" s="167">
        <v>7.0699999999999995E-4</v>
      </c>
      <c r="BF91" s="81">
        <v>93.12</v>
      </c>
      <c r="BG91" s="81" t="s">
        <v>388</v>
      </c>
      <c r="BH91" s="81" t="s">
        <v>389</v>
      </c>
      <c r="BQ91" s="81" t="s">
        <v>426</v>
      </c>
      <c r="BR91" s="167">
        <v>7.12</v>
      </c>
      <c r="BS91" s="167">
        <v>0.13500000000000001</v>
      </c>
      <c r="BT91" s="81">
        <v>52.65</v>
      </c>
      <c r="BU91" s="81" t="s">
        <v>422</v>
      </c>
      <c r="BV91" s="167">
        <v>2E-16</v>
      </c>
      <c r="BW91" s="81" t="s">
        <v>389</v>
      </c>
      <c r="CU91" s="258" t="s">
        <v>442</v>
      </c>
      <c r="CV91" s="258" t="s">
        <v>403</v>
      </c>
      <c r="CW91" s="259">
        <v>-16.7</v>
      </c>
      <c r="CX91" s="259">
        <v>112</v>
      </c>
      <c r="CY91" s="258">
        <v>-0.15</v>
      </c>
      <c r="CZ91" s="258">
        <v>0.88100000000000001</v>
      </c>
    </row>
    <row r="92" spans="55:106" thickTop="1" thickBot="1" x14ac:dyDescent="0.3">
      <c r="BC92" s="81" t="s">
        <v>429</v>
      </c>
      <c r="BD92" s="167">
        <v>0.11799999999999999</v>
      </c>
      <c r="BE92" s="167">
        <v>1.1299999999999999E-3</v>
      </c>
      <c r="BF92" s="81">
        <v>104.59</v>
      </c>
      <c r="BG92" s="81" t="s">
        <v>388</v>
      </c>
      <c r="BH92" s="81" t="s">
        <v>389</v>
      </c>
      <c r="BQ92" s="81" t="s">
        <v>416</v>
      </c>
      <c r="BR92" s="167">
        <v>-5.0599999999999996</v>
      </c>
      <c r="BS92" s="167">
        <v>5.1200000000000002E-2</v>
      </c>
      <c r="BT92" s="81">
        <v>-98.95</v>
      </c>
      <c r="BU92" s="81" t="s">
        <v>422</v>
      </c>
      <c r="BV92" s="167">
        <v>2E-16</v>
      </c>
      <c r="BW92" s="81" t="s">
        <v>389</v>
      </c>
      <c r="CU92" s="258" t="s">
        <v>442</v>
      </c>
      <c r="CV92" s="258" t="s">
        <v>405</v>
      </c>
      <c r="CW92" s="259">
        <v>0.13</v>
      </c>
      <c r="CX92" s="259">
        <v>8.5899999999999995E-4</v>
      </c>
      <c r="CY92" s="258">
        <v>151.85</v>
      </c>
      <c r="CZ92" s="258" t="s">
        <v>422</v>
      </c>
      <c r="DA92" s="167">
        <v>2E-16</v>
      </c>
      <c r="DB92" s="81" t="s">
        <v>389</v>
      </c>
    </row>
    <row r="93" spans="55:106" thickTop="1" thickBot="1" x14ac:dyDescent="0.3">
      <c r="BC93" s="81" t="s">
        <v>416</v>
      </c>
      <c r="BD93" s="167">
        <v>-6.92</v>
      </c>
      <c r="BE93" s="167">
        <v>2.1600000000000001E-2</v>
      </c>
      <c r="BF93" s="81">
        <v>-319.69</v>
      </c>
      <c r="BG93" s="81" t="s">
        <v>388</v>
      </c>
      <c r="BH93" s="81" t="s">
        <v>389</v>
      </c>
      <c r="BQ93" s="81" t="s">
        <v>430</v>
      </c>
      <c r="BR93" s="167">
        <v>-4.8899999999999997</v>
      </c>
      <c r="BS93" s="167">
        <v>3.73E-2</v>
      </c>
      <c r="BT93" s="81">
        <v>-131.12</v>
      </c>
      <c r="BU93" s="81" t="s">
        <v>422</v>
      </c>
      <c r="BV93" s="167">
        <v>2E-16</v>
      </c>
      <c r="BW93" s="81" t="s">
        <v>389</v>
      </c>
      <c r="CU93" s="258" t="s">
        <v>442</v>
      </c>
      <c r="CV93" s="258" t="s">
        <v>406</v>
      </c>
      <c r="CW93" s="259">
        <v>0.107</v>
      </c>
      <c r="CX93" s="259">
        <v>7.4799999999999997E-4</v>
      </c>
      <c r="CY93" s="258">
        <v>143.05000000000001</v>
      </c>
      <c r="CZ93" s="258" t="s">
        <v>422</v>
      </c>
      <c r="DA93" s="167">
        <v>2E-16</v>
      </c>
      <c r="DB93" s="81" t="s">
        <v>389</v>
      </c>
    </row>
    <row r="94" spans="55:106" thickTop="1" thickBot="1" x14ac:dyDescent="0.3">
      <c r="BC94" s="81" t="s">
        <v>430</v>
      </c>
      <c r="BD94" s="167">
        <v>-6.23</v>
      </c>
      <c r="BE94" s="167">
        <v>3.3000000000000002E-2</v>
      </c>
      <c r="BF94" s="81">
        <v>-188.82</v>
      </c>
      <c r="BG94" s="81" t="s">
        <v>388</v>
      </c>
      <c r="BH94" s="81" t="s">
        <v>389</v>
      </c>
      <c r="BQ94" s="81" t="s">
        <v>370</v>
      </c>
      <c r="BR94" s="167">
        <v>198</v>
      </c>
      <c r="BS94" s="167">
        <v>4.01</v>
      </c>
      <c r="BT94" s="81">
        <v>49.45</v>
      </c>
      <c r="BU94" s="81" t="s">
        <v>422</v>
      </c>
      <c r="BV94" s="167">
        <v>2E-16</v>
      </c>
      <c r="BW94" s="81" t="s">
        <v>389</v>
      </c>
      <c r="CU94" s="258" t="s">
        <v>442</v>
      </c>
      <c r="CV94" s="258" t="s">
        <v>407</v>
      </c>
      <c r="CW94" s="259">
        <v>0.69199999999999995</v>
      </c>
      <c r="CX94" s="259">
        <v>1.8400000000000001E-3</v>
      </c>
      <c r="CY94" s="258">
        <v>376.66</v>
      </c>
      <c r="CZ94" s="258" t="s">
        <v>422</v>
      </c>
      <c r="DA94" s="167">
        <v>2E-16</v>
      </c>
      <c r="DB94" s="81" t="s">
        <v>389</v>
      </c>
    </row>
    <row r="95" spans="55:106" thickTop="1" thickBot="1" x14ac:dyDescent="0.3">
      <c r="BC95" s="81" t="s">
        <v>370</v>
      </c>
      <c r="BD95" s="167">
        <v>502</v>
      </c>
      <c r="BE95" s="167">
        <v>7.41</v>
      </c>
      <c r="BF95" s="81">
        <v>67.760000000000005</v>
      </c>
      <c r="BG95" s="81" t="s">
        <v>388</v>
      </c>
      <c r="BH95" s="81" t="s">
        <v>389</v>
      </c>
      <c r="BQ95" s="81" t="s">
        <v>372</v>
      </c>
      <c r="BR95" s="167">
        <v>3.48E-4</v>
      </c>
      <c r="BS95" s="167">
        <v>3.0400000000000002E-3</v>
      </c>
      <c r="BT95" s="81">
        <v>0.11</v>
      </c>
      <c r="BU95" s="81">
        <v>0.91</v>
      </c>
      <c r="CU95" s="258" t="s">
        <v>442</v>
      </c>
      <c r="CV95" s="258" t="s">
        <v>408</v>
      </c>
      <c r="CW95" s="259">
        <v>5.91E-2</v>
      </c>
      <c r="CX95" s="259">
        <v>3.4900000000000003E-4</v>
      </c>
      <c r="CY95" s="258">
        <v>169.04</v>
      </c>
      <c r="CZ95" s="258" t="s">
        <v>422</v>
      </c>
      <c r="DA95" s="167">
        <v>2E-16</v>
      </c>
      <c r="DB95" s="81" t="s">
        <v>389</v>
      </c>
    </row>
    <row r="96" spans="55:106" thickTop="1" thickBot="1" x14ac:dyDescent="0.3">
      <c r="BC96" s="81" t="s">
        <v>372</v>
      </c>
      <c r="BD96" s="167">
        <v>393</v>
      </c>
      <c r="BE96" s="167">
        <v>5.6</v>
      </c>
      <c r="BF96" s="81">
        <v>70.16</v>
      </c>
      <c r="BG96" s="81" t="s">
        <v>388</v>
      </c>
      <c r="BH96" s="81" t="s">
        <v>389</v>
      </c>
      <c r="BQ96" s="81" t="s">
        <v>374</v>
      </c>
      <c r="BR96" s="167">
        <v>221</v>
      </c>
      <c r="BS96" s="167">
        <v>3.53</v>
      </c>
      <c r="BT96" s="81">
        <v>62.76</v>
      </c>
      <c r="BU96" s="81" t="s">
        <v>422</v>
      </c>
      <c r="BV96" s="167">
        <v>2E-16</v>
      </c>
      <c r="BW96" s="81" t="s">
        <v>389</v>
      </c>
      <c r="CU96" s="258" t="s">
        <v>442</v>
      </c>
      <c r="CV96" s="258" t="s">
        <v>410</v>
      </c>
      <c r="CW96" s="259">
        <v>257</v>
      </c>
      <c r="CX96" s="259">
        <v>1.84</v>
      </c>
      <c r="CY96" s="258">
        <v>139.43</v>
      </c>
      <c r="CZ96" s="258" t="s">
        <v>422</v>
      </c>
      <c r="DA96" s="167">
        <v>2E-16</v>
      </c>
      <c r="DB96" s="81" t="s">
        <v>389</v>
      </c>
    </row>
    <row r="97" spans="55:106" thickTop="1" thickBot="1" x14ac:dyDescent="0.3">
      <c r="BC97" s="81" t="s">
        <v>374</v>
      </c>
      <c r="BD97" s="167">
        <v>506</v>
      </c>
      <c r="BE97" s="167">
        <v>2.4900000000000002</v>
      </c>
      <c r="BF97" s="81">
        <v>203.18</v>
      </c>
      <c r="BG97" s="81" t="s">
        <v>388</v>
      </c>
      <c r="BH97" s="81" t="s">
        <v>389</v>
      </c>
      <c r="CU97" s="258" t="s">
        <v>442</v>
      </c>
      <c r="CV97" s="258" t="s">
        <v>295</v>
      </c>
      <c r="CW97" s="259">
        <v>263</v>
      </c>
      <c r="CX97" s="259">
        <v>1.74</v>
      </c>
      <c r="CY97" s="258">
        <v>151.33000000000001</v>
      </c>
      <c r="CZ97" s="258" t="s">
        <v>422</v>
      </c>
      <c r="DA97" s="167">
        <v>2E-16</v>
      </c>
      <c r="DB97" s="81" t="s">
        <v>389</v>
      </c>
    </row>
    <row r="98" spans="55:106" thickTop="1" thickBot="1" x14ac:dyDescent="0.3">
      <c r="CU98" s="258" t="s">
        <v>442</v>
      </c>
      <c r="CV98" s="258" t="s">
        <v>120</v>
      </c>
      <c r="CW98" s="259">
        <v>38</v>
      </c>
      <c r="CX98" s="259">
        <v>0.20899999999999999</v>
      </c>
      <c r="CY98" s="258">
        <v>181.84</v>
      </c>
      <c r="CZ98" s="258" t="s">
        <v>422</v>
      </c>
      <c r="DA98" s="167">
        <v>2E-16</v>
      </c>
      <c r="DB98" s="81" t="s">
        <v>389</v>
      </c>
    </row>
    <row r="99" spans="55:106" thickTop="1" thickBot="1" x14ac:dyDescent="0.3">
      <c r="CU99" s="258" t="s">
        <v>442</v>
      </c>
      <c r="CV99" s="258" t="s">
        <v>412</v>
      </c>
      <c r="CW99" s="259">
        <v>-6.96</v>
      </c>
      <c r="CX99" s="259">
        <v>1.7899999999999999E-2</v>
      </c>
      <c r="CY99" s="258">
        <v>-387.86</v>
      </c>
      <c r="CZ99" s="258" t="s">
        <v>422</v>
      </c>
      <c r="DA99" s="167">
        <v>2E-16</v>
      </c>
      <c r="DB99" s="81" t="s">
        <v>389</v>
      </c>
    </row>
    <row r="100" spans="55:106" thickTop="1" thickBot="1" x14ac:dyDescent="0.3">
      <c r="CU100" s="258" t="s">
        <v>442</v>
      </c>
      <c r="CV100" s="258" t="s">
        <v>413</v>
      </c>
      <c r="CW100" s="259">
        <v>-6.5</v>
      </c>
      <c r="CX100" s="259">
        <v>1.6799999999999999E-2</v>
      </c>
      <c r="CY100" s="258">
        <v>-386.83</v>
      </c>
      <c r="CZ100" s="258" t="s">
        <v>422</v>
      </c>
      <c r="DA100" s="167">
        <v>2E-16</v>
      </c>
      <c r="DB100" s="81" t="s">
        <v>389</v>
      </c>
    </row>
    <row r="101" spans="55:106" thickTop="1" thickBot="1" x14ac:dyDescent="0.3">
      <c r="CU101" s="258" t="s">
        <v>442</v>
      </c>
      <c r="CV101" s="258" t="s">
        <v>414</v>
      </c>
      <c r="CW101" s="259">
        <v>-6.74</v>
      </c>
      <c r="CX101" s="259">
        <v>1.5599999999999999E-2</v>
      </c>
      <c r="CY101" s="258">
        <v>-432.07</v>
      </c>
      <c r="CZ101" s="258" t="s">
        <v>422</v>
      </c>
      <c r="DA101" s="167">
        <v>2E-16</v>
      </c>
      <c r="DB101" s="81" t="s">
        <v>389</v>
      </c>
    </row>
    <row r="102" spans="55:106" thickTop="1" thickBot="1" x14ac:dyDescent="0.3">
      <c r="CU102" s="258" t="s">
        <v>442</v>
      </c>
      <c r="CV102" s="258" t="s">
        <v>415</v>
      </c>
      <c r="CW102" s="259">
        <v>-6.14</v>
      </c>
      <c r="CX102" s="259">
        <v>1.7600000000000001E-2</v>
      </c>
      <c r="CY102" s="258">
        <v>-349.84</v>
      </c>
      <c r="CZ102" s="258" t="s">
        <v>422</v>
      </c>
      <c r="DA102" s="167">
        <v>2E-16</v>
      </c>
      <c r="DB102" s="81" t="s">
        <v>389</v>
      </c>
    </row>
    <row r="103" spans="55:106" thickTop="1" thickBot="1" x14ac:dyDescent="0.3">
      <c r="CU103" s="258" t="s">
        <v>442</v>
      </c>
      <c r="CV103" s="258" t="s">
        <v>417</v>
      </c>
      <c r="CW103" s="259">
        <v>5.6499999999999996E-3</v>
      </c>
      <c r="CX103" s="259">
        <v>3.43E-5</v>
      </c>
      <c r="CY103" s="258">
        <v>164.87</v>
      </c>
      <c r="CZ103" s="258" t="s">
        <v>422</v>
      </c>
      <c r="DA103" s="167">
        <v>2E-16</v>
      </c>
      <c r="DB103" s="81" t="s">
        <v>389</v>
      </c>
    </row>
    <row r="104" spans="55:106" thickTop="1" thickBot="1" x14ac:dyDescent="0.3">
      <c r="CU104" s="258" t="s">
        <v>442</v>
      </c>
      <c r="CV104" s="258" t="s">
        <v>418</v>
      </c>
      <c r="CW104" s="259">
        <v>69.3</v>
      </c>
      <c r="CX104" s="259">
        <v>0.746</v>
      </c>
      <c r="CY104" s="258">
        <v>92.81</v>
      </c>
      <c r="CZ104" s="258" t="s">
        <v>422</v>
      </c>
      <c r="DA104" s="167">
        <v>2E-16</v>
      </c>
      <c r="DB104" s="81" t="s">
        <v>389</v>
      </c>
    </row>
    <row r="105" spans="55:106" thickTop="1" thickBot="1" x14ac:dyDescent="0.3">
      <c r="CU105" s="258" t="s">
        <v>442</v>
      </c>
      <c r="CV105" s="258" t="s">
        <v>419</v>
      </c>
      <c r="CW105" s="259">
        <v>3.04E-2</v>
      </c>
      <c r="CX105" s="259">
        <v>5.99</v>
      </c>
      <c r="CY105" s="258">
        <v>0.01</v>
      </c>
      <c r="CZ105" s="258">
        <v>0.996</v>
      </c>
    </row>
    <row r="106" spans="55:106" thickTop="1" thickBot="1" x14ac:dyDescent="0.3">
      <c r="CU106" s="258" t="s">
        <v>442</v>
      </c>
      <c r="CV106" s="258" t="s">
        <v>461</v>
      </c>
    </row>
    <row r="107" spans="55:106" thickTop="1" thickBot="1" x14ac:dyDescent="0.3">
      <c r="CU107" s="258" t="s">
        <v>442</v>
      </c>
      <c r="CV107" s="258" t="s">
        <v>462</v>
      </c>
      <c r="CW107" s="258" t="s">
        <v>463</v>
      </c>
      <c r="CX107" s="258">
        <v>0</v>
      </c>
      <c r="CY107" s="258" t="s">
        <v>464</v>
      </c>
      <c r="CZ107" s="258">
        <v>1E-3</v>
      </c>
      <c r="DA107" s="81" t="s">
        <v>465</v>
      </c>
      <c r="DB107" s="81">
        <v>0.01</v>
      </c>
    </row>
    <row r="109" spans="55:106" thickTop="1" thickBot="1" x14ac:dyDescent="0.3">
      <c r="CU109" s="258" t="s">
        <v>442</v>
      </c>
      <c r="CV109" s="258" t="s">
        <v>433</v>
      </c>
      <c r="CW109" s="258" t="s">
        <v>435</v>
      </c>
    </row>
    <row r="110" spans="55:106" thickTop="1" thickBot="1" x14ac:dyDescent="0.3">
      <c r="CU110" s="258" t="s">
        <v>442</v>
      </c>
      <c r="CV110" s="258" t="s">
        <v>380</v>
      </c>
    </row>
    <row r="111" spans="55:106" thickTop="1" thickBot="1" x14ac:dyDescent="0.3">
      <c r="CU111" s="258" t="s">
        <v>442</v>
      </c>
      <c r="CV111" s="258" t="s">
        <v>381</v>
      </c>
      <c r="CW111" s="258" t="s">
        <v>382</v>
      </c>
      <c r="CX111" s="258" t="s">
        <v>383</v>
      </c>
      <c r="CY111" s="258" t="s">
        <v>384</v>
      </c>
      <c r="CZ111" s="258" t="s">
        <v>385</v>
      </c>
      <c r="DA111" s="81" t="s">
        <v>386</v>
      </c>
    </row>
    <row r="112" spans="55:106" thickTop="1" thickBot="1" x14ac:dyDescent="0.3">
      <c r="CU112" s="258" t="s">
        <v>442</v>
      </c>
      <c r="CV112" s="258" t="s">
        <v>436</v>
      </c>
      <c r="CW112" s="259">
        <v>292</v>
      </c>
      <c r="CX112" s="259">
        <v>6.9699999999999998E-2</v>
      </c>
      <c r="CY112" s="258">
        <v>4187.8500000000004</v>
      </c>
      <c r="CZ112" s="258" t="s">
        <v>388</v>
      </c>
      <c r="DA112" s="167" t="s">
        <v>389</v>
      </c>
      <c r="DB112" s="81" t="s">
        <v>389</v>
      </c>
    </row>
    <row r="113" spans="99:106" thickTop="1" thickBot="1" x14ac:dyDescent="0.3">
      <c r="CU113" s="258" t="s">
        <v>442</v>
      </c>
      <c r="CV113" s="258" t="s">
        <v>423</v>
      </c>
      <c r="CW113" s="259">
        <v>297</v>
      </c>
      <c r="CX113" s="259">
        <v>0.106</v>
      </c>
      <c r="CY113" s="258">
        <v>2807.45</v>
      </c>
      <c r="CZ113" s="258" t="s">
        <v>388</v>
      </c>
      <c r="DA113" s="167" t="s">
        <v>389</v>
      </c>
      <c r="DB113" s="81" t="s">
        <v>389</v>
      </c>
    </row>
    <row r="114" spans="99:106" thickTop="1" thickBot="1" x14ac:dyDescent="0.3">
      <c r="CU114" s="258" t="s">
        <v>442</v>
      </c>
      <c r="CV114" s="258" t="s">
        <v>358</v>
      </c>
      <c r="CW114" s="259">
        <v>0.14000000000000001</v>
      </c>
      <c r="CX114" s="259">
        <v>5.4299999999999999E-3</v>
      </c>
      <c r="CY114" s="258">
        <v>25.83</v>
      </c>
      <c r="CZ114" s="258" t="s">
        <v>388</v>
      </c>
      <c r="DA114" s="81" t="s">
        <v>389</v>
      </c>
    </row>
    <row r="115" spans="99:106" thickTop="1" thickBot="1" x14ac:dyDescent="0.3">
      <c r="CU115" s="258" t="s">
        <v>442</v>
      </c>
      <c r="CV115" s="258" t="s">
        <v>360</v>
      </c>
      <c r="CW115" s="259">
        <v>0.18</v>
      </c>
      <c r="CX115" s="259">
        <v>2.5400000000000002E-3</v>
      </c>
      <c r="CY115" s="258">
        <v>70.8</v>
      </c>
      <c r="CZ115" s="258" t="s">
        <v>388</v>
      </c>
      <c r="DA115" s="81" t="s">
        <v>389</v>
      </c>
    </row>
    <row r="116" spans="99:106" thickTop="1" thickBot="1" x14ac:dyDescent="0.3">
      <c r="CU116" s="258" t="s">
        <v>442</v>
      </c>
      <c r="CV116" s="258" t="s">
        <v>424</v>
      </c>
      <c r="CW116" s="259">
        <v>997000000</v>
      </c>
      <c r="CX116" s="259">
        <v>11700000</v>
      </c>
      <c r="CY116" s="258">
        <v>85.28</v>
      </c>
      <c r="CZ116" s="259" t="s">
        <v>388</v>
      </c>
      <c r="DA116" s="81" t="s">
        <v>389</v>
      </c>
    </row>
    <row r="117" spans="99:106" thickTop="1" thickBot="1" x14ac:dyDescent="0.3">
      <c r="CU117" s="258" t="s">
        <v>442</v>
      </c>
      <c r="CV117" s="258" t="s">
        <v>364</v>
      </c>
      <c r="CW117" s="259">
        <v>992000000</v>
      </c>
      <c r="CX117" s="259">
        <v>44800000</v>
      </c>
      <c r="CY117" s="258">
        <v>22.14</v>
      </c>
      <c r="CZ117" s="258" t="s">
        <v>388</v>
      </c>
      <c r="DA117" s="81" t="s">
        <v>389</v>
      </c>
    </row>
    <row r="118" spans="99:106" thickTop="1" thickBot="1" x14ac:dyDescent="0.3">
      <c r="CU118" s="258" t="s">
        <v>442</v>
      </c>
      <c r="CV118" s="258" t="s">
        <v>404</v>
      </c>
      <c r="CW118" s="259">
        <v>-15.4</v>
      </c>
      <c r="CX118" s="259">
        <v>47.5</v>
      </c>
      <c r="CY118" s="258">
        <v>-0.32</v>
      </c>
      <c r="CZ118" s="258">
        <v>0.75</v>
      </c>
      <c r="DA118" s="167"/>
      <c r="DB118" s="81" t="s">
        <v>389</v>
      </c>
    </row>
    <row r="119" spans="99:106" thickTop="1" thickBot="1" x14ac:dyDescent="0.3">
      <c r="CU119" s="258" t="s">
        <v>442</v>
      </c>
      <c r="CV119" s="258" t="s">
        <v>426</v>
      </c>
      <c r="CW119" s="259">
        <v>-16.5</v>
      </c>
      <c r="CX119" s="259">
        <v>32.700000000000003</v>
      </c>
      <c r="CY119" s="258">
        <v>-0.51</v>
      </c>
      <c r="CZ119" s="258">
        <v>0.61</v>
      </c>
      <c r="DA119" s="167"/>
      <c r="DB119" s="81" t="s">
        <v>389</v>
      </c>
    </row>
    <row r="120" spans="99:106" thickTop="1" thickBot="1" x14ac:dyDescent="0.3">
      <c r="CU120" s="258" t="s">
        <v>442</v>
      </c>
      <c r="CV120" s="258" t="s">
        <v>428</v>
      </c>
      <c r="CW120" s="259">
        <v>3.3599999999999998E-2</v>
      </c>
      <c r="CX120" s="259">
        <v>2.6800000000000001E-4</v>
      </c>
      <c r="CY120" s="258">
        <v>125.57</v>
      </c>
      <c r="CZ120" s="258" t="s">
        <v>388</v>
      </c>
      <c r="DA120" s="167" t="s">
        <v>389</v>
      </c>
      <c r="DB120" s="81" t="s">
        <v>389</v>
      </c>
    </row>
    <row r="121" spans="99:106" thickTop="1" thickBot="1" x14ac:dyDescent="0.3">
      <c r="CU121" s="258" t="s">
        <v>442</v>
      </c>
      <c r="CV121" s="258" t="s">
        <v>429</v>
      </c>
      <c r="CW121" s="259">
        <v>5.8599999999999999E-2</v>
      </c>
      <c r="CX121" s="259">
        <v>2.32E-4</v>
      </c>
      <c r="CY121" s="258">
        <v>252.65</v>
      </c>
      <c r="CZ121" s="258" t="s">
        <v>388</v>
      </c>
      <c r="DA121" s="167" t="s">
        <v>389</v>
      </c>
      <c r="DB121" s="81" t="s">
        <v>389</v>
      </c>
    </row>
    <row r="122" spans="99:106" thickTop="1" thickBot="1" x14ac:dyDescent="0.3">
      <c r="CU122" s="258" t="s">
        <v>442</v>
      </c>
      <c r="CV122" s="258" t="s">
        <v>416</v>
      </c>
      <c r="CW122" s="259">
        <v>-5.95</v>
      </c>
      <c r="CX122" s="259">
        <v>1.9099999999999999E-2</v>
      </c>
      <c r="CY122" s="258">
        <v>-312.24</v>
      </c>
      <c r="CZ122" s="258" t="s">
        <v>388</v>
      </c>
      <c r="DA122" s="167" t="s">
        <v>389</v>
      </c>
      <c r="DB122" s="81" t="s">
        <v>389</v>
      </c>
    </row>
    <row r="123" spans="99:106" thickTop="1" thickBot="1" x14ac:dyDescent="0.3">
      <c r="CU123" s="258" t="s">
        <v>442</v>
      </c>
      <c r="CV123" s="258" t="s">
        <v>430</v>
      </c>
      <c r="CW123" s="259">
        <v>-6.06</v>
      </c>
      <c r="CX123" s="259">
        <v>1.6500000000000001E-2</v>
      </c>
      <c r="CY123" s="258">
        <v>-366.47</v>
      </c>
      <c r="CZ123" s="258" t="s">
        <v>388</v>
      </c>
      <c r="DA123" s="81" t="s">
        <v>389</v>
      </c>
    </row>
    <row r="124" spans="99:106" thickTop="1" thickBot="1" x14ac:dyDescent="0.3">
      <c r="CU124" s="258" t="s">
        <v>442</v>
      </c>
      <c r="CV124" s="258" t="s">
        <v>370</v>
      </c>
      <c r="CW124" s="259">
        <v>160</v>
      </c>
      <c r="CX124" s="259">
        <v>0.92900000000000005</v>
      </c>
      <c r="CY124" s="258">
        <v>172.6</v>
      </c>
      <c r="CZ124" s="258" t="s">
        <v>388</v>
      </c>
      <c r="DA124" s="167" t="s">
        <v>389</v>
      </c>
      <c r="DB124" s="81" t="s">
        <v>389</v>
      </c>
    </row>
    <row r="125" spans="99:106" thickTop="1" thickBot="1" x14ac:dyDescent="0.3">
      <c r="CU125" s="258" t="s">
        <v>442</v>
      </c>
      <c r="CV125" s="258" t="s">
        <v>372</v>
      </c>
      <c r="CW125" s="259">
        <v>1.1800000000000001E-3</v>
      </c>
      <c r="CX125" s="259">
        <v>6.0600000000000001E-2</v>
      </c>
      <c r="CY125" s="258">
        <v>0.02</v>
      </c>
      <c r="CZ125" s="258">
        <v>0.98</v>
      </c>
    </row>
    <row r="126" spans="99:106" thickTop="1" thickBot="1" x14ac:dyDescent="0.3">
      <c r="CU126" s="258" t="s">
        <v>442</v>
      </c>
      <c r="CV126" s="258" t="s">
        <v>374</v>
      </c>
      <c r="CW126" s="259">
        <v>67.5</v>
      </c>
      <c r="CX126" s="259">
        <v>0.83199999999999996</v>
      </c>
      <c r="CY126" s="258">
        <v>81.069999999999993</v>
      </c>
      <c r="CZ126" s="258" t="s">
        <v>388</v>
      </c>
      <c r="DA126" s="81" t="s">
        <v>389</v>
      </c>
    </row>
  </sheetData>
  <mergeCells count="8">
    <mergeCell ref="E36:F36"/>
    <mergeCell ref="A1:G1"/>
    <mergeCell ref="A3:H3"/>
    <mergeCell ref="K3:U3"/>
    <mergeCell ref="W3:AH3"/>
    <mergeCell ref="L4:P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124"/>
  <sheetViews>
    <sheetView tabSelected="1" topLeftCell="D1" zoomScale="55" zoomScaleNormal="55" workbookViewId="0">
      <selection activeCell="AP4" sqref="AP4:AP50"/>
    </sheetView>
  </sheetViews>
  <sheetFormatPr defaultRowHeight="16.5" thickTop="1" thickBottom="1" x14ac:dyDescent="0.3"/>
  <cols>
    <col min="1" max="9" width="9.140625" style="81"/>
    <col min="10" max="10" width="9.140625" style="1"/>
    <col min="11" max="11" width="9.140625" style="81"/>
    <col min="12" max="14" width="9.140625" style="2"/>
    <col min="15" max="16" width="9.140625" style="81"/>
    <col min="17" max="18" width="9.140625" style="153"/>
    <col min="19" max="21" width="9.140625" style="81"/>
    <col min="22" max="22" width="9.140625" style="1"/>
    <col min="23" max="35" width="9.140625" style="81"/>
    <col min="36" max="37" width="9.140625" style="158"/>
    <col min="38" max="38" width="9.140625" style="159"/>
    <col min="39" max="39" width="10.28515625" style="159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9.140625" style="81"/>
    <col min="48" max="51" width="9.140625" style="161"/>
    <col min="52" max="52" width="14.7109375" style="162" bestFit="1" customWidth="1"/>
    <col min="53" max="53" width="9.140625" style="161"/>
    <col min="54" max="54" width="9.140625" style="171"/>
    <col min="55" max="55" width="9.140625" style="81"/>
    <col min="56" max="56" width="16.42578125" style="81" customWidth="1"/>
    <col min="57" max="65" width="9.140625" style="81"/>
    <col min="66" max="66" width="15.7109375" style="81" bestFit="1" customWidth="1"/>
    <col min="67" max="67" width="9.140625" style="81"/>
    <col min="68" max="68" width="9.140625" style="171"/>
    <col min="69" max="80" width="9.140625" style="81"/>
    <col min="81" max="81" width="15.7109375" style="81" bestFit="1" customWidth="1"/>
    <col min="82" max="98" width="9.140625" style="81"/>
    <col min="99" max="104" width="9.140625" style="258"/>
    <col min="105" max="106" width="9.140625" style="81"/>
    <col min="107" max="107" width="15.5703125" style="260" bestFit="1" customWidth="1"/>
    <col min="108" max="111" width="9.140625" style="260"/>
    <col min="112" max="16384" width="9.140625" style="81"/>
  </cols>
  <sheetData>
    <row r="1" spans="1:117" ht="20.25" customHeight="1" thickTop="1" thickBot="1" x14ac:dyDescent="0.35">
      <c r="A1" s="310" t="s">
        <v>312</v>
      </c>
      <c r="B1" s="310"/>
      <c r="C1" s="310"/>
      <c r="D1" s="310"/>
      <c r="E1" s="310"/>
      <c r="F1" s="310"/>
      <c r="G1" s="310"/>
      <c r="AO1" s="160" t="s">
        <v>314</v>
      </c>
      <c r="BC1" s="81" t="s">
        <v>378</v>
      </c>
      <c r="BQ1" s="81" t="s">
        <v>432</v>
      </c>
      <c r="DI1" s="170"/>
      <c r="DJ1" s="170"/>
      <c r="DK1" s="170"/>
      <c r="DL1" s="170"/>
      <c r="DM1" s="170"/>
    </row>
    <row r="2" spans="1:117" thickTop="1" thickBot="1" x14ac:dyDescent="0.3">
      <c r="AO2" s="81" t="s">
        <v>315</v>
      </c>
      <c r="CO2" s="81" t="s">
        <v>316</v>
      </c>
      <c r="CP2" s="79" t="s">
        <v>438</v>
      </c>
      <c r="CQ2" s="79" t="s">
        <v>439</v>
      </c>
      <c r="CR2" s="79" t="s">
        <v>440</v>
      </c>
      <c r="CU2" s="258" t="s">
        <v>441</v>
      </c>
      <c r="DI2" s="170"/>
      <c r="DJ2" s="170"/>
      <c r="DK2" s="170"/>
      <c r="DL2" s="170"/>
      <c r="DM2" s="170"/>
    </row>
    <row r="3" spans="1:117" thickTop="1" thickBot="1" x14ac:dyDescent="0.3">
      <c r="A3" s="313" t="s">
        <v>1</v>
      </c>
      <c r="B3" s="314"/>
      <c r="C3" s="314"/>
      <c r="D3" s="314"/>
      <c r="E3" s="314"/>
      <c r="F3" s="314"/>
      <c r="G3" s="314"/>
      <c r="H3" s="315"/>
      <c r="I3" s="290"/>
      <c r="K3" s="307" t="s">
        <v>2</v>
      </c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4"/>
      <c r="W3" s="307" t="s">
        <v>3</v>
      </c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O3" s="163" t="s">
        <v>316</v>
      </c>
      <c r="AP3" s="164" t="s">
        <v>317</v>
      </c>
      <c r="AQ3" s="164"/>
      <c r="AR3" s="165"/>
      <c r="AS3" s="165"/>
      <c r="AT3" s="165"/>
      <c r="AV3" s="166" t="s">
        <v>318</v>
      </c>
      <c r="BC3" s="172"/>
      <c r="BD3" s="172" t="s">
        <v>379</v>
      </c>
      <c r="BE3" s="172"/>
      <c r="BF3" s="172"/>
      <c r="BJ3" s="173" t="s">
        <v>318</v>
      </c>
      <c r="BK3" s="173"/>
      <c r="BL3" s="173"/>
      <c r="BM3" s="173"/>
      <c r="BN3" s="174"/>
      <c r="BO3" s="173"/>
      <c r="BQ3" s="81" t="s">
        <v>433</v>
      </c>
      <c r="BR3" s="81" t="s">
        <v>379</v>
      </c>
      <c r="CO3" s="81" t="s">
        <v>321</v>
      </c>
      <c r="CP3" s="254">
        <f>AZ4</f>
        <v>0.1617299695920503</v>
      </c>
      <c r="CQ3" s="254">
        <f>BN4</f>
        <v>0.16</v>
      </c>
      <c r="CR3" s="254">
        <f>CC6</f>
        <v>0.19</v>
      </c>
      <c r="DC3" s="260" t="s">
        <v>466</v>
      </c>
      <c r="DI3" s="260" t="s">
        <v>519</v>
      </c>
      <c r="DJ3" s="170"/>
      <c r="DK3" s="170"/>
      <c r="DL3" s="170"/>
      <c r="DM3" s="170"/>
    </row>
    <row r="4" spans="1:117" ht="15.75" customHeight="1" thickTop="1" thickBot="1" x14ac:dyDescent="0.3">
      <c r="A4" s="182" t="s">
        <v>6</v>
      </c>
      <c r="B4" s="183">
        <f>'Tabula data'!B5</f>
        <v>509.6</v>
      </c>
      <c r="C4" s="183" t="s">
        <v>7</v>
      </c>
      <c r="D4" s="182" t="s">
        <v>8</v>
      </c>
      <c r="E4" s="183"/>
      <c r="F4" s="183"/>
      <c r="G4" s="184">
        <f>SUM(H6:H13)</f>
        <v>32.299999999999997</v>
      </c>
      <c r="H4" s="185" t="s">
        <v>9</v>
      </c>
      <c r="I4" s="193"/>
      <c r="L4" s="316" t="s">
        <v>2</v>
      </c>
      <c r="M4" s="317"/>
      <c r="N4" s="317"/>
      <c r="O4" s="317"/>
      <c r="P4" s="318"/>
      <c r="X4" s="226"/>
      <c r="Y4" s="226"/>
      <c r="Z4" s="227" t="s">
        <v>4</v>
      </c>
      <c r="AA4" s="227">
        <v>0.85</v>
      </c>
      <c r="AB4" s="227" t="s">
        <v>5</v>
      </c>
      <c r="AC4" s="226"/>
      <c r="AD4" s="226"/>
      <c r="AE4" s="226"/>
      <c r="AM4" s="159" t="s">
        <v>319</v>
      </c>
      <c r="AN4" s="81" t="s">
        <v>320</v>
      </c>
      <c r="AO4" s="81" t="s">
        <v>321</v>
      </c>
      <c r="AP4" s="81">
        <f>SUM(O6:O9)/(SUM($O$6:$O$14,$O$26,O30)+2*SUM($O$27))</f>
        <v>0.1617299695920503</v>
      </c>
      <c r="AQ4" s="81" t="s">
        <v>322</v>
      </c>
      <c r="AR4" s="167">
        <v>0.1641929</v>
      </c>
      <c r="AV4" s="168" t="s">
        <v>319</v>
      </c>
      <c r="AW4" s="168" t="s">
        <v>320</v>
      </c>
      <c r="AX4" s="168" t="s">
        <v>321</v>
      </c>
      <c r="AY4" s="169" t="s">
        <v>323</v>
      </c>
      <c r="AZ4" s="162">
        <f>AP4</f>
        <v>0.1617299695920503</v>
      </c>
      <c r="BA4" s="168" t="s">
        <v>322</v>
      </c>
      <c r="BC4" s="81" t="s">
        <v>380</v>
      </c>
      <c r="BJ4" s="175" t="s">
        <v>319</v>
      </c>
      <c r="BK4" s="175" t="s">
        <v>320</v>
      </c>
      <c r="BL4" s="175" t="s">
        <v>321</v>
      </c>
      <c r="BM4" s="175" t="s">
        <v>323</v>
      </c>
      <c r="BN4" s="174">
        <f>BD11</f>
        <v>0.16</v>
      </c>
      <c r="BO4" s="175" t="s">
        <v>322</v>
      </c>
      <c r="BQ4" s="81" t="s">
        <v>380</v>
      </c>
      <c r="CO4" s="81" t="s">
        <v>324</v>
      </c>
      <c r="CP4" s="254">
        <f t="shared" ref="CP4:CP49" si="0">AZ5</f>
        <v>0.3991139047997368</v>
      </c>
      <c r="CQ4" s="254">
        <f t="shared" ref="CQ4:CQ49" si="1">BN5</f>
        <v>0.318</v>
      </c>
      <c r="CR4" s="254">
        <f t="shared" ref="CR4:CR49" si="2">CC7</f>
        <v>0.38</v>
      </c>
      <c r="CU4" s="258" t="s">
        <v>442</v>
      </c>
      <c r="CV4" s="258" t="s">
        <v>433</v>
      </c>
      <c r="CW4" s="258" t="s">
        <v>443</v>
      </c>
      <c r="DI4" s="170"/>
      <c r="DJ4" s="170"/>
      <c r="DK4" s="170"/>
      <c r="DL4" s="170"/>
      <c r="DM4" s="170"/>
    </row>
    <row r="5" spans="1:117" ht="15" customHeight="1" thickTop="1" thickBot="1" x14ac:dyDescent="0.3">
      <c r="A5" s="186"/>
      <c r="B5" s="187"/>
      <c r="C5" s="187"/>
      <c r="D5" s="188"/>
      <c r="E5" s="189"/>
      <c r="F5" s="189"/>
      <c r="G5" s="189"/>
      <c r="H5" s="190"/>
      <c r="I5" s="189"/>
      <c r="K5" s="81" t="s">
        <v>10</v>
      </c>
      <c r="L5" s="211" t="s">
        <v>11</v>
      </c>
      <c r="M5" s="212" t="s">
        <v>12</v>
      </c>
      <c r="N5" s="212" t="s">
        <v>13</v>
      </c>
      <c r="O5" s="212" t="s">
        <v>14</v>
      </c>
      <c r="P5" s="213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28" t="s">
        <v>20</v>
      </c>
      <c r="Y5" s="229"/>
      <c r="Z5" s="230" t="s">
        <v>21</v>
      </c>
      <c r="AA5" s="231">
        <f>1/(1/10+SUM(AD9:AD12)+1/23)</f>
        <v>0.3127301569316186</v>
      </c>
      <c r="AB5" s="229" t="s">
        <v>5</v>
      </c>
      <c r="AC5" s="229"/>
      <c r="AD5" s="229" t="s">
        <v>22</v>
      </c>
      <c r="AE5" s="232">
        <f>SUM(AE7:AE10)</f>
        <v>56952</v>
      </c>
      <c r="AF5" s="14" t="s">
        <v>23</v>
      </c>
      <c r="AG5" s="14">
        <f>AE10</f>
        <v>16380</v>
      </c>
      <c r="AH5" s="14"/>
      <c r="AM5" s="159" t="s">
        <v>319</v>
      </c>
      <c r="AN5" s="81" t="s">
        <v>320</v>
      </c>
      <c r="AO5" s="81" t="s">
        <v>324</v>
      </c>
      <c r="AP5" s="81">
        <f>(2*O27+O30)/(SUM($O$6:$O$14,$O$26,O30)+2*SUM($O$27))</f>
        <v>0.3991139047997368</v>
      </c>
      <c r="AQ5" s="81" t="s">
        <v>322</v>
      </c>
      <c r="AR5" s="167">
        <v>0.42146270000000002</v>
      </c>
      <c r="AV5" s="168" t="s">
        <v>319</v>
      </c>
      <c r="AW5" s="168" t="s">
        <v>320</v>
      </c>
      <c r="AX5" s="168" t="s">
        <v>324</v>
      </c>
      <c r="AY5" s="169" t="s">
        <v>323</v>
      </c>
      <c r="AZ5" s="162">
        <f>AP5</f>
        <v>0.3991139047997368</v>
      </c>
      <c r="BA5" s="168" t="s">
        <v>322</v>
      </c>
      <c r="BC5" s="81" t="s">
        <v>381</v>
      </c>
      <c r="BD5" s="81" t="s">
        <v>382</v>
      </c>
      <c r="BE5" s="81" t="s">
        <v>383</v>
      </c>
      <c r="BF5" s="81" t="s">
        <v>384</v>
      </c>
      <c r="BG5" s="81" t="s">
        <v>385</v>
      </c>
      <c r="BJ5" s="175" t="s">
        <v>319</v>
      </c>
      <c r="BK5" s="175" t="s">
        <v>320</v>
      </c>
      <c r="BL5" s="175" t="s">
        <v>324</v>
      </c>
      <c r="BM5" s="175" t="s">
        <v>323</v>
      </c>
      <c r="BN5" s="174">
        <f>BD12</f>
        <v>0.318</v>
      </c>
      <c r="BO5" s="175" t="s">
        <v>322</v>
      </c>
      <c r="BQ5" s="81" t="s">
        <v>381</v>
      </c>
      <c r="BR5" s="81" t="s">
        <v>382</v>
      </c>
      <c r="BS5" s="81" t="s">
        <v>383</v>
      </c>
      <c r="BT5" s="81" t="s">
        <v>384</v>
      </c>
      <c r="BU5" s="81" t="s">
        <v>385</v>
      </c>
      <c r="BV5" s="81" t="s">
        <v>386</v>
      </c>
      <c r="BY5" s="176" t="s">
        <v>318</v>
      </c>
      <c r="BZ5" s="176"/>
      <c r="CA5" s="176"/>
      <c r="CB5" s="176"/>
      <c r="CC5" s="177"/>
      <c r="CD5" s="176"/>
      <c r="CO5" s="81" t="s">
        <v>325</v>
      </c>
      <c r="CP5" s="254">
        <f t="shared" si="0"/>
        <v>3.5206609225974871E-2</v>
      </c>
      <c r="CQ5" s="254">
        <f t="shared" si="1"/>
        <v>0.26200000000000001</v>
      </c>
      <c r="CR5" s="254">
        <f t="shared" si="2"/>
        <v>5.0500000000000003E-2</v>
      </c>
      <c r="CU5" s="258" t="s">
        <v>442</v>
      </c>
      <c r="CV5" s="258" t="s">
        <v>380</v>
      </c>
      <c r="DC5" s="260" t="s">
        <v>467</v>
      </c>
      <c r="DD5" s="261" t="s">
        <v>468</v>
      </c>
      <c r="DE5" s="261" t="s">
        <v>323</v>
      </c>
      <c r="DF5" s="262">
        <f>CW12</f>
        <v>0.94499999999999995</v>
      </c>
      <c r="DG5" s="260" t="s">
        <v>322</v>
      </c>
      <c r="DI5" s="170" t="s">
        <v>467</v>
      </c>
      <c r="DJ5" s="291" t="s">
        <v>468</v>
      </c>
      <c r="DK5" s="291" t="s">
        <v>323</v>
      </c>
      <c r="DL5" s="170">
        <f>$O$11*$Z$37*$AP$4</f>
        <v>0.30405234283305455</v>
      </c>
      <c r="DM5" s="170" t="s">
        <v>322</v>
      </c>
    </row>
    <row r="6" spans="1:117" ht="15" customHeight="1" thickTop="1" thickBot="1" x14ac:dyDescent="0.3">
      <c r="A6" s="191" t="s">
        <v>34</v>
      </c>
      <c r="B6" s="192">
        <f>'Tabula data'!B4</f>
        <v>185.3</v>
      </c>
      <c r="C6" s="193" t="s">
        <v>9</v>
      </c>
      <c r="D6" s="194" t="s">
        <v>35</v>
      </c>
      <c r="E6" s="189" t="s">
        <v>36</v>
      </c>
      <c r="F6" s="195">
        <f t="shared" ref="F6:F13" si="3">H6/$G$4</f>
        <v>0.12074303405572756</v>
      </c>
      <c r="G6" s="189"/>
      <c r="H6" s="196">
        <f>'Tabula data'!B22*'Tabula RefULG 2'!C45</f>
        <v>3.9</v>
      </c>
      <c r="I6" s="208"/>
      <c r="K6" s="81" t="s">
        <v>24</v>
      </c>
      <c r="L6" s="214">
        <v>0</v>
      </c>
      <c r="M6" s="215">
        <v>1</v>
      </c>
      <c r="N6" s="215" t="s">
        <v>25</v>
      </c>
      <c r="O6" s="216">
        <f>'Tabula data'!B19*C43</f>
        <v>19.742421874491026</v>
      </c>
      <c r="P6" s="217" t="s">
        <v>26</v>
      </c>
      <c r="Q6" s="30">
        <f t="shared" ref="Q6:Q31" si="4">VLOOKUP(N6,$X$5:$AA$391,4,0)</f>
        <v>0.31684206193169995</v>
      </c>
      <c r="R6" s="30">
        <f t="shared" ref="R6:R31" si="5">Q6*O6</f>
        <v>6.2552296542392334</v>
      </c>
      <c r="S6" s="30">
        <f t="shared" ref="S6:S14" si="6">VLOOKUP(N6,$X$5:$AE$391,8,0)*O6</f>
        <v>6696160.6173078371</v>
      </c>
      <c r="T6" s="30">
        <f t="shared" ref="T6:T14" si="7">S6/O6</f>
        <v>339176.25</v>
      </c>
      <c r="U6" s="30">
        <f t="shared" ref="U6:U14" si="8">VLOOKUP(N6,$X$5:$AG$391,10,0)*O6</f>
        <v>3573773.2077203658</v>
      </c>
      <c r="V6" s="31"/>
      <c r="W6" s="153"/>
      <c r="X6" s="233"/>
      <c r="Y6" s="234" t="s">
        <v>27</v>
      </c>
      <c r="Z6" s="234" t="s">
        <v>28</v>
      </c>
      <c r="AA6" s="234" t="s">
        <v>29</v>
      </c>
      <c r="AB6" s="234" t="s">
        <v>30</v>
      </c>
      <c r="AC6" s="234" t="s">
        <v>31</v>
      </c>
      <c r="AD6" s="234" t="s">
        <v>32</v>
      </c>
      <c r="AE6" s="235" t="s">
        <v>33</v>
      </c>
      <c r="AF6" s="14"/>
      <c r="AG6" s="14"/>
      <c r="AH6" s="14"/>
      <c r="AM6" s="159" t="s">
        <v>319</v>
      </c>
      <c r="AN6" s="81" t="s">
        <v>320</v>
      </c>
      <c r="AO6" s="81" t="s">
        <v>325</v>
      </c>
      <c r="AP6" s="81">
        <f>SUM(O10:O13)/(SUM($O$6:$O$14,$O$26,O30)+2*SUM($O$27))</f>
        <v>3.5206609225974871E-2</v>
      </c>
      <c r="AQ6" s="81" t="s">
        <v>322</v>
      </c>
      <c r="AR6" s="167">
        <v>0.13510150000000001</v>
      </c>
      <c r="AV6" s="168" t="s">
        <v>319</v>
      </c>
      <c r="AW6" s="168" t="s">
        <v>320</v>
      </c>
      <c r="AX6" s="168" t="s">
        <v>325</v>
      </c>
      <c r="AY6" s="169" t="s">
        <v>323</v>
      </c>
      <c r="AZ6" s="162">
        <f>AP6</f>
        <v>3.5206609225974871E-2</v>
      </c>
      <c r="BA6" s="168" t="s">
        <v>322</v>
      </c>
      <c r="BC6" s="81" t="s">
        <v>387</v>
      </c>
      <c r="BD6" s="167">
        <v>299</v>
      </c>
      <c r="BE6" s="167">
        <v>9.6299999999999997E-2</v>
      </c>
      <c r="BF6" s="81">
        <v>3101.23</v>
      </c>
      <c r="BG6" s="81" t="s">
        <v>388</v>
      </c>
      <c r="BJ6" s="175" t="s">
        <v>319</v>
      </c>
      <c r="BK6" s="175" t="s">
        <v>320</v>
      </c>
      <c r="BL6" s="175" t="s">
        <v>325</v>
      </c>
      <c r="BM6" s="175" t="s">
        <v>323</v>
      </c>
      <c r="BN6" s="174">
        <f>BD13</f>
        <v>0.26200000000000001</v>
      </c>
      <c r="BO6" s="175" t="s">
        <v>322</v>
      </c>
      <c r="BQ6" s="81" t="s">
        <v>387</v>
      </c>
      <c r="BR6" s="167">
        <v>291</v>
      </c>
      <c r="BS6" s="167">
        <v>0.14199999999999999</v>
      </c>
      <c r="BT6" s="81">
        <v>2053.1799999999998</v>
      </c>
      <c r="BU6" s="81" t="s">
        <v>422</v>
      </c>
      <c r="BV6" s="167">
        <v>2E-16</v>
      </c>
      <c r="BW6" s="81" t="s">
        <v>389</v>
      </c>
      <c r="BY6" s="178" t="s">
        <v>319</v>
      </c>
      <c r="BZ6" s="178" t="s">
        <v>320</v>
      </c>
      <c r="CA6" s="178" t="s">
        <v>321</v>
      </c>
      <c r="CB6" s="178" t="s">
        <v>323</v>
      </c>
      <c r="CC6" s="177">
        <f>BR11</f>
        <v>0.19</v>
      </c>
      <c r="CD6" s="178" t="s">
        <v>322</v>
      </c>
      <c r="CO6" s="81" t="s">
        <v>326</v>
      </c>
      <c r="CP6" s="254">
        <f t="shared" si="0"/>
        <v>0.20927767713272988</v>
      </c>
      <c r="CQ6" s="254">
        <f t="shared" si="1"/>
        <v>0.156</v>
      </c>
      <c r="CR6" s="254">
        <f t="shared" si="2"/>
        <v>0.20300000000000001</v>
      </c>
      <c r="CU6" s="258" t="s">
        <v>442</v>
      </c>
      <c r="CV6" s="258" t="s">
        <v>381</v>
      </c>
      <c r="CW6" s="258" t="s">
        <v>382</v>
      </c>
      <c r="CX6" s="258" t="s">
        <v>383</v>
      </c>
      <c r="CY6" s="258" t="s">
        <v>384</v>
      </c>
      <c r="CZ6" s="258" t="s">
        <v>385</v>
      </c>
      <c r="DA6" s="81" t="s">
        <v>386</v>
      </c>
      <c r="DC6" s="260" t="s">
        <v>467</v>
      </c>
      <c r="DD6" s="261" t="s">
        <v>469</v>
      </c>
      <c r="DE6" s="261" t="s">
        <v>323</v>
      </c>
      <c r="DF6" s="262">
        <f t="shared" ref="DF6:DF24" si="9">CW13</f>
        <v>0.79800000000000004</v>
      </c>
      <c r="DG6" s="260" t="s">
        <v>322</v>
      </c>
      <c r="DI6" s="170" t="s">
        <v>467</v>
      </c>
      <c r="DJ6" s="291" t="s">
        <v>469</v>
      </c>
      <c r="DK6" s="291" t="s">
        <v>323</v>
      </c>
      <c r="DL6" s="170">
        <f>$O$10*$Z$37*$AP$4</f>
        <v>0.29645103426222819</v>
      </c>
      <c r="DM6" s="170" t="s">
        <v>322</v>
      </c>
    </row>
    <row r="7" spans="1:117" ht="15" customHeight="1" thickTop="1" thickBot="1" x14ac:dyDescent="0.3">
      <c r="A7" s="194" t="s">
        <v>42</v>
      </c>
      <c r="B7" s="197">
        <f>'Tabula data'!B14</f>
        <v>96</v>
      </c>
      <c r="C7" s="198" t="s">
        <v>9</v>
      </c>
      <c r="D7" s="194" t="s">
        <v>43</v>
      </c>
      <c r="E7" s="189" t="s">
        <v>36</v>
      </c>
      <c r="F7" s="195">
        <f t="shared" si="3"/>
        <v>0.12383900928792571</v>
      </c>
      <c r="G7" s="189"/>
      <c r="H7" s="196">
        <f>'Tabula data'!B23*'Tabula RefULG 2'!C45</f>
        <v>4</v>
      </c>
      <c r="I7" s="208"/>
      <c r="K7" s="81" t="s">
        <v>38</v>
      </c>
      <c r="L7" s="218">
        <v>0</v>
      </c>
      <c r="M7" s="219">
        <v>1</v>
      </c>
      <c r="N7" s="219" t="s">
        <v>25</v>
      </c>
      <c r="O7" s="220">
        <f>'Tabula data'!B20*C43</f>
        <v>34.704039143624534</v>
      </c>
      <c r="P7" s="221" t="s">
        <v>39</v>
      </c>
      <c r="Q7" s="30">
        <f t="shared" si="4"/>
        <v>0.31684206193169995</v>
      </c>
      <c r="R7" s="30">
        <f t="shared" si="5"/>
        <v>10.995699319624423</v>
      </c>
      <c r="S7" s="30">
        <f t="shared" si="6"/>
        <v>11770785.856587781</v>
      </c>
      <c r="T7" s="30">
        <f t="shared" si="7"/>
        <v>339176.25</v>
      </c>
      <c r="U7" s="30">
        <f t="shared" si="8"/>
        <v>6282125.1657789145</v>
      </c>
      <c r="V7" s="31"/>
      <c r="W7" s="153"/>
      <c r="X7" s="188"/>
      <c r="Y7" s="189" t="s">
        <v>40</v>
      </c>
      <c r="Z7" s="189">
        <v>2.5000000000000001E-2</v>
      </c>
      <c r="AA7" s="189">
        <v>1.3</v>
      </c>
      <c r="AB7" s="189">
        <v>1700</v>
      </c>
      <c r="AC7" s="189">
        <v>840</v>
      </c>
      <c r="AD7" s="236">
        <f>Z7/AA7</f>
        <v>1.9230769230769232E-2</v>
      </c>
      <c r="AE7" s="190">
        <f>Z7*AB7*AC7</f>
        <v>35700</v>
      </c>
      <c r="AF7" s="14" t="s">
        <v>41</v>
      </c>
      <c r="AG7" s="14"/>
      <c r="AH7" s="14"/>
      <c r="AM7" s="159" t="s">
        <v>319</v>
      </c>
      <c r="AN7" s="81" t="s">
        <v>320</v>
      </c>
      <c r="AO7" s="81" t="s">
        <v>326</v>
      </c>
      <c r="AP7" s="81">
        <f>SUM(O14)/(SUM($O$6:$O$14,$O$26,O30)+2*SUM($O$27))</f>
        <v>0.20927767713272988</v>
      </c>
      <c r="AQ7" s="81" t="s">
        <v>322</v>
      </c>
      <c r="AR7" s="167">
        <v>0.161666</v>
      </c>
      <c r="AV7" s="168" t="s">
        <v>319</v>
      </c>
      <c r="AW7" s="168" t="s">
        <v>320</v>
      </c>
      <c r="AX7" s="168" t="s">
        <v>326</v>
      </c>
      <c r="AY7" s="169" t="s">
        <v>323</v>
      </c>
      <c r="AZ7" s="162">
        <f>AP7</f>
        <v>0.20927767713272988</v>
      </c>
      <c r="BA7" s="168" t="s">
        <v>322</v>
      </c>
      <c r="BC7" s="81" t="s">
        <v>390</v>
      </c>
      <c r="BD7" s="167">
        <v>295</v>
      </c>
      <c r="BE7" s="167">
        <v>4.9200000000000001E-2</v>
      </c>
      <c r="BF7" s="81">
        <v>5996.7</v>
      </c>
      <c r="BG7" s="81" t="s">
        <v>388</v>
      </c>
      <c r="BJ7" s="175" t="s">
        <v>319</v>
      </c>
      <c r="BK7" s="175" t="s">
        <v>320</v>
      </c>
      <c r="BL7" s="175" t="s">
        <v>326</v>
      </c>
      <c r="BM7" s="175" t="s">
        <v>323</v>
      </c>
      <c r="BN7" s="174">
        <f>BD14</f>
        <v>0.156</v>
      </c>
      <c r="BO7" s="175" t="s">
        <v>322</v>
      </c>
      <c r="BQ7" s="81" t="s">
        <v>390</v>
      </c>
      <c r="BR7" s="167">
        <v>289</v>
      </c>
      <c r="BS7" s="167">
        <v>0.112</v>
      </c>
      <c r="BT7" s="81">
        <v>2573.84</v>
      </c>
      <c r="BU7" s="81" t="s">
        <v>422</v>
      </c>
      <c r="BV7" s="167">
        <v>2E-16</v>
      </c>
      <c r="BW7" s="81" t="s">
        <v>389</v>
      </c>
      <c r="BY7" s="178" t="s">
        <v>319</v>
      </c>
      <c r="BZ7" s="178" t="s">
        <v>320</v>
      </c>
      <c r="CA7" s="178" t="s">
        <v>324</v>
      </c>
      <c r="CB7" s="178" t="s">
        <v>323</v>
      </c>
      <c r="CC7" s="177">
        <f>BR12</f>
        <v>0.38</v>
      </c>
      <c r="CD7" s="178" t="s">
        <v>322</v>
      </c>
      <c r="CP7" s="255"/>
      <c r="CQ7" s="255"/>
      <c r="CR7" s="255"/>
      <c r="CU7" s="258" t="s">
        <v>442</v>
      </c>
      <c r="CV7" s="258" t="s">
        <v>387</v>
      </c>
      <c r="CW7" s="259">
        <v>291</v>
      </c>
      <c r="CX7" s="259">
        <v>0.13900000000000001</v>
      </c>
      <c r="CY7" s="258">
        <v>2093.4699999999998</v>
      </c>
      <c r="CZ7" s="258" t="s">
        <v>422</v>
      </c>
      <c r="DA7" s="167">
        <v>2E-16</v>
      </c>
      <c r="DB7" s="81" t="s">
        <v>389</v>
      </c>
      <c r="DC7" s="260" t="s">
        <v>467</v>
      </c>
      <c r="DD7" s="263" t="s">
        <v>470</v>
      </c>
      <c r="DE7" s="261" t="s">
        <v>323</v>
      </c>
      <c r="DF7" s="262">
        <f t="shared" si="9"/>
        <v>1.04</v>
      </c>
      <c r="DG7" s="260" t="s">
        <v>322</v>
      </c>
      <c r="DI7" s="170" t="s">
        <v>467</v>
      </c>
      <c r="DJ7" s="292" t="s">
        <v>470</v>
      </c>
      <c r="DK7" s="291" t="s">
        <v>323</v>
      </c>
      <c r="DL7" s="170">
        <f>$O$12*$Z$37*$AP$4</f>
        <v>0.34585953997259949</v>
      </c>
      <c r="DM7" s="170" t="s">
        <v>322</v>
      </c>
    </row>
    <row r="8" spans="1:117" ht="15" customHeight="1" thickTop="1" thickBot="1" x14ac:dyDescent="0.3">
      <c r="A8" s="194" t="s">
        <v>47</v>
      </c>
      <c r="B8" s="197">
        <f>B6-B7</f>
        <v>89.300000000000011</v>
      </c>
      <c r="C8" s="189" t="s">
        <v>9</v>
      </c>
      <c r="D8" s="194" t="s">
        <v>48</v>
      </c>
      <c r="E8" s="189" t="s">
        <v>36</v>
      </c>
      <c r="F8" s="195">
        <f t="shared" si="3"/>
        <v>0.1408668730650155</v>
      </c>
      <c r="G8" s="189"/>
      <c r="H8" s="196">
        <f>'Tabula data'!B24*C45</f>
        <v>4.55</v>
      </c>
      <c r="I8" s="208"/>
      <c r="K8" s="81" t="s">
        <v>44</v>
      </c>
      <c r="L8" s="218">
        <v>0</v>
      </c>
      <c r="M8" s="219">
        <v>1</v>
      </c>
      <c r="N8" s="219" t="s">
        <v>25</v>
      </c>
      <c r="O8" s="220">
        <f>O6</f>
        <v>19.742421874491026</v>
      </c>
      <c r="P8" s="221" t="s">
        <v>45</v>
      </c>
      <c r="Q8" s="30">
        <f t="shared" si="4"/>
        <v>0.31684206193169995</v>
      </c>
      <c r="R8" s="30">
        <f t="shared" si="5"/>
        <v>6.2552296542392334</v>
      </c>
      <c r="S8" s="30">
        <f t="shared" si="6"/>
        <v>6696160.6173078371</v>
      </c>
      <c r="T8" s="30">
        <f t="shared" si="7"/>
        <v>339176.25</v>
      </c>
      <c r="U8" s="30">
        <f t="shared" si="8"/>
        <v>3573773.2077203658</v>
      </c>
      <c r="V8" s="31"/>
      <c r="W8" s="153"/>
      <c r="X8" s="188"/>
      <c r="Y8" s="189" t="s">
        <v>46</v>
      </c>
      <c r="Z8" s="189">
        <v>0.03</v>
      </c>
      <c r="AA8" s="189">
        <f>0.18/Z8</f>
        <v>6</v>
      </c>
      <c r="AB8" s="189">
        <v>0</v>
      </c>
      <c r="AC8" s="189">
        <v>0</v>
      </c>
      <c r="AD8" s="236">
        <v>0.18</v>
      </c>
      <c r="AE8" s="190">
        <f>Z8*AB8*AC8</f>
        <v>0</v>
      </c>
      <c r="AF8" s="14"/>
      <c r="AG8" s="14"/>
      <c r="AH8" s="14"/>
      <c r="AQ8" s="81" t="s">
        <v>322</v>
      </c>
      <c r="AR8" s="167"/>
      <c r="AV8" s="168"/>
      <c r="AW8" s="168"/>
      <c r="AX8" s="168"/>
      <c r="AY8" s="169"/>
      <c r="BA8" s="168"/>
      <c r="BC8" s="81" t="s">
        <v>391</v>
      </c>
      <c r="BD8" s="167">
        <v>299</v>
      </c>
      <c r="BE8" s="167">
        <v>2.6599999999999999E-2</v>
      </c>
      <c r="BF8" s="81">
        <v>11253.68</v>
      </c>
      <c r="BG8" s="81" t="s">
        <v>388</v>
      </c>
      <c r="BJ8" s="175"/>
      <c r="BK8" s="175"/>
      <c r="BL8" s="175"/>
      <c r="BM8" s="175"/>
      <c r="BN8" s="174"/>
      <c r="BO8" s="175"/>
      <c r="BQ8" s="81" t="s">
        <v>391</v>
      </c>
      <c r="BR8" s="167">
        <v>295</v>
      </c>
      <c r="BS8" s="167">
        <v>5.5100000000000003E-2</v>
      </c>
      <c r="BT8" s="81">
        <v>5345.13</v>
      </c>
      <c r="BU8" s="81" t="s">
        <v>422</v>
      </c>
      <c r="BV8" s="167">
        <v>2E-16</v>
      </c>
      <c r="BW8" s="81" t="s">
        <v>389</v>
      </c>
      <c r="BY8" s="178" t="s">
        <v>319</v>
      </c>
      <c r="BZ8" s="178" t="s">
        <v>320</v>
      </c>
      <c r="CA8" s="178" t="s">
        <v>325</v>
      </c>
      <c r="CB8" s="178" t="s">
        <v>323</v>
      </c>
      <c r="CC8" s="177">
        <f>BR13</f>
        <v>5.0500000000000003E-2</v>
      </c>
      <c r="CD8" s="178" t="s">
        <v>322</v>
      </c>
      <c r="CO8" s="81" t="s">
        <v>327</v>
      </c>
      <c r="CP8" s="256">
        <f t="shared" si="0"/>
        <v>1768166.3999999999</v>
      </c>
      <c r="CQ8" s="256">
        <f t="shared" si="1"/>
        <v>2950000</v>
      </c>
      <c r="CR8" s="256">
        <f t="shared" si="2"/>
        <v>3560000</v>
      </c>
      <c r="CU8" s="258" t="s">
        <v>442</v>
      </c>
      <c r="CV8" s="258" t="s">
        <v>390</v>
      </c>
      <c r="CW8" s="259">
        <v>289</v>
      </c>
      <c r="CX8" s="259">
        <v>0.107</v>
      </c>
      <c r="CY8" s="258">
        <v>2703.03</v>
      </c>
      <c r="CZ8" s="258" t="s">
        <v>422</v>
      </c>
      <c r="DA8" s="167">
        <v>2E-16</v>
      </c>
      <c r="DB8" s="81" t="s">
        <v>389</v>
      </c>
      <c r="DC8" s="260" t="s">
        <v>467</v>
      </c>
      <c r="DD8" s="264" t="s">
        <v>471</v>
      </c>
      <c r="DE8" s="261" t="s">
        <v>323</v>
      </c>
      <c r="DF8" s="262">
        <f t="shared" si="9"/>
        <v>0.82699999999999996</v>
      </c>
      <c r="DG8" s="260" t="s">
        <v>322</v>
      </c>
      <c r="DI8" s="170" t="s">
        <v>467</v>
      </c>
      <c r="DJ8" s="293" t="s">
        <v>471</v>
      </c>
      <c r="DK8" s="291" t="s">
        <v>323</v>
      </c>
      <c r="DL8" s="170">
        <f>$O$13*$Z$37*$AP$4</f>
        <v>0.28124841712057547</v>
      </c>
      <c r="DM8" s="170" t="s">
        <v>322</v>
      </c>
    </row>
    <row r="9" spans="1:117" ht="15" customHeight="1" thickTop="1" thickBot="1" x14ac:dyDescent="0.3">
      <c r="A9" s="188"/>
      <c r="B9" s="189"/>
      <c r="C9" s="189"/>
      <c r="D9" s="194" t="s">
        <v>52</v>
      </c>
      <c r="E9" s="199" t="s">
        <v>36</v>
      </c>
      <c r="F9" s="195">
        <f t="shared" si="3"/>
        <v>0.11455108359133129</v>
      </c>
      <c r="G9" s="189"/>
      <c r="H9" s="196">
        <f>'Tabula data'!B25*'Tabula RefULG 2'!C45</f>
        <v>3.7</v>
      </c>
      <c r="I9" s="208"/>
      <c r="K9" s="81" t="s">
        <v>49</v>
      </c>
      <c r="L9" s="218">
        <v>0</v>
      </c>
      <c r="M9" s="219">
        <v>1</v>
      </c>
      <c r="N9" s="219" t="s">
        <v>25</v>
      </c>
      <c r="O9" s="220">
        <v>0</v>
      </c>
      <c r="P9" s="221" t="s">
        <v>50</v>
      </c>
      <c r="Q9" s="30">
        <f t="shared" si="4"/>
        <v>0.31684206193169995</v>
      </c>
      <c r="R9" s="30">
        <f t="shared" si="5"/>
        <v>0</v>
      </c>
      <c r="S9" s="30">
        <f t="shared" si="6"/>
        <v>0</v>
      </c>
      <c r="T9" s="30" t="e">
        <f t="shared" si="7"/>
        <v>#DIV/0!</v>
      </c>
      <c r="U9" s="30">
        <f t="shared" si="8"/>
        <v>0</v>
      </c>
      <c r="V9" s="31"/>
      <c r="W9" s="153"/>
      <c r="X9" s="188"/>
      <c r="Y9" s="199" t="s">
        <v>51</v>
      </c>
      <c r="Z9" s="270">
        <v>7.2499999999999995E-2</v>
      </c>
      <c r="AA9" s="270">
        <v>2.4E-2</v>
      </c>
      <c r="AB9" s="189">
        <v>80</v>
      </c>
      <c r="AC9" s="189">
        <v>840</v>
      </c>
      <c r="AD9" s="236">
        <f>Z9/AA9</f>
        <v>3.020833333333333</v>
      </c>
      <c r="AE9" s="190">
        <f>Z9*AB9*AC9</f>
        <v>4872</v>
      </c>
      <c r="AF9" s="149" t="s">
        <v>270</v>
      </c>
      <c r="AG9" s="14"/>
      <c r="AH9" s="14"/>
      <c r="AM9" s="159" t="s">
        <v>319</v>
      </c>
      <c r="AN9" s="81" t="s">
        <v>320</v>
      </c>
      <c r="AO9" s="81" t="s">
        <v>327</v>
      </c>
      <c r="AP9" s="167">
        <f>B34*1.04*1012*5</f>
        <v>1768166.3999999999</v>
      </c>
      <c r="AQ9" s="81" t="s">
        <v>322</v>
      </c>
      <c r="AR9" s="167">
        <v>2745646</v>
      </c>
      <c r="AV9" s="168" t="s">
        <v>319</v>
      </c>
      <c r="AW9" s="168" t="s">
        <v>320</v>
      </c>
      <c r="AX9" s="168" t="s">
        <v>327</v>
      </c>
      <c r="AY9" s="169" t="s">
        <v>323</v>
      </c>
      <c r="AZ9" s="162">
        <f>AP9</f>
        <v>1768166.3999999999</v>
      </c>
      <c r="BA9" s="168" t="s">
        <v>322</v>
      </c>
      <c r="BC9" s="81" t="s">
        <v>392</v>
      </c>
      <c r="BD9" s="167">
        <v>297</v>
      </c>
      <c r="BE9" s="167">
        <v>9.3200000000000005E-2</v>
      </c>
      <c r="BF9" s="81">
        <v>3182.59</v>
      </c>
      <c r="BG9" s="81" t="s">
        <v>388</v>
      </c>
      <c r="BJ9" s="175" t="s">
        <v>319</v>
      </c>
      <c r="BK9" s="175" t="s">
        <v>320</v>
      </c>
      <c r="BL9" s="175" t="s">
        <v>327</v>
      </c>
      <c r="BM9" s="175" t="s">
        <v>323</v>
      </c>
      <c r="BN9" s="174">
        <f>BD19</f>
        <v>2950000</v>
      </c>
      <c r="BO9" s="175" t="s">
        <v>322</v>
      </c>
      <c r="BQ9" s="81" t="s">
        <v>392</v>
      </c>
      <c r="BR9" s="167">
        <v>290</v>
      </c>
      <c r="BS9" s="167">
        <v>0.124</v>
      </c>
      <c r="BT9" s="81">
        <v>2333.5300000000002</v>
      </c>
      <c r="BU9" s="81" t="s">
        <v>422</v>
      </c>
      <c r="BV9" s="167">
        <v>2E-16</v>
      </c>
      <c r="BW9" s="81" t="s">
        <v>389</v>
      </c>
      <c r="BY9" s="178" t="s">
        <v>319</v>
      </c>
      <c r="BZ9" s="178" t="s">
        <v>320</v>
      </c>
      <c r="CA9" s="178" t="s">
        <v>326</v>
      </c>
      <c r="CB9" s="178" t="s">
        <v>323</v>
      </c>
      <c r="CC9" s="177">
        <f>BR14</f>
        <v>0.20300000000000001</v>
      </c>
      <c r="CD9" s="178" t="s">
        <v>322</v>
      </c>
      <c r="CO9" s="81" t="s">
        <v>328</v>
      </c>
      <c r="CP9" s="256">
        <f t="shared" si="0"/>
        <v>13429671.581219645</v>
      </c>
      <c r="CQ9" s="256">
        <f t="shared" si="1"/>
        <v>23100000</v>
      </c>
      <c r="CR9" s="256">
        <f t="shared" si="2"/>
        <v>32200000</v>
      </c>
      <c r="CU9" s="258" t="s">
        <v>442</v>
      </c>
      <c r="CV9" s="258" t="s">
        <v>391</v>
      </c>
      <c r="CW9" s="259">
        <v>295</v>
      </c>
      <c r="CX9" s="259">
        <v>5.5599999999999997E-2</v>
      </c>
      <c r="CY9" s="258">
        <v>5294.33</v>
      </c>
      <c r="CZ9" s="258" t="s">
        <v>422</v>
      </c>
      <c r="DA9" s="167">
        <v>2E-16</v>
      </c>
      <c r="DB9" s="81" t="s">
        <v>389</v>
      </c>
      <c r="DC9" s="260" t="s">
        <v>467</v>
      </c>
      <c r="DD9" s="264" t="s">
        <v>472</v>
      </c>
      <c r="DE9" s="261" t="s">
        <v>323</v>
      </c>
      <c r="DF9" s="262">
        <f t="shared" si="9"/>
        <v>1.83</v>
      </c>
      <c r="DG9" s="260" t="s">
        <v>322</v>
      </c>
      <c r="DI9" s="170" t="s">
        <v>467</v>
      </c>
      <c r="DJ9" s="293" t="s">
        <v>472</v>
      </c>
      <c r="DK9" s="291" t="s">
        <v>323</v>
      </c>
      <c r="DL9" s="170">
        <f>$O$11*$Z$37*$AP$5</f>
        <v>0.75033414102350515</v>
      </c>
      <c r="DM9" s="170" t="s">
        <v>322</v>
      </c>
    </row>
    <row r="10" spans="1:117" ht="15" customHeight="1" thickTop="1" thickBot="1" x14ac:dyDescent="0.3">
      <c r="A10" s="188"/>
      <c r="B10" s="189"/>
      <c r="C10" s="189"/>
      <c r="D10" s="194" t="s">
        <v>35</v>
      </c>
      <c r="E10" s="199" t="s">
        <v>56</v>
      </c>
      <c r="F10" s="195">
        <f t="shared" si="3"/>
        <v>0.12074303405572756</v>
      </c>
      <c r="G10" s="189"/>
      <c r="H10" s="200">
        <f>'Tabula data'!B22*(1-C45)</f>
        <v>3.9</v>
      </c>
      <c r="I10" s="206"/>
      <c r="K10" s="81" t="s">
        <v>53</v>
      </c>
      <c r="L10" s="218">
        <v>0</v>
      </c>
      <c r="M10" s="219">
        <v>1</v>
      </c>
      <c r="N10" s="219" t="s">
        <v>54</v>
      </c>
      <c r="O10" s="220">
        <f>H6</f>
        <v>3.9</v>
      </c>
      <c r="P10" s="221" t="s">
        <v>26</v>
      </c>
      <c r="Q10" s="30">
        <f t="shared" si="4"/>
        <v>2</v>
      </c>
      <c r="R10" s="30">
        <f t="shared" si="5"/>
        <v>7.8</v>
      </c>
      <c r="S10" s="30">
        <f t="shared" si="6"/>
        <v>0</v>
      </c>
      <c r="T10" s="30">
        <f t="shared" si="7"/>
        <v>0</v>
      </c>
      <c r="U10" s="30">
        <f t="shared" si="8"/>
        <v>0</v>
      </c>
      <c r="V10" s="31"/>
      <c r="W10" s="153"/>
      <c r="X10" s="205"/>
      <c r="Y10" s="187" t="s">
        <v>58</v>
      </c>
      <c r="Z10" s="187">
        <v>0.02</v>
      </c>
      <c r="AA10" s="187">
        <v>0.6</v>
      </c>
      <c r="AB10" s="187">
        <v>975</v>
      </c>
      <c r="AC10" s="187">
        <v>840</v>
      </c>
      <c r="AD10" s="237">
        <f>Z10/AA10</f>
        <v>3.3333333333333333E-2</v>
      </c>
      <c r="AE10" s="210">
        <f>Z10*AB10*AC10</f>
        <v>16380</v>
      </c>
      <c r="AF10" s="14"/>
      <c r="AG10" s="14"/>
      <c r="AH10" s="14"/>
      <c r="AM10" s="159" t="s">
        <v>319</v>
      </c>
      <c r="AN10" s="81" t="s">
        <v>320</v>
      </c>
      <c r="AO10" s="81" t="s">
        <v>328</v>
      </c>
      <c r="AP10" s="167">
        <f>SUM(U6:U9)</f>
        <v>13429671.581219645</v>
      </c>
      <c r="AQ10" s="81" t="s">
        <v>322</v>
      </c>
      <c r="AR10" s="167">
        <v>14395560</v>
      </c>
      <c r="AV10" s="168" t="s">
        <v>319</v>
      </c>
      <c r="AW10" s="168" t="s">
        <v>320</v>
      </c>
      <c r="AX10" s="168" t="s">
        <v>328</v>
      </c>
      <c r="AY10" s="169" t="s">
        <v>323</v>
      </c>
      <c r="AZ10" s="162">
        <f>AP10</f>
        <v>13429671.581219645</v>
      </c>
      <c r="BA10" s="168" t="s">
        <v>322</v>
      </c>
      <c r="BC10" s="81" t="s">
        <v>393</v>
      </c>
      <c r="BD10" s="167">
        <v>297</v>
      </c>
      <c r="BE10" s="167">
        <v>2.92E-2</v>
      </c>
      <c r="BF10" s="81">
        <v>10162.700000000001</v>
      </c>
      <c r="BG10" s="81" t="s">
        <v>388</v>
      </c>
      <c r="BJ10" s="175" t="s">
        <v>319</v>
      </c>
      <c r="BK10" s="175" t="s">
        <v>320</v>
      </c>
      <c r="BL10" s="175" t="s">
        <v>328</v>
      </c>
      <c r="BM10" s="175" t="s">
        <v>323</v>
      </c>
      <c r="BN10" s="174">
        <f>BD20</f>
        <v>23100000</v>
      </c>
      <c r="BO10" s="175" t="s">
        <v>322</v>
      </c>
      <c r="BQ10" s="81" t="s">
        <v>393</v>
      </c>
      <c r="BR10" s="167">
        <v>292</v>
      </c>
      <c r="BS10" s="167">
        <v>7.2499999999999995E-2</v>
      </c>
      <c r="BT10" s="81">
        <v>4026.39</v>
      </c>
      <c r="BU10" s="81" t="s">
        <v>422</v>
      </c>
      <c r="BV10" s="167">
        <v>2E-16</v>
      </c>
      <c r="BW10" s="81" t="s">
        <v>389</v>
      </c>
      <c r="BY10" s="178"/>
      <c r="BZ10" s="178"/>
      <c r="CA10" s="178"/>
      <c r="CB10" s="178"/>
      <c r="CC10" s="179"/>
      <c r="CD10" s="178"/>
      <c r="CO10" s="81" t="s">
        <v>329</v>
      </c>
      <c r="CP10" s="256">
        <f t="shared" si="0"/>
        <v>7322442.7415002715</v>
      </c>
      <c r="CQ10" s="256">
        <f t="shared" si="1"/>
        <v>30400000</v>
      </c>
      <c r="CR10" s="256">
        <f t="shared" si="2"/>
        <v>25400000</v>
      </c>
      <c r="CU10" s="258" t="s">
        <v>442</v>
      </c>
      <c r="CV10" s="258" t="s">
        <v>392</v>
      </c>
      <c r="CW10" s="259">
        <v>290</v>
      </c>
      <c r="CX10" s="259">
        <v>9.0300000000000005E-2</v>
      </c>
      <c r="CY10" s="258">
        <v>3213.33</v>
      </c>
      <c r="CZ10" s="258" t="s">
        <v>422</v>
      </c>
      <c r="DA10" s="167">
        <v>2E-16</v>
      </c>
      <c r="DB10" s="81" t="s">
        <v>389</v>
      </c>
      <c r="DC10" s="260" t="s">
        <v>467</v>
      </c>
      <c r="DD10" s="264" t="s">
        <v>473</v>
      </c>
      <c r="DE10" s="261" t="s">
        <v>323</v>
      </c>
      <c r="DF10" s="262">
        <f t="shared" si="9"/>
        <v>1.22</v>
      </c>
      <c r="DG10" s="260" t="s">
        <v>322</v>
      </c>
      <c r="DI10" s="170" t="s">
        <v>467</v>
      </c>
      <c r="DJ10" s="293" t="s">
        <v>473</v>
      </c>
      <c r="DK10" s="291" t="s">
        <v>323</v>
      </c>
      <c r="DL10" s="170">
        <f>$O$10*$Z$37*$AP$5</f>
        <v>0.73157578749791752</v>
      </c>
      <c r="DM10" s="170" t="s">
        <v>322</v>
      </c>
    </row>
    <row r="11" spans="1:117" ht="15" customHeight="1" thickTop="1" thickBot="1" x14ac:dyDescent="0.3">
      <c r="A11" s="188"/>
      <c r="B11" s="189"/>
      <c r="C11" s="189"/>
      <c r="D11" s="194" t="s">
        <v>43</v>
      </c>
      <c r="E11" s="199" t="s">
        <v>56</v>
      </c>
      <c r="F11" s="195">
        <f t="shared" si="3"/>
        <v>0.12383900928792571</v>
      </c>
      <c r="G11" s="189"/>
      <c r="H11" s="200">
        <f>'Tabula data'!B23*(1-'Tabula RefULG 2'!C45)</f>
        <v>4</v>
      </c>
      <c r="I11" s="206"/>
      <c r="K11" s="81" t="s">
        <v>57</v>
      </c>
      <c r="L11" s="218">
        <v>0</v>
      </c>
      <c r="M11" s="219">
        <v>1</v>
      </c>
      <c r="N11" s="219" t="s">
        <v>54</v>
      </c>
      <c r="O11" s="220">
        <f>H7</f>
        <v>4</v>
      </c>
      <c r="P11" s="221" t="s">
        <v>39</v>
      </c>
      <c r="Q11" s="30">
        <f t="shared" si="4"/>
        <v>2</v>
      </c>
      <c r="R11" s="30">
        <f t="shared" si="5"/>
        <v>8</v>
      </c>
      <c r="S11" s="30">
        <f t="shared" si="6"/>
        <v>0</v>
      </c>
      <c r="T11" s="30">
        <f t="shared" si="7"/>
        <v>0</v>
      </c>
      <c r="U11" s="30">
        <f t="shared" si="8"/>
        <v>0</v>
      </c>
      <c r="V11" s="31"/>
      <c r="W11" s="153"/>
      <c r="X11" s="189"/>
      <c r="Y11" s="189"/>
      <c r="Z11" s="238"/>
      <c r="AA11" s="238"/>
      <c r="AB11" s="238"/>
      <c r="AC11" s="189"/>
      <c r="AD11" s="236"/>
      <c r="AE11" s="189"/>
      <c r="AF11" s="14"/>
      <c r="AG11" s="14"/>
      <c r="AH11" s="14"/>
      <c r="AM11" s="159" t="s">
        <v>319</v>
      </c>
      <c r="AN11" s="81" t="s">
        <v>320</v>
      </c>
      <c r="AO11" s="81" t="s">
        <v>329</v>
      </c>
      <c r="AP11" s="167">
        <f>SUM(U27,U30)/2</f>
        <v>7322442.7415002715</v>
      </c>
      <c r="AQ11" s="81" t="s">
        <v>322</v>
      </c>
      <c r="AR11" s="167">
        <v>26154150</v>
      </c>
      <c r="AV11" s="168" t="s">
        <v>319</v>
      </c>
      <c r="AW11" s="168" t="s">
        <v>320</v>
      </c>
      <c r="AX11" s="168" t="s">
        <v>329</v>
      </c>
      <c r="AY11" s="169" t="s">
        <v>323</v>
      </c>
      <c r="AZ11" s="162">
        <f>AP11</f>
        <v>7322442.7415002715</v>
      </c>
      <c r="BA11" s="168" t="s">
        <v>322</v>
      </c>
      <c r="BC11" s="81" t="s">
        <v>394</v>
      </c>
      <c r="BD11" s="167">
        <v>0.16</v>
      </c>
      <c r="BE11" s="167">
        <v>1.5399999999999999E-3</v>
      </c>
      <c r="BF11" s="81">
        <v>103.9</v>
      </c>
      <c r="BG11" s="81" t="s">
        <v>388</v>
      </c>
      <c r="BJ11" s="175" t="s">
        <v>319</v>
      </c>
      <c r="BK11" s="175" t="s">
        <v>320</v>
      </c>
      <c r="BL11" s="175" t="s">
        <v>329</v>
      </c>
      <c r="BM11" s="175" t="s">
        <v>323</v>
      </c>
      <c r="BN11" s="174">
        <f>BD21</f>
        <v>30400000</v>
      </c>
      <c r="BO11" s="175" t="s">
        <v>322</v>
      </c>
      <c r="BQ11" s="81" t="s">
        <v>394</v>
      </c>
      <c r="BR11" s="167">
        <v>0.19</v>
      </c>
      <c r="BS11" s="167">
        <v>2.31E-3</v>
      </c>
      <c r="BT11" s="81">
        <v>82.21</v>
      </c>
      <c r="BU11" s="81" t="s">
        <v>422</v>
      </c>
      <c r="BV11" s="167">
        <v>2E-16</v>
      </c>
      <c r="BW11" s="81" t="s">
        <v>389</v>
      </c>
      <c r="BY11" s="178" t="s">
        <v>319</v>
      </c>
      <c r="BZ11" s="178" t="s">
        <v>320</v>
      </c>
      <c r="CA11" s="178" t="s">
        <v>327</v>
      </c>
      <c r="CB11" s="178" t="s">
        <v>323</v>
      </c>
      <c r="CC11" s="179">
        <f>BR19</f>
        <v>3560000</v>
      </c>
      <c r="CD11" s="178" t="s">
        <v>322</v>
      </c>
      <c r="CO11" s="81" t="s">
        <v>330</v>
      </c>
      <c r="CP11" s="256">
        <f t="shared" si="0"/>
        <v>10652160</v>
      </c>
      <c r="CQ11" s="256">
        <f t="shared" si="1"/>
        <v>15600000</v>
      </c>
      <c r="CR11" s="256">
        <f t="shared" si="2"/>
        <v>0</v>
      </c>
      <c r="CU11" s="258" t="s">
        <v>442</v>
      </c>
      <c r="CV11" s="258" t="s">
        <v>393</v>
      </c>
      <c r="CW11" s="259">
        <v>292</v>
      </c>
      <c r="CX11" s="259">
        <v>6.2199999999999998E-2</v>
      </c>
      <c r="CY11" s="258">
        <v>4695.8100000000004</v>
      </c>
      <c r="CZ11" s="258" t="s">
        <v>422</v>
      </c>
      <c r="DA11" s="167">
        <v>2E-16</v>
      </c>
      <c r="DB11" s="81" t="s">
        <v>389</v>
      </c>
      <c r="DC11" s="260" t="s">
        <v>467</v>
      </c>
      <c r="DD11" s="264" t="s">
        <v>474</v>
      </c>
      <c r="DE11" s="261" t="s">
        <v>323</v>
      </c>
      <c r="DF11" s="262">
        <f t="shared" si="9"/>
        <v>2.1</v>
      </c>
      <c r="DG11" s="260" t="s">
        <v>322</v>
      </c>
      <c r="DI11" s="170" t="s">
        <v>467</v>
      </c>
      <c r="DJ11" s="293" t="s">
        <v>474</v>
      </c>
      <c r="DK11" s="291" t="s">
        <v>323</v>
      </c>
      <c r="DL11" s="170">
        <f>$O$12*$Z$37*$AP$5</f>
        <v>0.85350508541423697</v>
      </c>
      <c r="DM11" s="170" t="s">
        <v>322</v>
      </c>
    </row>
    <row r="12" spans="1:117" ht="15" customHeight="1" thickTop="1" thickBot="1" x14ac:dyDescent="0.3">
      <c r="A12" s="188"/>
      <c r="B12" s="189"/>
      <c r="C12" s="189"/>
      <c r="D12" s="194" t="s">
        <v>48</v>
      </c>
      <c r="E12" s="199" t="s">
        <v>56</v>
      </c>
      <c r="F12" s="195">
        <f t="shared" si="3"/>
        <v>0.1408668730650155</v>
      </c>
      <c r="G12" s="189"/>
      <c r="H12" s="200">
        <f>'Tabula data'!B24*(1-'Tabula RefULG 2'!C45)</f>
        <v>4.55</v>
      </c>
      <c r="I12" s="206"/>
      <c r="K12" s="81" t="s">
        <v>59</v>
      </c>
      <c r="L12" s="218">
        <v>0</v>
      </c>
      <c r="M12" s="219">
        <v>1</v>
      </c>
      <c r="N12" s="219" t="s">
        <v>54</v>
      </c>
      <c r="O12" s="220">
        <f>H8</f>
        <v>4.55</v>
      </c>
      <c r="P12" s="221" t="s">
        <v>45</v>
      </c>
      <c r="Q12" s="30">
        <f t="shared" si="4"/>
        <v>2</v>
      </c>
      <c r="R12" s="30">
        <f t="shared" si="5"/>
        <v>9.1</v>
      </c>
      <c r="S12" s="30">
        <f t="shared" si="6"/>
        <v>0</v>
      </c>
      <c r="T12" s="30">
        <f t="shared" si="7"/>
        <v>0</v>
      </c>
      <c r="U12" s="30">
        <f t="shared" si="8"/>
        <v>0</v>
      </c>
      <c r="V12" s="31"/>
      <c r="W12" s="153"/>
      <c r="X12" s="226"/>
      <c r="Y12" s="226"/>
      <c r="Z12" s="227" t="s">
        <v>4</v>
      </c>
      <c r="AA12" s="227">
        <v>1</v>
      </c>
      <c r="AB12" s="227" t="s">
        <v>5</v>
      </c>
      <c r="AC12" s="226"/>
      <c r="AD12" s="226"/>
      <c r="AE12" s="226"/>
      <c r="AF12" s="14"/>
      <c r="AG12" s="14"/>
      <c r="AH12" s="14"/>
      <c r="AM12" s="159" t="s">
        <v>319</v>
      </c>
      <c r="AN12" s="81" t="s">
        <v>320</v>
      </c>
      <c r="AO12" s="81" t="s">
        <v>330</v>
      </c>
      <c r="AP12" s="167">
        <f>SUM(U14)</f>
        <v>10652160</v>
      </c>
      <c r="AQ12" s="81" t="s">
        <v>322</v>
      </c>
      <c r="AR12" s="167">
        <v>12228720</v>
      </c>
      <c r="AV12" s="168" t="s">
        <v>319</v>
      </c>
      <c r="AW12" s="168" t="s">
        <v>320</v>
      </c>
      <c r="AX12" s="168" t="s">
        <v>330</v>
      </c>
      <c r="AY12" s="169" t="s">
        <v>323</v>
      </c>
      <c r="AZ12" s="162">
        <f>AP12</f>
        <v>10652160</v>
      </c>
      <c r="BA12" s="168" t="s">
        <v>322</v>
      </c>
      <c r="BC12" s="81" t="s">
        <v>395</v>
      </c>
      <c r="BD12" s="167">
        <v>0.318</v>
      </c>
      <c r="BE12" s="167">
        <v>2.1299999999999999E-3</v>
      </c>
      <c r="BF12" s="81">
        <v>149.15</v>
      </c>
      <c r="BG12" s="81" t="s">
        <v>388</v>
      </c>
      <c r="BJ12" s="175" t="s">
        <v>319</v>
      </c>
      <c r="BK12" s="175" t="s">
        <v>320</v>
      </c>
      <c r="BL12" s="175" t="s">
        <v>330</v>
      </c>
      <c r="BM12" s="175" t="s">
        <v>323</v>
      </c>
      <c r="BN12" s="174">
        <f>BD18</f>
        <v>15600000</v>
      </c>
      <c r="BO12" s="175" t="s">
        <v>322</v>
      </c>
      <c r="BQ12" s="81" t="s">
        <v>395</v>
      </c>
      <c r="BR12" s="167">
        <v>0.38</v>
      </c>
      <c r="BS12" s="167">
        <v>1.3600000000000001E-3</v>
      </c>
      <c r="BT12" s="81">
        <v>278.99</v>
      </c>
      <c r="BU12" s="81" t="s">
        <v>422</v>
      </c>
      <c r="BV12" s="167">
        <v>2E-16</v>
      </c>
      <c r="BW12" s="81" t="s">
        <v>389</v>
      </c>
      <c r="BY12" s="178" t="s">
        <v>319</v>
      </c>
      <c r="BZ12" s="178" t="s">
        <v>320</v>
      </c>
      <c r="CA12" s="178" t="s">
        <v>328</v>
      </c>
      <c r="CB12" s="178" t="s">
        <v>323</v>
      </c>
      <c r="CC12" s="179">
        <f>BR20</f>
        <v>32200000</v>
      </c>
      <c r="CD12" s="178" t="s">
        <v>322</v>
      </c>
      <c r="CP12" s="255"/>
      <c r="CQ12" s="255"/>
      <c r="CR12" s="255"/>
      <c r="CU12" s="258" t="s">
        <v>442</v>
      </c>
      <c r="CV12" s="258" t="s">
        <v>444</v>
      </c>
      <c r="CW12" s="259">
        <v>0.94499999999999995</v>
      </c>
      <c r="CX12" s="259">
        <v>2.9100000000000001E-2</v>
      </c>
      <c r="CY12" s="258">
        <v>32.43</v>
      </c>
      <c r="CZ12" s="258" t="s">
        <v>422</v>
      </c>
      <c r="DA12" s="167">
        <v>2E-16</v>
      </c>
      <c r="DB12" s="81" t="s">
        <v>389</v>
      </c>
      <c r="DC12" s="260" t="s">
        <v>467</v>
      </c>
      <c r="DD12" s="263" t="s">
        <v>475</v>
      </c>
      <c r="DE12" s="261" t="s">
        <v>323</v>
      </c>
      <c r="DF12" s="262">
        <f t="shared" si="9"/>
        <v>1.77</v>
      </c>
      <c r="DG12" s="260" t="s">
        <v>322</v>
      </c>
      <c r="DI12" s="170" t="s">
        <v>467</v>
      </c>
      <c r="DJ12" s="292" t="s">
        <v>475</v>
      </c>
      <c r="DK12" s="291" t="s">
        <v>323</v>
      </c>
      <c r="DL12" s="170">
        <f>$O$13*$Z$37*$AP$5</f>
        <v>0.69405908044674225</v>
      </c>
      <c r="DM12" s="170" t="s">
        <v>322</v>
      </c>
    </row>
    <row r="13" spans="1:117" ht="15" customHeight="1" thickTop="1" thickBot="1" x14ac:dyDescent="0.3">
      <c r="A13" s="188"/>
      <c r="B13" s="189"/>
      <c r="C13" s="189"/>
      <c r="D13" s="194" t="s">
        <v>52</v>
      </c>
      <c r="E13" s="199" t="s">
        <v>56</v>
      </c>
      <c r="F13" s="195">
        <f t="shared" si="3"/>
        <v>0.11455108359133129</v>
      </c>
      <c r="G13" s="189"/>
      <c r="H13" s="200">
        <f>'Tabula data'!B25*(1-'Tabula RefULG 2'!C45)</f>
        <v>3.7</v>
      </c>
      <c r="I13" s="206"/>
      <c r="K13" s="81" t="s">
        <v>60</v>
      </c>
      <c r="L13" s="218">
        <v>0</v>
      </c>
      <c r="M13" s="219">
        <v>1</v>
      </c>
      <c r="N13" s="219" t="s">
        <v>54</v>
      </c>
      <c r="O13" s="220">
        <f>H9</f>
        <v>3.7</v>
      </c>
      <c r="P13" s="221" t="s">
        <v>50</v>
      </c>
      <c r="Q13" s="30">
        <f t="shared" si="4"/>
        <v>2</v>
      </c>
      <c r="R13" s="30">
        <f t="shared" si="5"/>
        <v>7.4</v>
      </c>
      <c r="S13" s="30">
        <f t="shared" si="6"/>
        <v>0</v>
      </c>
      <c r="T13" s="30">
        <f t="shared" si="7"/>
        <v>0</v>
      </c>
      <c r="U13" s="30">
        <f t="shared" si="8"/>
        <v>0</v>
      </c>
      <c r="V13" s="31"/>
      <c r="W13" s="153"/>
      <c r="X13" s="228" t="s">
        <v>64</v>
      </c>
      <c r="Y13" s="229"/>
      <c r="Z13" s="230" t="s">
        <v>21</v>
      </c>
      <c r="AA13" s="231">
        <f>1/(1/8+SUM(AD15:AD19)+1/23)</f>
        <v>0.31684206193169995</v>
      </c>
      <c r="AB13" s="229" t="s">
        <v>5</v>
      </c>
      <c r="AC13" s="229"/>
      <c r="AD13" s="229" t="s">
        <v>22</v>
      </c>
      <c r="AE13" s="232">
        <f>SUM(AE15:AE20)</f>
        <v>339176.25</v>
      </c>
      <c r="AF13" s="14" t="s">
        <v>23</v>
      </c>
      <c r="AG13" s="14">
        <f>SUM(AE18:AE19)</f>
        <v>181020.00000000003</v>
      </c>
      <c r="AH13" s="14"/>
      <c r="AP13" s="167"/>
      <c r="AQ13" s="81" t="s">
        <v>322</v>
      </c>
      <c r="AR13" s="167"/>
      <c r="AV13" s="168"/>
      <c r="AW13" s="168"/>
      <c r="AX13" s="168"/>
      <c r="AY13" s="169"/>
      <c r="BA13" s="168"/>
      <c r="BC13" s="81" t="s">
        <v>396</v>
      </c>
      <c r="BD13" s="167">
        <v>0.26200000000000001</v>
      </c>
      <c r="BE13" s="167">
        <v>8.6800000000000002E-3</v>
      </c>
      <c r="BF13" s="81">
        <v>30.21</v>
      </c>
      <c r="BG13" s="81" t="s">
        <v>388</v>
      </c>
      <c r="BJ13" s="175"/>
      <c r="BK13" s="175"/>
      <c r="BL13" s="175"/>
      <c r="BM13" s="175"/>
      <c r="BN13" s="174"/>
      <c r="BO13" s="175"/>
      <c r="BQ13" s="81" t="s">
        <v>396</v>
      </c>
      <c r="BR13" s="167">
        <v>5.0500000000000003E-2</v>
      </c>
      <c r="BS13" s="167">
        <v>8.2699999999999996E-3</v>
      </c>
      <c r="BT13" s="81">
        <v>6.11</v>
      </c>
      <c r="BU13" s="167">
        <v>1.0999999999999999E-9</v>
      </c>
      <c r="BV13" s="81" t="s">
        <v>389</v>
      </c>
      <c r="BY13" s="178" t="s">
        <v>319</v>
      </c>
      <c r="BZ13" s="178" t="s">
        <v>320</v>
      </c>
      <c r="CA13" s="178" t="s">
        <v>329</v>
      </c>
      <c r="CB13" s="178" t="s">
        <v>323</v>
      </c>
      <c r="CC13" s="179">
        <f>BR21</f>
        <v>25400000</v>
      </c>
      <c r="CD13" s="178" t="s">
        <v>322</v>
      </c>
      <c r="CO13" s="81" t="s">
        <v>331</v>
      </c>
      <c r="CP13" s="254">
        <f t="shared" si="0"/>
        <v>4.851899087761509E-2</v>
      </c>
      <c r="CQ13" s="254">
        <f t="shared" si="1"/>
        <v>0.11700000000000001</v>
      </c>
      <c r="CR13" s="254">
        <f t="shared" si="2"/>
        <v>7.0400000000000004E-2</v>
      </c>
      <c r="CU13" s="258" t="s">
        <v>442</v>
      </c>
      <c r="CV13" s="258" t="s">
        <v>341</v>
      </c>
      <c r="CW13" s="259">
        <v>0.79800000000000004</v>
      </c>
      <c r="CX13" s="259">
        <v>9.8000000000000004E-2</v>
      </c>
      <c r="CY13" s="258">
        <v>8.14</v>
      </c>
      <c r="CZ13" s="259">
        <v>4.4E-16</v>
      </c>
      <c r="DA13" s="81" t="s">
        <v>389</v>
      </c>
      <c r="DC13" s="260" t="s">
        <v>467</v>
      </c>
      <c r="DD13" s="265" t="s">
        <v>476</v>
      </c>
      <c r="DE13" s="261" t="s">
        <v>323</v>
      </c>
      <c r="DF13" s="262">
        <f t="shared" si="9"/>
        <v>0.53700000000000003</v>
      </c>
      <c r="DG13" s="260" t="s">
        <v>322</v>
      </c>
      <c r="DI13" s="170" t="s">
        <v>467</v>
      </c>
      <c r="DJ13" s="294" t="s">
        <v>476</v>
      </c>
      <c r="DK13" s="291" t="s">
        <v>323</v>
      </c>
      <c r="DL13" s="170">
        <f>$O$11*$Z$37*$AP$6</f>
        <v>6.6188425344832755E-2</v>
      </c>
      <c r="DM13" s="170" t="s">
        <v>322</v>
      </c>
    </row>
    <row r="14" spans="1:117" ht="15" customHeight="1" thickTop="1" thickBot="1" x14ac:dyDescent="0.3">
      <c r="A14" s="188"/>
      <c r="B14" s="189"/>
      <c r="C14" s="189"/>
      <c r="D14" s="201" t="s">
        <v>65</v>
      </c>
      <c r="E14" s="202"/>
      <c r="F14" s="202"/>
      <c r="G14" s="202"/>
      <c r="H14" s="203"/>
      <c r="I14" s="193"/>
      <c r="K14" s="81" t="s">
        <v>61</v>
      </c>
      <c r="L14" s="218" t="s">
        <v>62</v>
      </c>
      <c r="M14" s="219">
        <v>1</v>
      </c>
      <c r="N14" s="219" t="s">
        <v>63</v>
      </c>
      <c r="O14" s="220">
        <f>B7</f>
        <v>96</v>
      </c>
      <c r="P14" s="221"/>
      <c r="Q14" s="30">
        <f t="shared" si="4"/>
        <v>0.3056768558951965</v>
      </c>
      <c r="R14" s="30">
        <f t="shared" si="5"/>
        <v>29.344978165938862</v>
      </c>
      <c r="S14" s="30">
        <f t="shared" si="6"/>
        <v>36371280</v>
      </c>
      <c r="T14" s="30">
        <f t="shared" si="7"/>
        <v>378867.5</v>
      </c>
      <c r="U14" s="30">
        <f t="shared" si="8"/>
        <v>10652160</v>
      </c>
      <c r="V14" s="31"/>
      <c r="W14" s="153"/>
      <c r="X14" s="233"/>
      <c r="Y14" s="234" t="s">
        <v>27</v>
      </c>
      <c r="Z14" s="234" t="s">
        <v>28</v>
      </c>
      <c r="AA14" s="234" t="s">
        <v>29</v>
      </c>
      <c r="AB14" s="234" t="s">
        <v>30</v>
      </c>
      <c r="AC14" s="234" t="s">
        <v>31</v>
      </c>
      <c r="AD14" s="234" t="s">
        <v>32</v>
      </c>
      <c r="AE14" s="235" t="s">
        <v>33</v>
      </c>
      <c r="AF14" s="14"/>
      <c r="AG14" s="14"/>
      <c r="AH14" s="14"/>
      <c r="AM14" s="159" t="s">
        <v>319</v>
      </c>
      <c r="AN14" s="81" t="s">
        <v>320</v>
      </c>
      <c r="AO14" s="81" t="s">
        <v>331</v>
      </c>
      <c r="AP14" s="81">
        <f>AP4*0.3</f>
        <v>4.851899087761509E-2</v>
      </c>
      <c r="AQ14" s="81" t="s">
        <v>322</v>
      </c>
      <c r="AR14" s="167">
        <v>6.5890790000000005E-2</v>
      </c>
      <c r="AV14" s="168" t="s">
        <v>319</v>
      </c>
      <c r="AW14" s="168" t="s">
        <v>320</v>
      </c>
      <c r="AX14" s="168" t="s">
        <v>331</v>
      </c>
      <c r="AY14" s="169" t="s">
        <v>323</v>
      </c>
      <c r="AZ14" s="162">
        <f>AZ4*0.3</f>
        <v>4.851899087761509E-2</v>
      </c>
      <c r="BA14" s="168" t="s">
        <v>322</v>
      </c>
      <c r="BC14" s="81" t="s">
        <v>397</v>
      </c>
      <c r="BD14" s="167">
        <v>0.156</v>
      </c>
      <c r="BE14" s="167">
        <v>1.4499999999999999E-3</v>
      </c>
      <c r="BF14" s="81">
        <v>107.8</v>
      </c>
      <c r="BG14" s="81" t="s">
        <v>388</v>
      </c>
      <c r="BJ14" s="175" t="s">
        <v>319</v>
      </c>
      <c r="BK14" s="175" t="s">
        <v>320</v>
      </c>
      <c r="BL14" s="175" t="s">
        <v>331</v>
      </c>
      <c r="BM14" s="175" t="s">
        <v>323</v>
      </c>
      <c r="BN14" s="174">
        <f>BD27</f>
        <v>0.11700000000000001</v>
      </c>
      <c r="BO14" s="175" t="s">
        <v>322</v>
      </c>
      <c r="BQ14" s="81" t="s">
        <v>397</v>
      </c>
      <c r="BR14" s="167">
        <v>0.20300000000000001</v>
      </c>
      <c r="BS14" s="167">
        <v>1.14E-3</v>
      </c>
      <c r="BT14" s="81">
        <v>177.92</v>
      </c>
      <c r="BU14" s="81" t="s">
        <v>422</v>
      </c>
      <c r="BV14" s="167">
        <v>2E-16</v>
      </c>
      <c r="BW14" s="81" t="s">
        <v>389</v>
      </c>
      <c r="BY14" s="178" t="s">
        <v>319</v>
      </c>
      <c r="BZ14" s="178" t="s">
        <v>320</v>
      </c>
      <c r="CA14" s="178" t="s">
        <v>330</v>
      </c>
      <c r="CB14" s="178" t="s">
        <v>323</v>
      </c>
      <c r="CC14" s="179">
        <v>0</v>
      </c>
      <c r="CD14" s="178" t="s">
        <v>322</v>
      </c>
      <c r="CO14" s="81" t="s">
        <v>332</v>
      </c>
      <c r="CP14" s="254">
        <f t="shared" si="0"/>
        <v>0.11973417143992103</v>
      </c>
      <c r="CQ14" s="254">
        <f t="shared" si="1"/>
        <v>0.22500000000000001</v>
      </c>
      <c r="CR14" s="254">
        <f t="shared" si="2"/>
        <v>0.13700000000000001</v>
      </c>
      <c r="CU14" s="258" t="s">
        <v>442</v>
      </c>
      <c r="CV14" s="258" t="s">
        <v>445</v>
      </c>
      <c r="CW14" s="259">
        <v>1.04</v>
      </c>
      <c r="CX14" s="259">
        <v>1.66E-2</v>
      </c>
      <c r="CY14" s="258">
        <v>62.72</v>
      </c>
      <c r="CZ14" s="258" t="s">
        <v>422</v>
      </c>
      <c r="DA14" s="167">
        <v>2E-16</v>
      </c>
      <c r="DB14" s="81" t="s">
        <v>389</v>
      </c>
      <c r="DC14" s="260" t="s">
        <v>467</v>
      </c>
      <c r="DD14" s="265" t="s">
        <v>477</v>
      </c>
      <c r="DE14" s="261" t="s">
        <v>323</v>
      </c>
      <c r="DF14" s="262">
        <f t="shared" si="9"/>
        <v>1.12E-7</v>
      </c>
      <c r="DG14" s="260" t="s">
        <v>322</v>
      </c>
      <c r="DI14" s="170" t="s">
        <v>467</v>
      </c>
      <c r="DJ14" s="294" t="s">
        <v>477</v>
      </c>
      <c r="DK14" s="291" t="s">
        <v>323</v>
      </c>
      <c r="DL14" s="170">
        <f>$O$10*$Z$37*$AP$6</f>
        <v>6.4533714711211942E-2</v>
      </c>
      <c r="DM14" s="170" t="s">
        <v>322</v>
      </c>
    </row>
    <row r="15" spans="1:117" ht="15" customHeight="1" thickTop="1" thickBot="1" x14ac:dyDescent="0.3">
      <c r="A15" s="188"/>
      <c r="B15" s="189"/>
      <c r="C15" s="189"/>
      <c r="D15" s="204"/>
      <c r="E15" s="189"/>
      <c r="F15" s="189"/>
      <c r="G15" s="189"/>
      <c r="H15" s="190"/>
      <c r="I15" s="189"/>
      <c r="K15" s="81" t="s">
        <v>66</v>
      </c>
      <c r="L15" s="218">
        <v>0</v>
      </c>
      <c r="M15" s="219">
        <v>1</v>
      </c>
      <c r="N15" s="219" t="s">
        <v>20</v>
      </c>
      <c r="O15" s="222">
        <v>0</v>
      </c>
      <c r="P15" s="221"/>
      <c r="Q15" s="30">
        <f t="shared" si="4"/>
        <v>0.3127301569316186</v>
      </c>
      <c r="R15" s="30">
        <f t="shared" si="5"/>
        <v>0</v>
      </c>
      <c r="S15" s="30">
        <f>VLOOKUP(N15,$X$5:$AE$391,8,0)*O25</f>
        <v>6179292</v>
      </c>
      <c r="T15" s="30">
        <f>S15/O25</f>
        <v>56952</v>
      </c>
      <c r="U15" s="30">
        <f>VLOOKUP(N15,$X$5:$AG$391,10,0)*O25</f>
        <v>1777230</v>
      </c>
      <c r="V15" s="31"/>
      <c r="W15" s="153"/>
      <c r="X15" s="188"/>
      <c r="Y15" s="189" t="s">
        <v>271</v>
      </c>
      <c r="Z15" s="189">
        <v>0.1</v>
      </c>
      <c r="AA15" s="189">
        <v>1.1000000000000001</v>
      </c>
      <c r="AB15" s="189">
        <v>1850</v>
      </c>
      <c r="AC15" s="199">
        <v>840</v>
      </c>
      <c r="AD15" s="236">
        <f>Z15/AA15</f>
        <v>9.0909090909090912E-2</v>
      </c>
      <c r="AE15" s="190">
        <f>AB15*AC15*Z15</f>
        <v>155400</v>
      </c>
      <c r="AF15" s="14"/>
      <c r="AG15" s="14"/>
      <c r="AH15" s="14"/>
      <c r="AM15" s="159" t="s">
        <v>319</v>
      </c>
      <c r="AN15" s="81" t="s">
        <v>320</v>
      </c>
      <c r="AO15" s="81" t="s">
        <v>332</v>
      </c>
      <c r="AP15" s="81">
        <f>AP5*0.3</f>
        <v>0.11973417143992103</v>
      </c>
      <c r="AQ15" s="81" t="s">
        <v>322</v>
      </c>
      <c r="AR15" s="167">
        <v>0.1612856</v>
      </c>
      <c r="AV15" s="168" t="s">
        <v>319</v>
      </c>
      <c r="AW15" s="168" t="s">
        <v>320</v>
      </c>
      <c r="AX15" s="168" t="s">
        <v>332</v>
      </c>
      <c r="AY15" s="169" t="s">
        <v>323</v>
      </c>
      <c r="AZ15" s="162">
        <f>AZ5*0.3</f>
        <v>0.11973417143992103</v>
      </c>
      <c r="BA15" s="168" t="s">
        <v>322</v>
      </c>
      <c r="BC15" s="81" t="s">
        <v>398</v>
      </c>
      <c r="BD15" s="167">
        <v>9.35E-2</v>
      </c>
      <c r="BE15" s="167">
        <v>1.6000000000000001E-3</v>
      </c>
      <c r="BF15" s="81">
        <v>58.4</v>
      </c>
      <c r="BG15" s="81" t="s">
        <v>388</v>
      </c>
      <c r="BJ15" s="175" t="s">
        <v>319</v>
      </c>
      <c r="BK15" s="175" t="s">
        <v>320</v>
      </c>
      <c r="BL15" s="175" t="s">
        <v>332</v>
      </c>
      <c r="BM15" s="175" t="s">
        <v>323</v>
      </c>
      <c r="BN15" s="174">
        <f>BD28</f>
        <v>0.22500000000000001</v>
      </c>
      <c r="BO15" s="175" t="s">
        <v>322</v>
      </c>
      <c r="BQ15" s="81" t="s">
        <v>398</v>
      </c>
      <c r="BR15" s="167">
        <v>0.11799999999999999</v>
      </c>
      <c r="BS15" s="167">
        <v>5.9500000000000004E-4</v>
      </c>
      <c r="BT15" s="81">
        <v>198</v>
      </c>
      <c r="BU15" s="81" t="s">
        <v>422</v>
      </c>
      <c r="BV15" s="167">
        <v>2E-16</v>
      </c>
      <c r="BW15" s="81" t="s">
        <v>389</v>
      </c>
      <c r="BY15" s="178"/>
      <c r="BZ15" s="178"/>
      <c r="CA15" s="178"/>
      <c r="CB15" s="178"/>
      <c r="CC15" s="179"/>
      <c r="CD15" s="178"/>
      <c r="CO15" s="81" t="s">
        <v>333</v>
      </c>
      <c r="CP15" s="254">
        <f t="shared" si="0"/>
        <v>0.71056198276779237</v>
      </c>
      <c r="CQ15" s="254">
        <f t="shared" si="1"/>
        <v>0.46500000000000002</v>
      </c>
      <c r="CR15" s="254">
        <f t="shared" si="2"/>
        <v>0.76900000000000002</v>
      </c>
      <c r="CU15" s="258" t="s">
        <v>442</v>
      </c>
      <c r="CV15" s="258" t="s">
        <v>446</v>
      </c>
      <c r="CW15" s="259">
        <v>0.82699999999999996</v>
      </c>
      <c r="CX15" s="259">
        <v>2.92E-2</v>
      </c>
      <c r="CY15" s="258">
        <v>28.33</v>
      </c>
      <c r="CZ15" s="258" t="s">
        <v>422</v>
      </c>
      <c r="DA15" s="167">
        <v>2E-16</v>
      </c>
      <c r="DB15" s="81" t="s">
        <v>389</v>
      </c>
      <c r="DC15" s="260" t="s">
        <v>467</v>
      </c>
      <c r="DD15" s="265" t="s">
        <v>478</v>
      </c>
      <c r="DE15" s="261" t="s">
        <v>323</v>
      </c>
      <c r="DF15" s="262">
        <f t="shared" si="9"/>
        <v>0.34100000000000003</v>
      </c>
      <c r="DG15" s="260" t="s">
        <v>322</v>
      </c>
      <c r="DI15" s="170" t="s">
        <v>467</v>
      </c>
      <c r="DJ15" s="294" t="s">
        <v>478</v>
      </c>
      <c r="DK15" s="291" t="s">
        <v>323</v>
      </c>
      <c r="DL15" s="170">
        <f>$O$12*$Z$37*$AP$6</f>
        <v>7.5289333829747243E-2</v>
      </c>
      <c r="DM15" s="170" t="s">
        <v>322</v>
      </c>
    </row>
    <row r="16" spans="1:117" ht="15" customHeight="1" thickTop="1" thickBot="1" x14ac:dyDescent="0.3">
      <c r="A16" s="205"/>
      <c r="B16" s="187"/>
      <c r="C16" s="187"/>
      <c r="D16" s="194" t="s">
        <v>69</v>
      </c>
      <c r="E16" s="189"/>
      <c r="F16" s="206">
        <f>B4/B26</f>
        <v>1.3080082135523614</v>
      </c>
      <c r="G16" s="199" t="s">
        <v>70</v>
      </c>
      <c r="H16" s="190"/>
      <c r="I16" s="189"/>
      <c r="K16" s="81" t="s">
        <v>67</v>
      </c>
      <c r="L16" s="218">
        <v>0</v>
      </c>
      <c r="M16" s="219">
        <v>1</v>
      </c>
      <c r="N16" s="219" t="s">
        <v>68</v>
      </c>
      <c r="O16" s="220">
        <f>'Tabula data'!B21</f>
        <v>9.5</v>
      </c>
      <c r="P16" s="221"/>
      <c r="Q16" s="30">
        <f t="shared" si="4"/>
        <v>4</v>
      </c>
      <c r="R16" s="30">
        <f t="shared" si="5"/>
        <v>38</v>
      </c>
      <c r="S16" s="30">
        <f t="shared" ref="S16:S31" si="10">VLOOKUP(N16,$X$5:$AE$391,8,0)*O16</f>
        <v>346940</v>
      </c>
      <c r="T16" s="30">
        <f t="shared" ref="T16:T31" si="11">S16/O16</f>
        <v>36520</v>
      </c>
      <c r="U16" s="30">
        <f t="shared" ref="U16:U31" si="12">VLOOKUP(N16,$X$5:$AG$391,10,0)*O16</f>
        <v>1719690.0000000002</v>
      </c>
      <c r="V16" s="31"/>
      <c r="W16" s="153"/>
      <c r="X16" s="188"/>
      <c r="Y16" s="189" t="s">
        <v>272</v>
      </c>
      <c r="Z16" s="189">
        <v>0</v>
      </c>
      <c r="AA16" s="189">
        <v>1</v>
      </c>
      <c r="AB16" s="189">
        <v>1800</v>
      </c>
      <c r="AC16" s="189">
        <v>1000</v>
      </c>
      <c r="AD16" s="236">
        <v>0</v>
      </c>
      <c r="AE16" s="190">
        <f>Z16*AB16*AC16</f>
        <v>0</v>
      </c>
      <c r="AF16" s="14"/>
      <c r="AG16" s="14"/>
      <c r="AH16" s="14"/>
      <c r="AM16" s="159" t="s">
        <v>319</v>
      </c>
      <c r="AN16" s="81" t="s">
        <v>320</v>
      </c>
      <c r="AO16" s="81" t="s">
        <v>333</v>
      </c>
      <c r="AP16" s="81">
        <f>AP6*0.3+0.7</f>
        <v>0.71056198276779237</v>
      </c>
      <c r="AQ16" s="81" t="s">
        <v>322</v>
      </c>
      <c r="AR16" s="167">
        <v>0.64236059999999995</v>
      </c>
      <c r="AV16" s="168" t="s">
        <v>319</v>
      </c>
      <c r="AW16" s="168" t="s">
        <v>320</v>
      </c>
      <c r="AX16" s="168" t="s">
        <v>333</v>
      </c>
      <c r="AY16" s="169" t="s">
        <v>323</v>
      </c>
      <c r="AZ16" s="162">
        <f>AZ6*0.3+0.7</f>
        <v>0.71056198276779237</v>
      </c>
      <c r="BA16" s="168" t="s">
        <v>322</v>
      </c>
      <c r="BC16" s="81" t="s">
        <v>308</v>
      </c>
      <c r="BD16" s="167">
        <v>13100000</v>
      </c>
      <c r="BE16" s="167">
        <v>252000</v>
      </c>
      <c r="BF16" s="81">
        <v>51.84</v>
      </c>
      <c r="BG16" s="81" t="s">
        <v>388</v>
      </c>
      <c r="BJ16" s="175" t="s">
        <v>319</v>
      </c>
      <c r="BK16" s="175" t="s">
        <v>320</v>
      </c>
      <c r="BL16" s="175" t="s">
        <v>333</v>
      </c>
      <c r="BM16" s="175" t="s">
        <v>323</v>
      </c>
      <c r="BN16" s="174">
        <f>BD29</f>
        <v>0.46500000000000002</v>
      </c>
      <c r="BO16" s="175" t="s">
        <v>322</v>
      </c>
      <c r="BQ16" s="81" t="s">
        <v>308</v>
      </c>
      <c r="BR16" s="167">
        <v>812000000</v>
      </c>
      <c r="BS16" s="167">
        <v>25300000</v>
      </c>
      <c r="BT16" s="81">
        <v>32.119999999999997</v>
      </c>
      <c r="BU16" s="81" t="s">
        <v>422</v>
      </c>
      <c r="BV16" s="167">
        <v>2E-16</v>
      </c>
      <c r="BW16" s="81" t="s">
        <v>389</v>
      </c>
      <c r="BY16" s="178" t="s">
        <v>319</v>
      </c>
      <c r="BZ16" s="178" t="s">
        <v>320</v>
      </c>
      <c r="CA16" s="178" t="s">
        <v>331</v>
      </c>
      <c r="CB16" s="178" t="s">
        <v>323</v>
      </c>
      <c r="CC16" s="177">
        <f>BR27</f>
        <v>7.0400000000000004E-2</v>
      </c>
      <c r="CD16" s="178" t="s">
        <v>322</v>
      </c>
      <c r="CO16" s="81" t="s">
        <v>334</v>
      </c>
      <c r="CP16" s="254">
        <f t="shared" si="0"/>
        <v>6.2783303139818961E-2</v>
      </c>
      <c r="CQ16" s="254">
        <f t="shared" si="1"/>
        <v>0.11</v>
      </c>
      <c r="CR16" s="254">
        <f t="shared" si="2"/>
        <v>7.2499999999999995E-2</v>
      </c>
      <c r="CU16" s="258" t="s">
        <v>442</v>
      </c>
      <c r="CV16" s="258" t="s">
        <v>447</v>
      </c>
      <c r="CW16" s="259">
        <v>1.83</v>
      </c>
      <c r="CX16" s="259">
        <v>2.8799999999999999E-2</v>
      </c>
      <c r="CY16" s="258">
        <v>63.51</v>
      </c>
      <c r="CZ16" s="258" t="s">
        <v>422</v>
      </c>
      <c r="DA16" s="167">
        <v>2E-16</v>
      </c>
      <c r="DB16" s="81" t="s">
        <v>389</v>
      </c>
      <c r="DC16" s="260" t="s">
        <v>467</v>
      </c>
      <c r="DD16" s="265" t="s">
        <v>479</v>
      </c>
      <c r="DE16" s="261" t="s">
        <v>323</v>
      </c>
      <c r="DF16" s="262">
        <f t="shared" si="9"/>
        <v>5.91E-2</v>
      </c>
      <c r="DG16" s="260" t="s">
        <v>322</v>
      </c>
      <c r="DI16" s="170" t="s">
        <v>467</v>
      </c>
      <c r="DJ16" s="294" t="s">
        <v>479</v>
      </c>
      <c r="DK16" s="291" t="s">
        <v>323</v>
      </c>
      <c r="DL16" s="170">
        <f>$O$13*$Z$37*$AP$6</f>
        <v>6.1224293443970297E-2</v>
      </c>
      <c r="DM16" s="170" t="s">
        <v>322</v>
      </c>
    </row>
    <row r="17" spans="1:117" ht="15" customHeight="1" thickTop="1" thickBot="1" x14ac:dyDescent="0.3">
      <c r="A17" s="191" t="s">
        <v>73</v>
      </c>
      <c r="B17" s="192">
        <v>0</v>
      </c>
      <c r="C17" s="202" t="s">
        <v>9</v>
      </c>
      <c r="D17" s="194" t="s">
        <v>74</v>
      </c>
      <c r="E17" s="189"/>
      <c r="F17" s="206">
        <f>B26/B23</f>
        <v>2.1025364274150027</v>
      </c>
      <c r="G17" s="199"/>
      <c r="H17" s="190"/>
      <c r="I17" s="189"/>
      <c r="K17" s="81" t="s">
        <v>71</v>
      </c>
      <c r="L17" s="218">
        <v>0</v>
      </c>
      <c r="M17" s="219">
        <v>2</v>
      </c>
      <c r="N17" s="219" t="s">
        <v>25</v>
      </c>
      <c r="O17" s="220">
        <f>'Tabula data'!B19*(1-C43)</f>
        <v>18.364565347833842</v>
      </c>
      <c r="P17" s="221" t="s">
        <v>26</v>
      </c>
      <c r="Q17" s="30">
        <f t="shared" si="4"/>
        <v>0.31684206193169995</v>
      </c>
      <c r="R17" s="30">
        <f t="shared" si="5"/>
        <v>5.8186667512871209</v>
      </c>
      <c r="S17" s="30">
        <f t="shared" si="10"/>
        <v>6228824.4075582279</v>
      </c>
      <c r="T17" s="30">
        <f t="shared" si="11"/>
        <v>339176.25</v>
      </c>
      <c r="U17" s="30">
        <f t="shared" si="12"/>
        <v>3324353.6192648825</v>
      </c>
      <c r="V17" s="31"/>
      <c r="W17" s="153"/>
      <c r="X17" s="188"/>
      <c r="Y17" s="189" t="s">
        <v>273</v>
      </c>
      <c r="Z17" s="189">
        <v>6.25E-2</v>
      </c>
      <c r="AA17" s="189">
        <v>2.4E-2</v>
      </c>
      <c r="AB17" s="189">
        <v>30</v>
      </c>
      <c r="AC17" s="189">
        <v>1470</v>
      </c>
      <c r="AD17" s="236">
        <f>Z17/AA17</f>
        <v>2.6041666666666665</v>
      </c>
      <c r="AE17" s="190">
        <f>Z17*AB17*AC17</f>
        <v>2756.25</v>
      </c>
      <c r="AF17" s="149" t="s">
        <v>274</v>
      </c>
      <c r="AG17" s="14"/>
      <c r="AH17" s="14"/>
      <c r="AM17" s="159" t="s">
        <v>319</v>
      </c>
      <c r="AN17" s="81" t="s">
        <v>320</v>
      </c>
      <c r="AO17" s="81" t="s">
        <v>334</v>
      </c>
      <c r="AP17" s="81">
        <f>AP7*0.3</f>
        <v>6.2783303139818961E-2</v>
      </c>
      <c r="AQ17" s="81" t="s">
        <v>322</v>
      </c>
      <c r="AR17" s="167">
        <v>6.4977720000000003E-2</v>
      </c>
      <c r="AV17" s="168" t="s">
        <v>319</v>
      </c>
      <c r="AW17" s="168" t="s">
        <v>320</v>
      </c>
      <c r="AX17" s="168" t="s">
        <v>334</v>
      </c>
      <c r="AY17" s="169" t="s">
        <v>323</v>
      </c>
      <c r="AZ17" s="162">
        <f>AZ7*0.3</f>
        <v>6.2783303139818961E-2</v>
      </c>
      <c r="BA17" s="168" t="s">
        <v>322</v>
      </c>
      <c r="BJ17" s="175" t="s">
        <v>319</v>
      </c>
      <c r="BK17" s="175" t="s">
        <v>320</v>
      </c>
      <c r="BL17" s="175" t="s">
        <v>334</v>
      </c>
      <c r="BM17" s="175" t="s">
        <v>323</v>
      </c>
      <c r="BN17" s="174">
        <f>BD30</f>
        <v>0.11</v>
      </c>
      <c r="BO17" s="175" t="s">
        <v>322</v>
      </c>
      <c r="BY17" s="178" t="s">
        <v>319</v>
      </c>
      <c r="BZ17" s="178" t="s">
        <v>320</v>
      </c>
      <c r="CA17" s="178" t="s">
        <v>332</v>
      </c>
      <c r="CB17" s="178" t="s">
        <v>323</v>
      </c>
      <c r="CC17" s="177">
        <f>BR28</f>
        <v>0.13700000000000001</v>
      </c>
      <c r="CD17" s="178" t="s">
        <v>322</v>
      </c>
      <c r="CP17" s="255"/>
      <c r="CQ17" s="255"/>
      <c r="CR17" s="255"/>
      <c r="CU17" s="258" t="s">
        <v>442</v>
      </c>
      <c r="CV17" s="258" t="s">
        <v>342</v>
      </c>
      <c r="CW17" s="259">
        <v>1.22</v>
      </c>
      <c r="CX17" s="259">
        <v>8.3799999999999999E-2</v>
      </c>
      <c r="CY17" s="258">
        <v>14.59</v>
      </c>
      <c r="CZ17" s="258" t="s">
        <v>422</v>
      </c>
      <c r="DA17" s="167">
        <v>2E-16</v>
      </c>
      <c r="DB17" s="81" t="s">
        <v>389</v>
      </c>
      <c r="DC17" s="260" t="s">
        <v>467</v>
      </c>
      <c r="DD17" s="265" t="s">
        <v>480</v>
      </c>
      <c r="DE17" s="261" t="s">
        <v>323</v>
      </c>
      <c r="DF17" s="262">
        <f t="shared" si="9"/>
        <v>0.98799999999999999</v>
      </c>
      <c r="DG17" s="260" t="s">
        <v>322</v>
      </c>
      <c r="DI17" s="170" t="s">
        <v>467</v>
      </c>
      <c r="DJ17" s="294" t="s">
        <v>480</v>
      </c>
      <c r="DK17" s="291" t="s">
        <v>323</v>
      </c>
      <c r="DL17" s="170">
        <f>$O$11*$Z$37*$AP$7</f>
        <v>0.39344203300953212</v>
      </c>
      <c r="DM17" s="170" t="s">
        <v>322</v>
      </c>
    </row>
    <row r="18" spans="1:117" ht="15" customHeight="1" thickTop="1" thickBot="1" x14ac:dyDescent="0.3">
      <c r="A18" s="188" t="s">
        <v>77</v>
      </c>
      <c r="B18" s="189">
        <v>0</v>
      </c>
      <c r="C18" s="189"/>
      <c r="D18" s="194" t="s">
        <v>78</v>
      </c>
      <c r="E18" s="189"/>
      <c r="F18" s="206">
        <f>B26/B6</f>
        <v>2.1025364274150027</v>
      </c>
      <c r="G18" s="199"/>
      <c r="H18" s="190"/>
      <c r="I18" s="189"/>
      <c r="K18" s="81" t="s">
        <v>75</v>
      </c>
      <c r="L18" s="218">
        <v>0</v>
      </c>
      <c r="M18" s="219">
        <v>2</v>
      </c>
      <c r="N18" s="219" t="s">
        <v>25</v>
      </c>
      <c r="O18" s="220">
        <f>'Tabula data'!B20*(1-C43)</f>
        <v>32.281986411725747</v>
      </c>
      <c r="P18" s="221" t="s">
        <v>39</v>
      </c>
      <c r="Q18" s="30">
        <f t="shared" si="4"/>
        <v>0.31684206193169995</v>
      </c>
      <c r="R18" s="30">
        <f t="shared" si="5"/>
        <v>10.228291137942305</v>
      </c>
      <c r="S18" s="30">
        <f t="shared" si="10"/>
        <v>10949283.093680095</v>
      </c>
      <c r="T18" s="30">
        <f t="shared" si="11"/>
        <v>339176.25</v>
      </c>
      <c r="U18" s="30">
        <f t="shared" si="12"/>
        <v>5843685.1802505953</v>
      </c>
      <c r="V18" s="31"/>
      <c r="W18" s="153"/>
      <c r="X18" s="188"/>
      <c r="Y18" s="199" t="s">
        <v>275</v>
      </c>
      <c r="Z18" s="189">
        <v>0.14000000000000001</v>
      </c>
      <c r="AA18" s="189">
        <v>0.54</v>
      </c>
      <c r="AB18" s="189">
        <v>1400</v>
      </c>
      <c r="AC18" s="199">
        <v>840</v>
      </c>
      <c r="AD18" s="236">
        <f>Z18/AA18</f>
        <v>0.25925925925925924</v>
      </c>
      <c r="AE18" s="190">
        <f>Z18*AB18*AC18</f>
        <v>164640.00000000003</v>
      </c>
      <c r="AF18" s="14" t="s">
        <v>276</v>
      </c>
      <c r="AG18" s="14"/>
      <c r="AH18" s="14"/>
      <c r="AQ18" s="81" t="s">
        <v>322</v>
      </c>
      <c r="AR18" s="167"/>
      <c r="AV18" s="168"/>
      <c r="AW18" s="168"/>
      <c r="AX18" s="168"/>
      <c r="AY18" s="169"/>
      <c r="BA18" s="168"/>
      <c r="BC18" s="81" t="s">
        <v>304</v>
      </c>
      <c r="BD18" s="167">
        <v>15600000</v>
      </c>
      <c r="BE18" s="167">
        <v>67000</v>
      </c>
      <c r="BF18" s="81">
        <v>232.84</v>
      </c>
      <c r="BG18" s="81" t="s">
        <v>388</v>
      </c>
      <c r="BJ18" s="175"/>
      <c r="BK18" s="175"/>
      <c r="BL18" s="175"/>
      <c r="BM18" s="175"/>
      <c r="BN18" s="174"/>
      <c r="BO18" s="175"/>
      <c r="BQ18" s="81" t="s">
        <v>304</v>
      </c>
      <c r="BR18" s="167">
        <v>15000000</v>
      </c>
      <c r="BS18" s="167">
        <v>733000</v>
      </c>
      <c r="BT18" s="81">
        <v>20.420000000000002</v>
      </c>
      <c r="BU18" s="81" t="s">
        <v>422</v>
      </c>
      <c r="BV18" s="167">
        <v>2E-16</v>
      </c>
      <c r="BW18" s="81" t="s">
        <v>389</v>
      </c>
      <c r="BY18" s="178" t="s">
        <v>319</v>
      </c>
      <c r="BZ18" s="178" t="s">
        <v>320</v>
      </c>
      <c r="CA18" s="178" t="s">
        <v>333</v>
      </c>
      <c r="CB18" s="178" t="s">
        <v>323</v>
      </c>
      <c r="CC18" s="177">
        <f>BR29</f>
        <v>0.76900000000000002</v>
      </c>
      <c r="CD18" s="178" t="s">
        <v>322</v>
      </c>
      <c r="CO18" s="81" t="s">
        <v>335</v>
      </c>
      <c r="CP18" s="257">
        <f t="shared" si="0"/>
        <v>136.73036437545244</v>
      </c>
      <c r="CQ18" s="257">
        <f t="shared" si="1"/>
        <v>637</v>
      </c>
      <c r="CR18" s="257">
        <f t="shared" si="2"/>
        <v>278</v>
      </c>
      <c r="CU18" s="258" t="s">
        <v>442</v>
      </c>
      <c r="CV18" s="258" t="s">
        <v>448</v>
      </c>
      <c r="CW18" s="259">
        <v>2.1</v>
      </c>
      <c r="CX18" s="259">
        <v>1.7399999999999999E-2</v>
      </c>
      <c r="CY18" s="258">
        <v>120.93</v>
      </c>
      <c r="CZ18" s="258" t="s">
        <v>422</v>
      </c>
      <c r="DA18" s="167">
        <v>2E-16</v>
      </c>
      <c r="DB18" s="81" t="s">
        <v>389</v>
      </c>
      <c r="DC18" s="260" t="s">
        <v>467</v>
      </c>
      <c r="DD18" s="265" t="s">
        <v>481</v>
      </c>
      <c r="DE18" s="261" t="s">
        <v>323</v>
      </c>
      <c r="DF18" s="262">
        <f t="shared" si="9"/>
        <v>3.1199999999999999E-7</v>
      </c>
      <c r="DG18" s="260" t="s">
        <v>322</v>
      </c>
      <c r="DI18" s="170" t="s">
        <v>467</v>
      </c>
      <c r="DJ18" s="294" t="s">
        <v>481</v>
      </c>
      <c r="DK18" s="291" t="s">
        <v>323</v>
      </c>
      <c r="DL18" s="170">
        <f>$O$10*$Z$37*$AP$7</f>
        <v>0.38360598218429387</v>
      </c>
      <c r="DM18" s="170" t="s">
        <v>322</v>
      </c>
    </row>
    <row r="19" spans="1:117" ht="15" customHeight="1" thickTop="1" thickBot="1" x14ac:dyDescent="0.3">
      <c r="A19" s="188" t="s">
        <v>81</v>
      </c>
      <c r="B19" s="197">
        <f>B17-B18</f>
        <v>0</v>
      </c>
      <c r="C19" s="189"/>
      <c r="D19" s="204"/>
      <c r="E19" s="199"/>
      <c r="F19" s="199"/>
      <c r="G19" s="199"/>
      <c r="H19" s="198"/>
      <c r="I19" s="199"/>
      <c r="K19" s="81" t="s">
        <v>79</v>
      </c>
      <c r="L19" s="218">
        <v>0</v>
      </c>
      <c r="M19" s="219">
        <v>2</v>
      </c>
      <c r="N19" s="219" t="s">
        <v>25</v>
      </c>
      <c r="O19" s="220">
        <f>O17</f>
        <v>18.364565347833842</v>
      </c>
      <c r="P19" s="221" t="s">
        <v>45</v>
      </c>
      <c r="Q19" s="30">
        <f t="shared" si="4"/>
        <v>0.31684206193169995</v>
      </c>
      <c r="R19" s="30">
        <f t="shared" si="5"/>
        <v>5.8186667512871209</v>
      </c>
      <c r="S19" s="30">
        <f t="shared" si="10"/>
        <v>6228824.4075582279</v>
      </c>
      <c r="T19" s="30">
        <f t="shared" si="11"/>
        <v>339176.25</v>
      </c>
      <c r="U19" s="30">
        <f t="shared" si="12"/>
        <v>3324353.6192648825</v>
      </c>
      <c r="V19" s="31"/>
      <c r="W19" s="153"/>
      <c r="X19" s="205"/>
      <c r="Y19" s="187" t="s">
        <v>277</v>
      </c>
      <c r="Z19" s="187">
        <v>0.02</v>
      </c>
      <c r="AA19" s="187">
        <v>0.6</v>
      </c>
      <c r="AB19" s="187">
        <v>975</v>
      </c>
      <c r="AC19" s="187">
        <v>840</v>
      </c>
      <c r="AD19" s="237">
        <f>Z19/AA19</f>
        <v>3.3333333333333333E-2</v>
      </c>
      <c r="AE19" s="210">
        <f>Z19*AB19*AC19</f>
        <v>16380</v>
      </c>
      <c r="AF19" s="14"/>
      <c r="AG19" s="14"/>
      <c r="AH19" s="14"/>
      <c r="AM19" s="159" t="s">
        <v>319</v>
      </c>
      <c r="AN19" s="81" t="s">
        <v>320</v>
      </c>
      <c r="AO19" s="81" t="s">
        <v>335</v>
      </c>
      <c r="AP19" s="81">
        <f>SUM(O6:O9)*(1/(SUM(AD18:AD19)+1/4))</f>
        <v>136.73036437545244</v>
      </c>
      <c r="AQ19" s="81" t="s">
        <v>322</v>
      </c>
      <c r="AR19" s="167">
        <v>298.59179999999998</v>
      </c>
      <c r="AV19" s="168" t="s">
        <v>319</v>
      </c>
      <c r="AW19" s="168" t="s">
        <v>320</v>
      </c>
      <c r="AX19" s="168" t="s">
        <v>335</v>
      </c>
      <c r="AY19" s="169" t="s">
        <v>323</v>
      </c>
      <c r="AZ19" s="162">
        <f t="shared" ref="AZ19:AZ24" si="13">AP19</f>
        <v>136.73036437545244</v>
      </c>
      <c r="BA19" s="168" t="s">
        <v>322</v>
      </c>
      <c r="BC19" s="81" t="s">
        <v>399</v>
      </c>
      <c r="BD19" s="167">
        <v>2950000</v>
      </c>
      <c r="BE19" s="167">
        <v>42900</v>
      </c>
      <c r="BF19" s="81">
        <v>68.739999999999995</v>
      </c>
      <c r="BG19" s="81" t="s">
        <v>388</v>
      </c>
      <c r="BJ19" s="175" t="s">
        <v>319</v>
      </c>
      <c r="BK19" s="175" t="s">
        <v>320</v>
      </c>
      <c r="BL19" s="175" t="s">
        <v>335</v>
      </c>
      <c r="BM19" s="175" t="s">
        <v>323</v>
      </c>
      <c r="BN19" s="181">
        <f>BD32</f>
        <v>637</v>
      </c>
      <c r="BO19" s="175" t="s">
        <v>322</v>
      </c>
      <c r="BQ19" s="81" t="s">
        <v>399</v>
      </c>
      <c r="BR19" s="167">
        <v>3560000</v>
      </c>
      <c r="BS19" s="167">
        <v>405000</v>
      </c>
      <c r="BT19" s="81">
        <v>8.81</v>
      </c>
      <c r="BU19" s="81" t="s">
        <v>422</v>
      </c>
      <c r="BV19" s="167">
        <v>2E-16</v>
      </c>
      <c r="BW19" s="81" t="s">
        <v>389</v>
      </c>
      <c r="BY19" s="178" t="s">
        <v>319</v>
      </c>
      <c r="BZ19" s="178" t="s">
        <v>320</v>
      </c>
      <c r="CA19" s="178" t="s">
        <v>334</v>
      </c>
      <c r="CB19" s="178" t="s">
        <v>323</v>
      </c>
      <c r="CC19" s="177">
        <f>BR30</f>
        <v>7.2499999999999995E-2</v>
      </c>
      <c r="CD19" s="178" t="s">
        <v>322</v>
      </c>
      <c r="CO19" s="81" t="s">
        <v>336</v>
      </c>
      <c r="CP19" s="257">
        <f t="shared" si="0"/>
        <v>199.60396039603961</v>
      </c>
      <c r="CQ19" s="257">
        <f t="shared" si="1"/>
        <v>795</v>
      </c>
      <c r="CR19" s="257">
        <f t="shared" si="2"/>
        <v>215</v>
      </c>
      <c r="CU19" s="258" t="s">
        <v>442</v>
      </c>
      <c r="CV19" s="258" t="s">
        <v>449</v>
      </c>
      <c r="CW19" s="259">
        <v>1.77</v>
      </c>
      <c r="CX19" s="259">
        <v>3.0800000000000001E-2</v>
      </c>
      <c r="CY19" s="258">
        <v>57.42</v>
      </c>
      <c r="CZ19" s="258" t="s">
        <v>422</v>
      </c>
      <c r="DA19" s="167">
        <v>2E-16</v>
      </c>
      <c r="DB19" s="81" t="s">
        <v>389</v>
      </c>
      <c r="DC19" s="260" t="s">
        <v>467</v>
      </c>
      <c r="DD19" s="263" t="s">
        <v>482</v>
      </c>
      <c r="DE19" s="261" t="s">
        <v>323</v>
      </c>
      <c r="DF19" s="262">
        <f t="shared" si="9"/>
        <v>1.1399999999999999</v>
      </c>
      <c r="DG19" s="260" t="s">
        <v>322</v>
      </c>
      <c r="DI19" s="170" t="s">
        <v>467</v>
      </c>
      <c r="DJ19" s="292" t="s">
        <v>482</v>
      </c>
      <c r="DK19" s="291" t="s">
        <v>323</v>
      </c>
      <c r="DL19" s="170">
        <f>$O$12*$Z$37*$AP$7</f>
        <v>0.44754031254834276</v>
      </c>
      <c r="DM19" s="170" t="s">
        <v>322</v>
      </c>
    </row>
    <row r="20" spans="1:117" ht="15" customHeight="1" thickTop="1" thickBot="1" x14ac:dyDescent="0.3">
      <c r="A20" s="188"/>
      <c r="B20" s="189"/>
      <c r="C20" s="189"/>
      <c r="D20" s="194" t="s">
        <v>83</v>
      </c>
      <c r="E20" s="199"/>
      <c r="F20" s="207">
        <f>G4/B23</f>
        <v>0.17431192660550457</v>
      </c>
      <c r="G20" s="199"/>
      <c r="H20" s="190"/>
      <c r="I20" s="189"/>
      <c r="K20" s="81" t="s">
        <v>82</v>
      </c>
      <c r="L20" s="218">
        <v>0</v>
      </c>
      <c r="M20" s="219">
        <v>2</v>
      </c>
      <c r="N20" s="219" t="s">
        <v>25</v>
      </c>
      <c r="O20" s="220">
        <v>0</v>
      </c>
      <c r="P20" s="221" t="s">
        <v>50</v>
      </c>
      <c r="Q20" s="30">
        <f t="shared" si="4"/>
        <v>0.31684206193169995</v>
      </c>
      <c r="R20" s="30">
        <f t="shared" si="5"/>
        <v>0</v>
      </c>
      <c r="S20" s="30">
        <f t="shared" si="10"/>
        <v>0</v>
      </c>
      <c r="T20" s="30" t="e">
        <f t="shared" si="11"/>
        <v>#DIV/0!</v>
      </c>
      <c r="U20" s="30">
        <f t="shared" si="12"/>
        <v>0</v>
      </c>
      <c r="V20" s="31"/>
      <c r="W20" s="153"/>
      <c r="X20" s="226"/>
      <c r="Y20" s="226"/>
      <c r="Z20" s="226"/>
      <c r="AA20" s="226"/>
      <c r="AB20" s="226"/>
      <c r="AC20" s="226"/>
      <c r="AD20" s="226"/>
      <c r="AE20" s="226"/>
      <c r="AF20" s="14"/>
      <c r="AG20" s="14"/>
      <c r="AH20" s="14"/>
      <c r="AM20" s="159" t="s">
        <v>319</v>
      </c>
      <c r="AN20" s="81" t="s">
        <v>320</v>
      </c>
      <c r="AO20" s="81" t="s">
        <v>336</v>
      </c>
      <c r="AP20" s="81">
        <f>SUM(O14)*1/(SUM(AD42:AD43)+1/3)</f>
        <v>199.60396039603961</v>
      </c>
      <c r="AQ20" s="81" t="s">
        <v>322</v>
      </c>
      <c r="AR20" s="167">
        <v>278.86439999999999</v>
      </c>
      <c r="AV20" s="168" t="s">
        <v>319</v>
      </c>
      <c r="AW20" s="168" t="s">
        <v>320</v>
      </c>
      <c r="AX20" s="168" t="s">
        <v>336</v>
      </c>
      <c r="AY20" s="169" t="s">
        <v>323</v>
      </c>
      <c r="AZ20" s="162">
        <f t="shared" si="13"/>
        <v>199.60396039603961</v>
      </c>
      <c r="BA20" s="168" t="s">
        <v>322</v>
      </c>
      <c r="BC20" s="81" t="s">
        <v>301</v>
      </c>
      <c r="BD20" s="167">
        <v>23100000</v>
      </c>
      <c r="BE20" s="167">
        <v>232000</v>
      </c>
      <c r="BF20" s="81">
        <v>99.92</v>
      </c>
      <c r="BG20" s="81" t="s">
        <v>388</v>
      </c>
      <c r="BJ20" s="175" t="s">
        <v>319</v>
      </c>
      <c r="BK20" s="175" t="s">
        <v>320</v>
      </c>
      <c r="BL20" s="175" t="s">
        <v>336</v>
      </c>
      <c r="BM20" s="175" t="s">
        <v>323</v>
      </c>
      <c r="BN20" s="181">
        <f>BD33</f>
        <v>795</v>
      </c>
      <c r="BO20" s="175" t="s">
        <v>322</v>
      </c>
      <c r="BQ20" s="81" t="s">
        <v>301</v>
      </c>
      <c r="BR20" s="167">
        <v>32200000</v>
      </c>
      <c r="BS20" s="167">
        <v>1890000</v>
      </c>
      <c r="BT20" s="81">
        <v>17.04</v>
      </c>
      <c r="BU20" s="81" t="s">
        <v>422</v>
      </c>
      <c r="BV20" s="167">
        <v>2E-16</v>
      </c>
      <c r="BW20" s="81" t="s">
        <v>389</v>
      </c>
      <c r="BY20" s="178"/>
      <c r="BZ20" s="178"/>
      <c r="CA20" s="178"/>
      <c r="CB20" s="178"/>
      <c r="CC20" s="177"/>
      <c r="CD20" s="178"/>
      <c r="CO20" s="81" t="s">
        <v>337</v>
      </c>
      <c r="CP20" s="257">
        <f t="shared" si="0"/>
        <v>223.43567964266481</v>
      </c>
      <c r="CQ20" s="257">
        <f t="shared" si="1"/>
        <v>1310</v>
      </c>
      <c r="CR20" s="257">
        <f t="shared" si="2"/>
        <v>457</v>
      </c>
      <c r="CU20" s="258" t="s">
        <v>442</v>
      </c>
      <c r="CV20" s="258" t="s">
        <v>450</v>
      </c>
      <c r="CW20" s="259">
        <v>0.53700000000000003</v>
      </c>
      <c r="CX20" s="259">
        <v>0.23799999999999999</v>
      </c>
      <c r="CY20" s="258">
        <v>2.2599999999999998</v>
      </c>
      <c r="CZ20" s="258">
        <v>2.4E-2</v>
      </c>
      <c r="DA20" s="81" t="s">
        <v>434</v>
      </c>
      <c r="DC20" s="260" t="s">
        <v>467</v>
      </c>
      <c r="DD20" s="264" t="s">
        <v>483</v>
      </c>
      <c r="DE20" s="261" t="s">
        <v>323</v>
      </c>
      <c r="DF20" s="262">
        <f t="shared" si="9"/>
        <v>0.99399999999999999</v>
      </c>
      <c r="DG20" s="260" t="s">
        <v>322</v>
      </c>
      <c r="DI20" s="170" t="s">
        <v>467</v>
      </c>
      <c r="DJ20" s="293" t="s">
        <v>483</v>
      </c>
      <c r="DK20" s="291" t="s">
        <v>323</v>
      </c>
      <c r="DL20" s="170">
        <f>$O$13*$Z$37*$AP$7</f>
        <v>0.36393388053381726</v>
      </c>
      <c r="DM20" s="170" t="s">
        <v>322</v>
      </c>
    </row>
    <row r="21" spans="1:117" ht="15" customHeight="1" thickTop="1" thickBot="1" x14ac:dyDescent="0.3">
      <c r="A21" s="188"/>
      <c r="B21" s="189"/>
      <c r="C21" s="189"/>
      <c r="D21" s="194" t="s">
        <v>86</v>
      </c>
      <c r="E21" s="199"/>
      <c r="F21" s="207">
        <f>G4/B6</f>
        <v>0.17431192660550457</v>
      </c>
      <c r="G21" s="199"/>
      <c r="H21" s="190"/>
      <c r="I21" s="189"/>
      <c r="K21" s="81" t="s">
        <v>84</v>
      </c>
      <c r="L21" s="218">
        <v>0</v>
      </c>
      <c r="M21" s="219">
        <v>2</v>
      </c>
      <c r="N21" s="219" t="s">
        <v>54</v>
      </c>
      <c r="O21" s="220">
        <f>H10</f>
        <v>3.9</v>
      </c>
      <c r="P21" s="221" t="s">
        <v>26</v>
      </c>
      <c r="Q21" s="30">
        <f t="shared" si="4"/>
        <v>2</v>
      </c>
      <c r="R21" s="30">
        <f t="shared" si="5"/>
        <v>7.8</v>
      </c>
      <c r="S21" s="30">
        <f t="shared" si="10"/>
        <v>0</v>
      </c>
      <c r="T21" s="30">
        <f t="shared" si="11"/>
        <v>0</v>
      </c>
      <c r="U21" s="30">
        <f t="shared" si="12"/>
        <v>0</v>
      </c>
      <c r="V21" s="31"/>
      <c r="W21" s="153"/>
      <c r="X21" s="228" t="s">
        <v>85</v>
      </c>
      <c r="Y21" s="229"/>
      <c r="Z21" s="230" t="s">
        <v>21</v>
      </c>
      <c r="AA21" s="231">
        <f>(1/(1/4+SUM(AD23:AD25)+1/4))</f>
        <v>1.210762331838565</v>
      </c>
      <c r="AB21" s="229" t="s">
        <v>5</v>
      </c>
      <c r="AC21" s="229"/>
      <c r="AD21" s="229" t="s">
        <v>22</v>
      </c>
      <c r="AE21" s="232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9" t="s">
        <v>319</v>
      </c>
      <c r="AN21" s="81" t="s">
        <v>320</v>
      </c>
      <c r="AO21" s="81" t="s">
        <v>337</v>
      </c>
      <c r="AP21" s="81">
        <f>2*AA21*O27+O30*1*AA52</f>
        <v>223.43567964266481</v>
      </c>
      <c r="AQ21" s="81" t="s">
        <v>322</v>
      </c>
      <c r="AR21" s="167">
        <v>721.00049999999999</v>
      </c>
      <c r="AV21" s="168" t="s">
        <v>319</v>
      </c>
      <c r="AW21" s="168" t="s">
        <v>320</v>
      </c>
      <c r="AX21" s="168" t="s">
        <v>337</v>
      </c>
      <c r="AY21" s="169" t="s">
        <v>323</v>
      </c>
      <c r="AZ21" s="162">
        <f t="shared" si="13"/>
        <v>223.43567964266481</v>
      </c>
      <c r="BA21" s="168" t="s">
        <v>322</v>
      </c>
      <c r="BC21" s="81" t="s">
        <v>303</v>
      </c>
      <c r="BD21" s="167">
        <v>30400000</v>
      </c>
      <c r="BE21" s="167">
        <v>78800</v>
      </c>
      <c r="BF21" s="81">
        <v>386.04</v>
      </c>
      <c r="BG21" s="81" t="s">
        <v>388</v>
      </c>
      <c r="BJ21" s="175" t="s">
        <v>319</v>
      </c>
      <c r="BK21" s="175" t="s">
        <v>320</v>
      </c>
      <c r="BL21" s="175" t="s">
        <v>337</v>
      </c>
      <c r="BM21" s="175" t="s">
        <v>323</v>
      </c>
      <c r="BN21" s="181">
        <f>BD34</f>
        <v>1310</v>
      </c>
      <c r="BO21" s="175" t="s">
        <v>322</v>
      </c>
      <c r="BQ21" s="81" t="s">
        <v>303</v>
      </c>
      <c r="BR21" s="167">
        <v>25400000</v>
      </c>
      <c r="BS21" s="167">
        <v>316000</v>
      </c>
      <c r="BT21" s="81">
        <v>80.53</v>
      </c>
      <c r="BU21" s="81" t="s">
        <v>422</v>
      </c>
      <c r="BV21" s="167">
        <v>2E-16</v>
      </c>
      <c r="BW21" s="81" t="s">
        <v>389</v>
      </c>
      <c r="BY21" s="178" t="s">
        <v>319</v>
      </c>
      <c r="BZ21" s="178" t="s">
        <v>320</v>
      </c>
      <c r="CA21" s="178" t="s">
        <v>335</v>
      </c>
      <c r="CB21" s="178" t="s">
        <v>323</v>
      </c>
      <c r="CC21" s="180">
        <f>BR32</f>
        <v>278</v>
      </c>
      <c r="CD21" s="178" t="s">
        <v>322</v>
      </c>
      <c r="CE21" s="167">
        <f>BS32</f>
        <v>2.25</v>
      </c>
      <c r="CO21" s="81" t="s">
        <v>338</v>
      </c>
      <c r="CP21" s="257">
        <f t="shared" si="0"/>
        <v>96.501670329670333</v>
      </c>
      <c r="CQ21" s="257">
        <f t="shared" si="1"/>
        <v>253</v>
      </c>
      <c r="CR21" s="257">
        <f t="shared" si="2"/>
        <v>272</v>
      </c>
      <c r="CU21" s="258" t="s">
        <v>442</v>
      </c>
      <c r="CV21" s="258" t="s">
        <v>343</v>
      </c>
      <c r="CW21" s="259">
        <v>1.12E-7</v>
      </c>
      <c r="CX21" s="259">
        <v>6.9500000000000004E-6</v>
      </c>
      <c r="CY21" s="258">
        <v>0.02</v>
      </c>
      <c r="CZ21" s="258">
        <v>0.98699999999999999</v>
      </c>
      <c r="DC21" s="260" t="s">
        <v>467</v>
      </c>
      <c r="DD21" s="264" t="s">
        <v>484</v>
      </c>
      <c r="DE21" s="261" t="s">
        <v>323</v>
      </c>
      <c r="DF21" s="262">
        <f t="shared" si="9"/>
        <v>0.56000000000000005</v>
      </c>
      <c r="DG21" s="260" t="s">
        <v>322</v>
      </c>
      <c r="DI21" s="170" t="s">
        <v>467</v>
      </c>
      <c r="DJ21" s="293" t="s">
        <v>484</v>
      </c>
      <c r="DK21" s="291" t="s">
        <v>323</v>
      </c>
      <c r="DL21" s="170">
        <f>$O$11*$Z$37*$AP$42</f>
        <v>0.36598305778907531</v>
      </c>
      <c r="DM21" s="170" t="s">
        <v>322</v>
      </c>
    </row>
    <row r="22" spans="1:117" ht="15" customHeight="1" thickTop="1" thickBot="1" x14ac:dyDescent="0.3">
      <c r="A22" s="205"/>
      <c r="B22" s="187"/>
      <c r="C22" s="187"/>
      <c r="D22" s="188" t="s">
        <v>88</v>
      </c>
      <c r="E22" s="189"/>
      <c r="F22" s="195">
        <f>G4/B26</f>
        <v>8.2905544147843929E-2</v>
      </c>
      <c r="G22" s="189"/>
      <c r="H22" s="190"/>
      <c r="I22" s="189"/>
      <c r="K22" s="81" t="s">
        <v>87</v>
      </c>
      <c r="L22" s="218">
        <v>0</v>
      </c>
      <c r="M22" s="219">
        <v>2</v>
      </c>
      <c r="N22" s="219" t="s">
        <v>54</v>
      </c>
      <c r="O22" s="220">
        <f>H11</f>
        <v>4</v>
      </c>
      <c r="P22" s="221" t="s">
        <v>39</v>
      </c>
      <c r="Q22" s="30">
        <f t="shared" si="4"/>
        <v>2</v>
      </c>
      <c r="R22" s="30">
        <f t="shared" si="5"/>
        <v>8</v>
      </c>
      <c r="S22" s="30">
        <f t="shared" si="10"/>
        <v>0</v>
      </c>
      <c r="T22" s="30">
        <f t="shared" si="11"/>
        <v>0</v>
      </c>
      <c r="U22" s="30">
        <f t="shared" si="12"/>
        <v>0</v>
      </c>
      <c r="V22" s="31"/>
      <c r="W22" s="153"/>
      <c r="X22" s="233"/>
      <c r="Y22" s="234" t="s">
        <v>27</v>
      </c>
      <c r="Z22" s="234" t="s">
        <v>28</v>
      </c>
      <c r="AA22" s="234" t="s">
        <v>29</v>
      </c>
      <c r="AB22" s="234" t="s">
        <v>30</v>
      </c>
      <c r="AC22" s="234" t="s">
        <v>31</v>
      </c>
      <c r="AD22" s="234" t="s">
        <v>32</v>
      </c>
      <c r="AE22" s="235" t="s">
        <v>33</v>
      </c>
      <c r="AF22" s="14"/>
      <c r="AG22" s="14"/>
      <c r="AH22" s="14"/>
      <c r="AM22" s="159" t="s">
        <v>319</v>
      </c>
      <c r="AN22" s="81" t="s">
        <v>320</v>
      </c>
      <c r="AO22" s="81" t="s">
        <v>338</v>
      </c>
      <c r="AP22" s="153">
        <f>'Verwarming Tabula 2zone Ref 1'!B60+SUM(R10:R13)+R16</f>
        <v>96.501670329670333</v>
      </c>
      <c r="AQ22" s="81" t="s">
        <v>322</v>
      </c>
      <c r="AR22" s="167">
        <v>110.5333</v>
      </c>
      <c r="AV22" s="168" t="s">
        <v>319</v>
      </c>
      <c r="AW22" s="168" t="s">
        <v>320</v>
      </c>
      <c r="AX22" s="168" t="s">
        <v>338</v>
      </c>
      <c r="AY22" s="169" t="s">
        <v>323</v>
      </c>
      <c r="AZ22" s="162">
        <f t="shared" si="13"/>
        <v>96.501670329670333</v>
      </c>
      <c r="BA22" s="168" t="s">
        <v>322</v>
      </c>
      <c r="BC22" s="81" t="s">
        <v>400</v>
      </c>
      <c r="BD22" s="167">
        <v>-5.92</v>
      </c>
      <c r="BE22" s="167">
        <v>5.1700000000000003E-2</v>
      </c>
      <c r="BF22" s="81">
        <v>-114.57</v>
      </c>
      <c r="BG22" s="81" t="s">
        <v>388</v>
      </c>
      <c r="BJ22" s="175" t="s">
        <v>319</v>
      </c>
      <c r="BK22" s="175" t="s">
        <v>320</v>
      </c>
      <c r="BL22" s="175" t="s">
        <v>338</v>
      </c>
      <c r="BM22" s="175" t="s">
        <v>323</v>
      </c>
      <c r="BN22" s="181">
        <f>BD35</f>
        <v>253</v>
      </c>
      <c r="BO22" s="175" t="s">
        <v>322</v>
      </c>
      <c r="BQ22" s="81" t="s">
        <v>400</v>
      </c>
      <c r="BR22" s="167">
        <v>-6.08</v>
      </c>
      <c r="BS22" s="167">
        <v>0.23</v>
      </c>
      <c r="BT22" s="81">
        <v>-26.41</v>
      </c>
      <c r="BU22" s="81" t="s">
        <v>422</v>
      </c>
      <c r="BV22" s="167">
        <v>2E-16</v>
      </c>
      <c r="BW22" s="81" t="s">
        <v>389</v>
      </c>
      <c r="BY22" s="178" t="s">
        <v>319</v>
      </c>
      <c r="BZ22" s="178" t="s">
        <v>320</v>
      </c>
      <c r="CA22" s="178" t="s">
        <v>336</v>
      </c>
      <c r="CB22" s="178" t="s">
        <v>323</v>
      </c>
      <c r="CC22" s="180">
        <f>BR33</f>
        <v>215</v>
      </c>
      <c r="CD22" s="178" t="s">
        <v>322</v>
      </c>
      <c r="CE22" s="167">
        <f>BS33</f>
        <v>1.54</v>
      </c>
      <c r="CO22" s="81" t="s">
        <v>339</v>
      </c>
      <c r="CP22" s="257">
        <f t="shared" si="0"/>
        <v>27.090531131726085</v>
      </c>
      <c r="CQ22" s="257">
        <f t="shared" si="1"/>
        <v>217.39130434782609</v>
      </c>
      <c r="CR22" s="257">
        <f t="shared" si="2"/>
        <v>326.79738562091507</v>
      </c>
      <c r="CU22" s="258" t="s">
        <v>442</v>
      </c>
      <c r="CV22" s="258" t="s">
        <v>451</v>
      </c>
      <c r="CW22" s="259">
        <v>0.34100000000000003</v>
      </c>
      <c r="CX22" s="259">
        <v>0.13300000000000001</v>
      </c>
      <c r="CY22" s="258">
        <v>2.56</v>
      </c>
      <c r="CZ22" s="258">
        <v>1.0999999999999999E-2</v>
      </c>
      <c r="DA22" s="81" t="s">
        <v>434</v>
      </c>
      <c r="DC22" s="260" t="s">
        <v>467</v>
      </c>
      <c r="DD22" s="264" t="s">
        <v>485</v>
      </c>
      <c r="DE22" s="261" t="s">
        <v>323</v>
      </c>
      <c r="DF22" s="262">
        <f t="shared" si="9"/>
        <v>6.1800000000000004E-10</v>
      </c>
      <c r="DG22" s="260" t="s">
        <v>322</v>
      </c>
      <c r="DI22" s="170" t="s">
        <v>467</v>
      </c>
      <c r="DJ22" s="293" t="s">
        <v>485</v>
      </c>
      <c r="DK22" s="291" t="s">
        <v>323</v>
      </c>
      <c r="DL22" s="170">
        <f>$O$10*$Z$37*$AP$42</f>
        <v>0.35683348134434845</v>
      </c>
      <c r="DM22" s="170" t="s">
        <v>322</v>
      </c>
    </row>
    <row r="23" spans="1:117" ht="15" customHeight="1" thickTop="1" thickBot="1" x14ac:dyDescent="0.3">
      <c r="A23" s="191" t="s">
        <v>91</v>
      </c>
      <c r="B23" s="192">
        <f>B17+B6</f>
        <v>185.3</v>
      </c>
      <c r="C23" s="202" t="s">
        <v>9</v>
      </c>
      <c r="D23" s="188"/>
      <c r="E23" s="189"/>
      <c r="F23" s="189"/>
      <c r="G23" s="189"/>
      <c r="H23" s="190"/>
      <c r="I23" s="189"/>
      <c r="K23" s="81" t="s">
        <v>89</v>
      </c>
      <c r="L23" s="218">
        <v>0</v>
      </c>
      <c r="M23" s="219">
        <v>2</v>
      </c>
      <c r="N23" s="219" t="s">
        <v>54</v>
      </c>
      <c r="O23" s="220">
        <f>H12</f>
        <v>4.55</v>
      </c>
      <c r="P23" s="221" t="s">
        <v>45</v>
      </c>
      <c r="Q23" s="30">
        <f t="shared" si="4"/>
        <v>2</v>
      </c>
      <c r="R23" s="30">
        <f t="shared" si="5"/>
        <v>9.1</v>
      </c>
      <c r="S23" s="30">
        <f t="shared" si="10"/>
        <v>0</v>
      </c>
      <c r="T23" s="30">
        <f t="shared" si="11"/>
        <v>0</v>
      </c>
      <c r="U23" s="30">
        <f t="shared" si="12"/>
        <v>0</v>
      </c>
      <c r="V23" s="31"/>
      <c r="W23" s="153"/>
      <c r="X23" s="188"/>
      <c r="Y23" s="189" t="s">
        <v>90</v>
      </c>
      <c r="Z23" s="189">
        <v>0.02</v>
      </c>
      <c r="AA23" s="189">
        <v>0.6</v>
      </c>
      <c r="AB23" s="189">
        <v>975</v>
      </c>
      <c r="AC23" s="189">
        <v>840</v>
      </c>
      <c r="AD23" s="236">
        <f>Z23/AA23</f>
        <v>3.3333333333333333E-2</v>
      </c>
      <c r="AE23" s="190">
        <f>Z23*AB23*AC23</f>
        <v>16380</v>
      </c>
      <c r="AF23" s="14"/>
      <c r="AG23" s="14"/>
      <c r="AH23" s="14"/>
      <c r="AM23" s="159" t="s">
        <v>319</v>
      </c>
      <c r="AN23" s="81" t="s">
        <v>320</v>
      </c>
      <c r="AO23" s="81" t="s">
        <v>339</v>
      </c>
      <c r="AP23" s="81">
        <f>SUM(O6:O9)*1/(SUM(AD15:AD17)+1/23)</f>
        <v>27.090531131726085</v>
      </c>
      <c r="AQ23" s="81" t="s">
        <v>322</v>
      </c>
      <c r="AR23" s="81">
        <f>1/0.01496205</f>
        <v>66.83576114235683</v>
      </c>
      <c r="AV23" s="168" t="s">
        <v>319</v>
      </c>
      <c r="AW23" s="168" t="s">
        <v>320</v>
      </c>
      <c r="AX23" s="168" t="s">
        <v>339</v>
      </c>
      <c r="AY23" s="169" t="s">
        <v>323</v>
      </c>
      <c r="AZ23" s="162">
        <f t="shared" si="13"/>
        <v>27.090531131726085</v>
      </c>
      <c r="BA23" s="168" t="s">
        <v>322</v>
      </c>
      <c r="BC23" s="81" t="s">
        <v>401</v>
      </c>
      <c r="BD23" s="167">
        <v>-13.3</v>
      </c>
      <c r="BE23" s="167">
        <v>65</v>
      </c>
      <c r="BF23" s="81">
        <v>-0.2</v>
      </c>
      <c r="BG23" s="81">
        <v>0.84</v>
      </c>
      <c r="BJ23" s="175" t="s">
        <v>319</v>
      </c>
      <c r="BK23" s="175" t="s">
        <v>320</v>
      </c>
      <c r="BL23" s="175" t="s">
        <v>339</v>
      </c>
      <c r="BM23" s="175" t="s">
        <v>323</v>
      </c>
      <c r="BN23" s="181">
        <f>1/BD41</f>
        <v>217.39130434782609</v>
      </c>
      <c r="BO23" s="175" t="s">
        <v>322</v>
      </c>
      <c r="BQ23" s="81" t="s">
        <v>401</v>
      </c>
      <c r="BR23" s="167">
        <v>-27.7</v>
      </c>
      <c r="BS23" s="167">
        <v>2.08</v>
      </c>
      <c r="BT23" s="81">
        <v>-13.34</v>
      </c>
      <c r="BU23" s="81" t="s">
        <v>422</v>
      </c>
      <c r="BV23" s="167">
        <v>2E-16</v>
      </c>
      <c r="BW23" s="81" t="s">
        <v>389</v>
      </c>
      <c r="BY23" s="178" t="s">
        <v>319</v>
      </c>
      <c r="BZ23" s="178" t="s">
        <v>320</v>
      </c>
      <c r="CA23" s="178" t="s">
        <v>337</v>
      </c>
      <c r="CB23" s="178" t="s">
        <v>323</v>
      </c>
      <c r="CC23" s="180">
        <f>BR34</f>
        <v>457</v>
      </c>
      <c r="CD23" s="178" t="s">
        <v>322</v>
      </c>
      <c r="CE23" s="167">
        <f>BS34</f>
        <v>3.7</v>
      </c>
      <c r="CO23" s="81" t="s">
        <v>340</v>
      </c>
      <c r="CP23" s="257">
        <f t="shared" si="0"/>
        <v>10.381307771180783</v>
      </c>
      <c r="CQ23" s="257">
        <f t="shared" si="1"/>
        <v>81.900000000000006</v>
      </c>
      <c r="CR23" s="257">
        <f t="shared" si="2"/>
        <v>75.900000000000006</v>
      </c>
      <c r="CU23" s="258" t="s">
        <v>442</v>
      </c>
      <c r="CV23" s="258" t="s">
        <v>452</v>
      </c>
      <c r="CW23" s="259">
        <v>5.91E-2</v>
      </c>
      <c r="CX23" s="259">
        <v>0.22700000000000001</v>
      </c>
      <c r="CY23" s="258">
        <v>0.26</v>
      </c>
      <c r="CZ23" s="258">
        <v>0.79500000000000004</v>
      </c>
      <c r="DC23" s="260" t="s">
        <v>467</v>
      </c>
      <c r="DD23" s="263" t="s">
        <v>486</v>
      </c>
      <c r="DE23" s="261" t="s">
        <v>323</v>
      </c>
      <c r="DF23" s="262">
        <f t="shared" si="9"/>
        <v>0.67600000000000005</v>
      </c>
      <c r="DG23" s="260" t="s">
        <v>322</v>
      </c>
      <c r="DI23" s="170" t="s">
        <v>467</v>
      </c>
      <c r="DJ23" s="292" t="s">
        <v>486</v>
      </c>
      <c r="DK23" s="291" t="s">
        <v>323</v>
      </c>
      <c r="DL23" s="170">
        <f>$O$12*$Z$37*$AP$42</f>
        <v>0.41630572823507311</v>
      </c>
      <c r="DM23" s="170" t="s">
        <v>322</v>
      </c>
    </row>
    <row r="24" spans="1:117" ht="15" customHeight="1" thickTop="1" thickBot="1" x14ac:dyDescent="0.3">
      <c r="A24" s="188" t="s">
        <v>94</v>
      </c>
      <c r="B24" s="208">
        <f>B23/B6</f>
        <v>1</v>
      </c>
      <c r="C24" s="189"/>
      <c r="D24" s="188" t="s">
        <v>95</v>
      </c>
      <c r="E24" s="189"/>
      <c r="F24" s="208">
        <f>B8/B6</f>
        <v>0.48192120885051271</v>
      </c>
      <c r="G24" s="189"/>
      <c r="H24" s="190"/>
      <c r="I24" s="189"/>
      <c r="K24" s="81" t="s">
        <v>92</v>
      </c>
      <c r="L24" s="218">
        <v>0</v>
      </c>
      <c r="M24" s="219">
        <v>2</v>
      </c>
      <c r="N24" s="219" t="s">
        <v>54</v>
      </c>
      <c r="O24" s="220">
        <f>H13</f>
        <v>3.7</v>
      </c>
      <c r="P24" s="221" t="s">
        <v>50</v>
      </c>
      <c r="Q24" s="30">
        <f t="shared" si="4"/>
        <v>2</v>
      </c>
      <c r="R24" s="30">
        <f t="shared" si="5"/>
        <v>7.4</v>
      </c>
      <c r="S24" s="30">
        <f t="shared" si="10"/>
        <v>0</v>
      </c>
      <c r="T24" s="30">
        <f t="shared" si="11"/>
        <v>0</v>
      </c>
      <c r="U24" s="30">
        <f t="shared" si="12"/>
        <v>0</v>
      </c>
      <c r="V24" s="31"/>
      <c r="W24" s="153"/>
      <c r="X24" s="188"/>
      <c r="Y24" s="189" t="s">
        <v>93</v>
      </c>
      <c r="Z24" s="189">
        <v>0.14000000000000001</v>
      </c>
      <c r="AA24" s="189">
        <v>0.54</v>
      </c>
      <c r="AB24" s="189">
        <v>1400</v>
      </c>
      <c r="AC24" s="189">
        <v>840</v>
      </c>
      <c r="AD24" s="236">
        <f>Z24/AA24</f>
        <v>0.25925925925925924</v>
      </c>
      <c r="AE24" s="190">
        <f>Z24*AB24*AC24</f>
        <v>164640.00000000003</v>
      </c>
      <c r="AF24" s="14"/>
      <c r="AG24" s="14"/>
      <c r="AH24" s="14"/>
      <c r="AM24" s="159" t="s">
        <v>319</v>
      </c>
      <c r="AN24" s="81" t="s">
        <v>320</v>
      </c>
      <c r="AO24" s="81" t="s">
        <v>340</v>
      </c>
      <c r="AP24" s="81">
        <f>SUM(O14)*1/(SUM(AD44:AD46)/'Verwarming Tabula 2zone Ref 1'!H28)</f>
        <v>10.381307771180783</v>
      </c>
      <c r="AQ24" s="81" t="s">
        <v>322</v>
      </c>
      <c r="AR24" s="167">
        <v>43.800190000000001</v>
      </c>
      <c r="AV24" s="168" t="s">
        <v>319</v>
      </c>
      <c r="AW24" s="168" t="s">
        <v>320</v>
      </c>
      <c r="AX24" s="168" t="s">
        <v>340</v>
      </c>
      <c r="AY24" s="169" t="s">
        <v>323</v>
      </c>
      <c r="AZ24" s="162">
        <f t="shared" si="13"/>
        <v>10.381307771180783</v>
      </c>
      <c r="BA24" s="168" t="s">
        <v>322</v>
      </c>
      <c r="BC24" s="81" t="s">
        <v>402</v>
      </c>
      <c r="BD24" s="167">
        <v>-15.6</v>
      </c>
      <c r="BE24" s="167">
        <v>83.5</v>
      </c>
      <c r="BF24" s="81">
        <v>-0.19</v>
      </c>
      <c r="BG24" s="81">
        <v>0.85</v>
      </c>
      <c r="BJ24" s="175" t="s">
        <v>319</v>
      </c>
      <c r="BK24" s="175" t="s">
        <v>320</v>
      </c>
      <c r="BL24" s="175" t="s">
        <v>340</v>
      </c>
      <c r="BM24" s="175" t="s">
        <v>323</v>
      </c>
      <c r="BN24" s="181">
        <f>BD44</f>
        <v>81.900000000000006</v>
      </c>
      <c r="BO24" s="175" t="s">
        <v>322</v>
      </c>
      <c r="BQ24" s="81" t="s">
        <v>402</v>
      </c>
      <c r="BR24" s="167">
        <v>-23.8</v>
      </c>
      <c r="BS24" s="167">
        <v>9</v>
      </c>
      <c r="BT24" s="81">
        <v>-2.65</v>
      </c>
      <c r="BU24" s="81">
        <v>8.0999999999999996E-3</v>
      </c>
      <c r="BV24" s="81" t="s">
        <v>425</v>
      </c>
      <c r="BY24" s="178" t="s">
        <v>319</v>
      </c>
      <c r="BZ24" s="178" t="s">
        <v>320</v>
      </c>
      <c r="CA24" s="178" t="s">
        <v>338</v>
      </c>
      <c r="CB24" s="178" t="s">
        <v>323</v>
      </c>
      <c r="CC24" s="180">
        <f>BR35</f>
        <v>272</v>
      </c>
      <c r="CD24" s="178" t="s">
        <v>322</v>
      </c>
      <c r="CE24" s="167">
        <f>BS35</f>
        <v>18.2</v>
      </c>
      <c r="CP24" s="255"/>
      <c r="CQ24" s="255"/>
      <c r="CR24" s="255"/>
      <c r="CU24" s="258" t="s">
        <v>442</v>
      </c>
      <c r="CV24" s="258" t="s">
        <v>453</v>
      </c>
      <c r="CW24" s="259">
        <v>0.98799999999999999</v>
      </c>
      <c r="CX24" s="259">
        <v>1.5599999999999999E-2</v>
      </c>
      <c r="CY24" s="258">
        <v>63.27</v>
      </c>
      <c r="CZ24" s="258" t="s">
        <v>422</v>
      </c>
      <c r="DA24" s="167">
        <v>2E-16</v>
      </c>
      <c r="DB24" s="81" t="s">
        <v>389</v>
      </c>
      <c r="DC24" s="260" t="s">
        <v>467</v>
      </c>
      <c r="DD24" s="261" t="s">
        <v>487</v>
      </c>
      <c r="DE24" s="261" t="s">
        <v>323</v>
      </c>
      <c r="DF24" s="262">
        <f t="shared" si="9"/>
        <v>0.55000000000000004</v>
      </c>
      <c r="DG24" s="260" t="s">
        <v>322</v>
      </c>
      <c r="DI24" s="170" t="s">
        <v>467</v>
      </c>
      <c r="DJ24" s="291" t="s">
        <v>487</v>
      </c>
      <c r="DK24" s="291" t="s">
        <v>323</v>
      </c>
      <c r="DL24" s="170">
        <f>$O$13*$Z$37*$AP$42</f>
        <v>0.33853432845489467</v>
      </c>
      <c r="DM24" s="170" t="s">
        <v>322</v>
      </c>
    </row>
    <row r="25" spans="1:117" ht="15" customHeight="1" thickTop="1" thickBot="1" x14ac:dyDescent="0.3">
      <c r="A25" s="205"/>
      <c r="B25" s="187"/>
      <c r="C25" s="187"/>
      <c r="D25" s="188"/>
      <c r="E25" s="189"/>
      <c r="F25" s="189"/>
      <c r="G25" s="189"/>
      <c r="H25" s="190"/>
      <c r="I25" s="189"/>
      <c r="K25" s="81" t="s">
        <v>96</v>
      </c>
      <c r="L25" s="218">
        <v>0</v>
      </c>
      <c r="M25" s="219">
        <v>2</v>
      </c>
      <c r="N25" s="219" t="s">
        <v>20</v>
      </c>
      <c r="O25" s="220">
        <f>'Tabula data'!B7</f>
        <v>108.5</v>
      </c>
      <c r="P25" s="221" t="s">
        <v>97</v>
      </c>
      <c r="Q25" s="30">
        <f t="shared" si="4"/>
        <v>0.3127301569316186</v>
      </c>
      <c r="R25" s="30">
        <f t="shared" si="5"/>
        <v>33.931222027080615</v>
      </c>
      <c r="S25" s="30">
        <f t="shared" si="10"/>
        <v>6179292</v>
      </c>
      <c r="T25" s="30">
        <f t="shared" si="11"/>
        <v>56952</v>
      </c>
      <c r="U25" s="30">
        <f t="shared" si="12"/>
        <v>1777230</v>
      </c>
      <c r="V25" s="31"/>
      <c r="W25" s="153"/>
      <c r="X25" s="205"/>
      <c r="Y25" s="187" t="s">
        <v>90</v>
      </c>
      <c r="Z25" s="187">
        <v>0.02</v>
      </c>
      <c r="AA25" s="187">
        <v>0.6</v>
      </c>
      <c r="AB25" s="187">
        <v>975</v>
      </c>
      <c r="AC25" s="187">
        <v>840</v>
      </c>
      <c r="AD25" s="237">
        <f>Z25/AA25</f>
        <v>3.3333333333333333E-2</v>
      </c>
      <c r="AE25" s="210">
        <f>Z25*AB25*AC25</f>
        <v>16380</v>
      </c>
      <c r="AF25" s="14"/>
      <c r="AG25" s="14"/>
      <c r="AH25" s="14"/>
      <c r="AQ25" s="81" t="s">
        <v>322</v>
      </c>
      <c r="AV25" s="168"/>
      <c r="AW25" s="168"/>
      <c r="AX25" s="168"/>
      <c r="AY25" s="169"/>
      <c r="BA25" s="168"/>
      <c r="BC25" s="81" t="s">
        <v>403</v>
      </c>
      <c r="BD25" s="167">
        <v>-11.3</v>
      </c>
      <c r="BE25" s="167">
        <v>53</v>
      </c>
      <c r="BF25" s="81">
        <v>-0.21</v>
      </c>
      <c r="BG25" s="81">
        <v>0.83</v>
      </c>
      <c r="BJ25" s="175"/>
      <c r="BK25" s="175"/>
      <c r="BL25" s="175"/>
      <c r="BM25" s="175"/>
      <c r="BN25" s="174"/>
      <c r="BO25" s="175"/>
      <c r="BQ25" s="81" t="s">
        <v>403</v>
      </c>
      <c r="BR25" s="167">
        <v>-16.399999999999999</v>
      </c>
      <c r="BS25" s="167">
        <v>1.69</v>
      </c>
      <c r="BT25" s="81">
        <v>-9.69</v>
      </c>
      <c r="BU25" s="81" t="s">
        <v>422</v>
      </c>
      <c r="BV25" s="167">
        <v>2E-16</v>
      </c>
      <c r="BW25" s="81" t="s">
        <v>389</v>
      </c>
      <c r="BY25" s="178" t="s">
        <v>319</v>
      </c>
      <c r="BZ25" s="178" t="s">
        <v>320</v>
      </c>
      <c r="CA25" s="178" t="s">
        <v>339</v>
      </c>
      <c r="CB25" s="178" t="s">
        <v>323</v>
      </c>
      <c r="CC25" s="180">
        <f>1/BR41</f>
        <v>326.79738562091507</v>
      </c>
      <c r="CD25" s="178" t="s">
        <v>322</v>
      </c>
      <c r="CE25" s="167">
        <f>CC25/50</f>
        <v>6.5359477124183014</v>
      </c>
      <c r="CO25" s="81" t="s">
        <v>341</v>
      </c>
      <c r="CP25" s="254">
        <f t="shared" si="0"/>
        <v>0.3916273809836372</v>
      </c>
      <c r="CQ25" s="254">
        <f t="shared" si="1"/>
        <v>0.44900000000000001</v>
      </c>
      <c r="CR25" s="254">
        <f t="shared" si="2"/>
        <v>0.46800000000000003</v>
      </c>
      <c r="CU25" s="258" t="s">
        <v>442</v>
      </c>
      <c r="CV25" s="258" t="s">
        <v>454</v>
      </c>
      <c r="CW25" s="259">
        <v>3.1199999999999999E-7</v>
      </c>
      <c r="CX25" s="259">
        <v>1.27E-5</v>
      </c>
      <c r="CY25" s="258">
        <v>0.02</v>
      </c>
      <c r="CZ25" s="258">
        <v>0.98</v>
      </c>
      <c r="DE25" s="261"/>
      <c r="DI25" s="170"/>
      <c r="DJ25" s="170"/>
      <c r="DK25" s="291"/>
      <c r="DL25" s="170"/>
      <c r="DM25" s="170"/>
    </row>
    <row r="26" spans="1:117" ht="15" customHeight="1" thickTop="1" thickBot="1" x14ac:dyDescent="0.3">
      <c r="A26" s="191" t="s">
        <v>100</v>
      </c>
      <c r="B26" s="209">
        <f>'Tabula data'!B6</f>
        <v>389.6</v>
      </c>
      <c r="C26" s="203" t="s">
        <v>9</v>
      </c>
      <c r="D26" s="188"/>
      <c r="E26" s="189"/>
      <c r="F26" s="189"/>
      <c r="G26" s="189"/>
      <c r="H26" s="190"/>
      <c r="I26" s="189"/>
      <c r="K26" s="81" t="s">
        <v>98</v>
      </c>
      <c r="L26" s="218">
        <v>1</v>
      </c>
      <c r="M26" s="219">
        <v>2</v>
      </c>
      <c r="N26" s="219" t="s">
        <v>99</v>
      </c>
      <c r="O26" s="220">
        <f>'Tabula data'!B4-'Tabula data'!B14</f>
        <v>89.300000000000011</v>
      </c>
      <c r="P26" s="221"/>
      <c r="Q26" s="30">
        <f t="shared" si="4"/>
        <v>1.0668924640135478</v>
      </c>
      <c r="R26" s="30">
        <f t="shared" si="5"/>
        <v>95.273497036409822</v>
      </c>
      <c r="S26" s="30">
        <f t="shared" si="10"/>
        <v>40841355.000000007</v>
      </c>
      <c r="T26" s="30">
        <f t="shared" si="11"/>
        <v>457350</v>
      </c>
      <c r="U26" s="30">
        <f t="shared" si="12"/>
        <v>40841355.000000007</v>
      </c>
      <c r="V26" s="31"/>
      <c r="W26" s="153"/>
      <c r="X26" s="226"/>
      <c r="Y26" s="226"/>
      <c r="Z26" s="226"/>
      <c r="AA26" s="226"/>
      <c r="AB26" s="226"/>
      <c r="AC26" s="226"/>
      <c r="AD26" s="226"/>
      <c r="AE26" s="226"/>
      <c r="AF26" s="14"/>
      <c r="AG26" s="14"/>
      <c r="AH26" s="14"/>
      <c r="AM26" s="159" t="s">
        <v>319</v>
      </c>
      <c r="AN26" s="81" t="s">
        <v>320</v>
      </c>
      <c r="AO26" s="81" t="s">
        <v>341</v>
      </c>
      <c r="AP26" s="81">
        <f>SUM(O17:O20,O25)/SUM(O$17:O$25,2*O$28,O$26,O31,2*O29)</f>
        <v>0.3916273809836372</v>
      </c>
      <c r="AQ26" s="81" t="s">
        <v>322</v>
      </c>
      <c r="AR26" s="167">
        <v>0.44339849999999997</v>
      </c>
      <c r="AV26" s="168" t="s">
        <v>319</v>
      </c>
      <c r="AW26" s="168" t="s">
        <v>320</v>
      </c>
      <c r="AX26" s="168" t="s">
        <v>341</v>
      </c>
      <c r="AY26" s="169" t="s">
        <v>323</v>
      </c>
      <c r="AZ26" s="162">
        <f>AP26</f>
        <v>0.3916273809836372</v>
      </c>
      <c r="BA26" s="168" t="s">
        <v>322</v>
      </c>
      <c r="BC26" s="81" t="s">
        <v>404</v>
      </c>
      <c r="BD26" s="167">
        <v>-14.8</v>
      </c>
      <c r="BE26" s="167">
        <v>69.3</v>
      </c>
      <c r="BF26" s="81">
        <v>-0.21</v>
      </c>
      <c r="BG26" s="81">
        <v>0.83</v>
      </c>
      <c r="BJ26" s="175" t="s">
        <v>319</v>
      </c>
      <c r="BK26" s="175" t="s">
        <v>320</v>
      </c>
      <c r="BL26" s="175" t="s">
        <v>341</v>
      </c>
      <c r="BM26" s="175" t="s">
        <v>323</v>
      </c>
      <c r="BN26" s="174">
        <f>BD54</f>
        <v>0.44900000000000001</v>
      </c>
      <c r="BO26" s="175" t="s">
        <v>322</v>
      </c>
      <c r="BQ26" s="81" t="s">
        <v>404</v>
      </c>
      <c r="BR26" s="167">
        <v>-21.6</v>
      </c>
      <c r="BS26" s="167">
        <v>1.83E-2</v>
      </c>
      <c r="BT26" s="81">
        <v>-1183.33</v>
      </c>
      <c r="BU26" s="81" t="s">
        <v>422</v>
      </c>
      <c r="BV26" s="167">
        <v>2E-16</v>
      </c>
      <c r="BW26" s="81" t="s">
        <v>389</v>
      </c>
      <c r="BY26" s="178" t="s">
        <v>319</v>
      </c>
      <c r="BZ26" s="178" t="s">
        <v>320</v>
      </c>
      <c r="CA26" s="178" t="s">
        <v>340</v>
      </c>
      <c r="CB26" s="178" t="s">
        <v>323</v>
      </c>
      <c r="CC26" s="180">
        <f>BR44</f>
        <v>75.900000000000006</v>
      </c>
      <c r="CD26" s="178" t="s">
        <v>322</v>
      </c>
      <c r="CO26" s="81" t="s">
        <v>342</v>
      </c>
      <c r="CP26" s="254">
        <f t="shared" si="0"/>
        <v>0.37572743037874073</v>
      </c>
      <c r="CQ26" s="254">
        <f t="shared" si="1"/>
        <v>0.111</v>
      </c>
      <c r="CR26" s="254">
        <f t="shared" si="2"/>
        <v>0.14099999999999999</v>
      </c>
      <c r="CU26" s="258" t="s">
        <v>442</v>
      </c>
      <c r="CV26" s="258" t="s">
        <v>455</v>
      </c>
      <c r="CW26" s="259">
        <v>1.1399999999999999</v>
      </c>
      <c r="CX26" s="259">
        <v>9.3699999999999999E-3</v>
      </c>
      <c r="CY26" s="258">
        <v>121.65</v>
      </c>
      <c r="CZ26" s="258" t="s">
        <v>422</v>
      </c>
      <c r="DA26" s="167">
        <v>2E-16</v>
      </c>
      <c r="DB26" s="81" t="s">
        <v>389</v>
      </c>
      <c r="DD26" s="261"/>
      <c r="DE26" s="261"/>
      <c r="DF26" s="262"/>
      <c r="DI26" s="170"/>
      <c r="DJ26" s="291"/>
      <c r="DK26" s="291"/>
      <c r="DL26" s="170"/>
      <c r="DM26" s="170"/>
    </row>
    <row r="27" spans="1:117" ht="15" customHeight="1" thickTop="1" thickBot="1" x14ac:dyDescent="0.3">
      <c r="A27" s="188"/>
      <c r="B27" s="208">
        <f>SUM(O6:O25)</f>
        <v>389.5</v>
      </c>
      <c r="C27" s="190" t="s">
        <v>9</v>
      </c>
      <c r="D27" s="188"/>
      <c r="E27" s="189"/>
      <c r="F27" s="189"/>
      <c r="G27" s="189"/>
      <c r="H27" s="190"/>
      <c r="I27" s="189"/>
      <c r="K27" s="81" t="s">
        <v>101</v>
      </c>
      <c r="L27" s="218">
        <v>1</v>
      </c>
      <c r="M27" s="219">
        <v>1</v>
      </c>
      <c r="N27" s="219" t="s">
        <v>85</v>
      </c>
      <c r="O27" s="220">
        <f>SUM(O6:O9)</f>
        <v>74.188882892606586</v>
      </c>
      <c r="P27" s="221"/>
      <c r="Q27" s="30">
        <f t="shared" si="4"/>
        <v>1.210762331838565</v>
      </c>
      <c r="R27" s="30">
        <f t="shared" si="5"/>
        <v>89.825104847550577</v>
      </c>
      <c r="S27" s="30">
        <f t="shared" si="10"/>
        <v>14644885.483000543</v>
      </c>
      <c r="T27" s="30">
        <f t="shared" si="11"/>
        <v>197400.00000000003</v>
      </c>
      <c r="U27" s="30">
        <f t="shared" si="12"/>
        <v>14644885.483000543</v>
      </c>
      <c r="V27" s="31"/>
      <c r="W27" s="153"/>
      <c r="X27" s="228" t="s">
        <v>99</v>
      </c>
      <c r="Y27" s="229"/>
      <c r="Z27" s="230" t="s">
        <v>21</v>
      </c>
      <c r="AA27" s="231">
        <f>1/(1/5+SUM(AD29:AD32)+1/3)</f>
        <v>1.0668924640135478</v>
      </c>
      <c r="AB27" s="229" t="s">
        <v>5</v>
      </c>
      <c r="AC27" s="229"/>
      <c r="AD27" s="229" t="s">
        <v>22</v>
      </c>
      <c r="AE27" s="232">
        <f>SUM(AE29:AE33)</f>
        <v>457350</v>
      </c>
      <c r="AF27" s="14" t="s">
        <v>23</v>
      </c>
      <c r="AG27" s="14">
        <f>SUM(AE29:AE32)</f>
        <v>457350</v>
      </c>
      <c r="AH27" s="14"/>
      <c r="AM27" s="159" t="s">
        <v>319</v>
      </c>
      <c r="AN27" s="81" t="s">
        <v>320</v>
      </c>
      <c r="AO27" s="81" t="s">
        <v>342</v>
      </c>
      <c r="AP27" s="81">
        <f>SUM(2*O28,2*O29,O31)/SUM(O$17:O$25,2*O$28,O$26,O31,2*O29)</f>
        <v>0.37572743037874073</v>
      </c>
      <c r="AQ27" s="81" t="s">
        <v>322</v>
      </c>
      <c r="AR27" s="167">
        <v>0.14522370000000001</v>
      </c>
      <c r="AV27" s="168" t="s">
        <v>319</v>
      </c>
      <c r="AW27" s="168" t="s">
        <v>320</v>
      </c>
      <c r="AX27" s="168" t="s">
        <v>342</v>
      </c>
      <c r="AY27" s="169" t="s">
        <v>323</v>
      </c>
      <c r="AZ27" s="162">
        <f>AP27</f>
        <v>0.37572743037874073</v>
      </c>
      <c r="BA27" s="168" t="s">
        <v>322</v>
      </c>
      <c r="BC27" s="81" t="s">
        <v>405</v>
      </c>
      <c r="BD27" s="167">
        <v>0.11700000000000001</v>
      </c>
      <c r="BE27" s="167">
        <v>5.5000000000000003E-4</v>
      </c>
      <c r="BF27" s="81">
        <v>212.4</v>
      </c>
      <c r="BG27" s="81" t="s">
        <v>388</v>
      </c>
      <c r="BJ27" s="175" t="s">
        <v>319</v>
      </c>
      <c r="BK27" s="175" t="s">
        <v>320</v>
      </c>
      <c r="BL27" s="175" t="s">
        <v>342</v>
      </c>
      <c r="BM27" s="175" t="s">
        <v>323</v>
      </c>
      <c r="BN27" s="174">
        <f>BD55</f>
        <v>0.111</v>
      </c>
      <c r="BO27" s="175" t="s">
        <v>322</v>
      </c>
      <c r="BQ27" s="81" t="s">
        <v>405</v>
      </c>
      <c r="BR27" s="167">
        <v>7.0400000000000004E-2</v>
      </c>
      <c r="BS27" s="167">
        <v>1.0300000000000001E-3</v>
      </c>
      <c r="BT27" s="81">
        <v>68.37</v>
      </c>
      <c r="BU27" s="81" t="s">
        <v>422</v>
      </c>
      <c r="BV27" s="167">
        <v>2E-16</v>
      </c>
      <c r="BW27" s="81" t="s">
        <v>389</v>
      </c>
      <c r="BY27" s="178"/>
      <c r="BZ27" s="178"/>
      <c r="CA27" s="178"/>
      <c r="CB27" s="178"/>
      <c r="CC27" s="177"/>
      <c r="CD27" s="178"/>
      <c r="CO27" s="81" t="s">
        <v>343</v>
      </c>
      <c r="CP27" s="254">
        <f t="shared" si="0"/>
        <v>3.5630344205761916E-2</v>
      </c>
      <c r="CQ27" s="254">
        <f t="shared" si="1"/>
        <v>0.255</v>
      </c>
      <c r="CR27" s="254">
        <f t="shared" si="2"/>
        <v>0.108</v>
      </c>
      <c r="CU27" s="258" t="s">
        <v>442</v>
      </c>
      <c r="CV27" s="258" t="s">
        <v>456</v>
      </c>
      <c r="CW27" s="259">
        <v>0.99399999999999999</v>
      </c>
      <c r="CX27" s="259">
        <v>1.5900000000000001E-2</v>
      </c>
      <c r="CY27" s="258">
        <v>62.51</v>
      </c>
      <c r="CZ27" s="258" t="s">
        <v>422</v>
      </c>
      <c r="DA27" s="167">
        <v>2E-16</v>
      </c>
      <c r="DB27" s="81" t="s">
        <v>389</v>
      </c>
      <c r="DC27" s="260" t="s">
        <v>467</v>
      </c>
      <c r="DD27" s="261" t="s">
        <v>330</v>
      </c>
      <c r="DE27" s="261" t="s">
        <v>323</v>
      </c>
      <c r="DF27" s="262">
        <f>CW33</f>
        <v>14800000</v>
      </c>
      <c r="DG27" s="260" t="s">
        <v>322</v>
      </c>
      <c r="DI27" s="170" t="s">
        <v>467</v>
      </c>
      <c r="DJ27" s="291" t="s">
        <v>330</v>
      </c>
      <c r="DK27" s="291" t="s">
        <v>323</v>
      </c>
      <c r="DL27" s="295">
        <f>$AP12</f>
        <v>10652160</v>
      </c>
      <c r="DM27" s="170" t="s">
        <v>322</v>
      </c>
    </row>
    <row r="28" spans="1:117" ht="15" customHeight="1" thickTop="1" thickBot="1" x14ac:dyDescent="0.3">
      <c r="A28" s="188"/>
      <c r="B28" s="189"/>
      <c r="C28" s="190"/>
      <c r="D28" s="188"/>
      <c r="E28" s="189"/>
      <c r="F28" s="189"/>
      <c r="G28" s="189"/>
      <c r="H28" s="190"/>
      <c r="I28" s="189"/>
      <c r="K28" s="81" t="s">
        <v>102</v>
      </c>
      <c r="L28" s="218">
        <v>2</v>
      </c>
      <c r="M28" s="219">
        <v>2</v>
      </c>
      <c r="N28" s="219" t="s">
        <v>85</v>
      </c>
      <c r="O28" s="220">
        <f>SUM(O17:O20)</f>
        <v>69.011117107393432</v>
      </c>
      <c r="P28" s="221"/>
      <c r="Q28" s="30">
        <f t="shared" si="4"/>
        <v>1.210762331838565</v>
      </c>
      <c r="R28" s="30">
        <f t="shared" si="5"/>
        <v>83.556061071731961</v>
      </c>
      <c r="S28" s="30">
        <f t="shared" si="10"/>
        <v>13622794.516999464</v>
      </c>
      <c r="T28" s="30">
        <f t="shared" si="11"/>
        <v>197400.00000000003</v>
      </c>
      <c r="U28" s="30">
        <f t="shared" si="12"/>
        <v>13622794.516999464</v>
      </c>
      <c r="V28" s="31"/>
      <c r="X28" s="233"/>
      <c r="Y28" s="234" t="s">
        <v>27</v>
      </c>
      <c r="Z28" s="234" t="s">
        <v>28</v>
      </c>
      <c r="AA28" s="234" t="s">
        <v>29</v>
      </c>
      <c r="AB28" s="234" t="s">
        <v>30</v>
      </c>
      <c r="AC28" s="234" t="s">
        <v>31</v>
      </c>
      <c r="AD28" s="234" t="s">
        <v>32</v>
      </c>
      <c r="AE28" s="235" t="s">
        <v>33</v>
      </c>
      <c r="AF28" s="14"/>
      <c r="AG28" s="14"/>
      <c r="AH28" s="14"/>
      <c r="AM28" s="159" t="s">
        <v>319</v>
      </c>
      <c r="AN28" s="81" t="s">
        <v>320</v>
      </c>
      <c r="AO28" s="81" t="s">
        <v>343</v>
      </c>
      <c r="AP28" s="81">
        <f>SUM(O21:O24)/SUM(O$17:O$25,2*O$28,O$26,O31,2*O29)</f>
        <v>3.5630344205761916E-2</v>
      </c>
      <c r="AQ28" s="81" t="s">
        <v>322</v>
      </c>
      <c r="AR28" s="167">
        <v>0.13569049999999999</v>
      </c>
      <c r="AV28" s="168" t="s">
        <v>319</v>
      </c>
      <c r="AW28" s="168" t="s">
        <v>320</v>
      </c>
      <c r="AX28" s="168" t="s">
        <v>343</v>
      </c>
      <c r="AY28" s="169" t="s">
        <v>323</v>
      </c>
      <c r="AZ28" s="162">
        <f>AP28</f>
        <v>3.5630344205761916E-2</v>
      </c>
      <c r="BA28" s="168" t="s">
        <v>322</v>
      </c>
      <c r="BC28" s="81" t="s">
        <v>406</v>
      </c>
      <c r="BD28" s="167">
        <v>0.22500000000000001</v>
      </c>
      <c r="BE28" s="167">
        <v>9.9500000000000001E-4</v>
      </c>
      <c r="BF28" s="81">
        <v>225.89</v>
      </c>
      <c r="BG28" s="81" t="s">
        <v>388</v>
      </c>
      <c r="BJ28" s="175" t="s">
        <v>319</v>
      </c>
      <c r="BK28" s="175" t="s">
        <v>320</v>
      </c>
      <c r="BL28" s="175" t="s">
        <v>343</v>
      </c>
      <c r="BM28" s="175" t="s">
        <v>323</v>
      </c>
      <c r="BN28" s="174">
        <f>BD56</f>
        <v>0.255</v>
      </c>
      <c r="BO28" s="175" t="s">
        <v>322</v>
      </c>
      <c r="BQ28" s="81" t="s">
        <v>406</v>
      </c>
      <c r="BR28" s="167">
        <v>0.13700000000000001</v>
      </c>
      <c r="BS28" s="167">
        <v>1.8699999999999999E-3</v>
      </c>
      <c r="BT28" s="81">
        <v>73.45</v>
      </c>
      <c r="BU28" s="81" t="s">
        <v>422</v>
      </c>
      <c r="BV28" s="167">
        <v>2E-16</v>
      </c>
      <c r="BW28" s="81" t="s">
        <v>389</v>
      </c>
      <c r="BY28" s="178" t="s">
        <v>319</v>
      </c>
      <c r="BZ28" s="178" t="s">
        <v>320</v>
      </c>
      <c r="CA28" s="178" t="s">
        <v>341</v>
      </c>
      <c r="CB28" s="178" t="s">
        <v>323</v>
      </c>
      <c r="CC28" s="177">
        <f>BR53</f>
        <v>0.46800000000000003</v>
      </c>
      <c r="CD28" s="178" t="s">
        <v>322</v>
      </c>
      <c r="CP28" s="255"/>
      <c r="CQ28" s="255"/>
      <c r="CR28" s="255"/>
      <c r="CU28" s="258" t="s">
        <v>442</v>
      </c>
      <c r="CV28" s="258" t="s">
        <v>457</v>
      </c>
      <c r="CW28" s="259">
        <v>0.56000000000000005</v>
      </c>
      <c r="CX28" s="259">
        <v>1.11E-2</v>
      </c>
      <c r="CY28" s="258">
        <v>50.42</v>
      </c>
      <c r="CZ28" s="258" t="s">
        <v>422</v>
      </c>
      <c r="DA28" s="167">
        <v>2E-16</v>
      </c>
      <c r="DB28" s="81" t="s">
        <v>389</v>
      </c>
      <c r="DC28" s="260" t="s">
        <v>467</v>
      </c>
      <c r="DD28" s="264" t="s">
        <v>327</v>
      </c>
      <c r="DE28" s="261" t="s">
        <v>323</v>
      </c>
      <c r="DF28" s="262">
        <f>CW34</f>
        <v>3530000</v>
      </c>
      <c r="DG28" s="260" t="s">
        <v>322</v>
      </c>
      <c r="DI28" s="170" t="s">
        <v>467</v>
      </c>
      <c r="DJ28" s="293" t="s">
        <v>327</v>
      </c>
      <c r="DK28" s="291" t="s">
        <v>323</v>
      </c>
      <c r="DL28" s="295">
        <f>$AP9</f>
        <v>1768166.3999999999</v>
      </c>
      <c r="DM28" s="170" t="s">
        <v>322</v>
      </c>
    </row>
    <row r="29" spans="1:117" ht="15" customHeight="1" thickTop="1" thickBot="1" x14ac:dyDescent="0.3">
      <c r="A29" s="188"/>
      <c r="B29" s="189"/>
      <c r="C29" s="190"/>
      <c r="D29" s="188"/>
      <c r="E29" s="189"/>
      <c r="F29" s="189"/>
      <c r="G29" s="189"/>
      <c r="H29" s="190"/>
      <c r="I29" s="189"/>
      <c r="L29" s="218">
        <v>2</v>
      </c>
      <c r="M29" s="219">
        <v>2</v>
      </c>
      <c r="N29" s="219" t="s">
        <v>99</v>
      </c>
      <c r="O29" s="220">
        <v>0</v>
      </c>
      <c r="P29" s="225"/>
      <c r="Q29" s="30">
        <f t="shared" si="4"/>
        <v>1.0668924640135478</v>
      </c>
      <c r="R29" s="30">
        <f t="shared" si="5"/>
        <v>0</v>
      </c>
      <c r="S29" s="30">
        <f t="shared" si="10"/>
        <v>0</v>
      </c>
      <c r="T29" s="30" t="e">
        <f t="shared" si="11"/>
        <v>#DIV/0!</v>
      </c>
      <c r="U29" s="30">
        <f t="shared" si="12"/>
        <v>0</v>
      </c>
      <c r="X29" s="239"/>
      <c r="Y29" s="240" t="s">
        <v>103</v>
      </c>
      <c r="Z29" s="240">
        <v>0.02</v>
      </c>
      <c r="AA29" s="240">
        <v>0.18</v>
      </c>
      <c r="AB29" s="240">
        <v>550</v>
      </c>
      <c r="AC29" s="240">
        <v>1880</v>
      </c>
      <c r="AD29" s="241">
        <f>Z29/AA29</f>
        <v>0.11111111111111112</v>
      </c>
      <c r="AE29" s="242">
        <f>Z29*AB29*AC29</f>
        <v>20680</v>
      </c>
      <c r="AF29" s="14" t="s">
        <v>104</v>
      </c>
      <c r="AG29" s="14"/>
      <c r="AH29" s="14"/>
      <c r="AQ29" s="81" t="s">
        <v>322</v>
      </c>
      <c r="AV29" s="168"/>
      <c r="AW29" s="168"/>
      <c r="AX29" s="168"/>
      <c r="AY29" s="169"/>
      <c r="BA29" s="168"/>
      <c r="BC29" s="81" t="s">
        <v>407</v>
      </c>
      <c r="BD29" s="167">
        <v>0.46500000000000002</v>
      </c>
      <c r="BE29" s="167">
        <v>2.8900000000000002E-3</v>
      </c>
      <c r="BF29" s="81">
        <v>161.16999999999999</v>
      </c>
      <c r="BG29" s="81" t="s">
        <v>388</v>
      </c>
      <c r="BJ29" s="175"/>
      <c r="BK29" s="175"/>
      <c r="BL29" s="175"/>
      <c r="BM29" s="175"/>
      <c r="BN29" s="174"/>
      <c r="BO29" s="175"/>
      <c r="BQ29" s="81" t="s">
        <v>407</v>
      </c>
      <c r="BR29" s="167">
        <v>0.76900000000000002</v>
      </c>
      <c r="BS29" s="167">
        <v>3.4299999999999997E-2</v>
      </c>
      <c r="BT29" s="81">
        <v>22.44</v>
      </c>
      <c r="BU29" s="81" t="s">
        <v>422</v>
      </c>
      <c r="BV29" s="167">
        <v>2E-16</v>
      </c>
      <c r="BW29" s="81" t="s">
        <v>389</v>
      </c>
      <c r="BY29" s="178" t="s">
        <v>319</v>
      </c>
      <c r="BZ29" s="178" t="s">
        <v>320</v>
      </c>
      <c r="CA29" s="178" t="s">
        <v>342</v>
      </c>
      <c r="CB29" s="178" t="s">
        <v>323</v>
      </c>
      <c r="CC29" s="177">
        <f>BR54</f>
        <v>0.14099999999999999</v>
      </c>
      <c r="CD29" s="178" t="s">
        <v>322</v>
      </c>
      <c r="CO29" s="81" t="s">
        <v>344</v>
      </c>
      <c r="CP29" s="256">
        <f t="shared" si="0"/>
        <v>913552.64000000025</v>
      </c>
      <c r="CQ29" s="256">
        <f t="shared" si="1"/>
        <v>858000</v>
      </c>
      <c r="CR29" s="256">
        <f t="shared" si="2"/>
        <v>752000</v>
      </c>
      <c r="CU29" s="258" t="s">
        <v>442</v>
      </c>
      <c r="CV29" s="258" t="s">
        <v>360</v>
      </c>
      <c r="CW29" s="259">
        <v>6.1800000000000004E-10</v>
      </c>
      <c r="CX29" s="259">
        <v>5.9300000000000002E-8</v>
      </c>
      <c r="CY29" s="258">
        <v>0.01</v>
      </c>
      <c r="CZ29" s="258">
        <v>0.99199999999999999</v>
      </c>
      <c r="DC29" s="260" t="s">
        <v>467</v>
      </c>
      <c r="DD29" s="264" t="s">
        <v>328</v>
      </c>
      <c r="DE29" s="261" t="s">
        <v>323</v>
      </c>
      <c r="DF29" s="262">
        <f>CW35</f>
        <v>31700000</v>
      </c>
      <c r="DG29" s="260" t="s">
        <v>322</v>
      </c>
      <c r="DI29" s="170" t="s">
        <v>467</v>
      </c>
      <c r="DJ29" s="293" t="s">
        <v>328</v>
      </c>
      <c r="DK29" s="291" t="s">
        <v>323</v>
      </c>
      <c r="DL29" s="295">
        <f>$AP10</f>
        <v>13429671.581219645</v>
      </c>
      <c r="DM29" s="170" t="s">
        <v>322</v>
      </c>
    </row>
    <row r="30" spans="1:117" ht="15" customHeight="1" thickTop="1" thickBot="1" x14ac:dyDescent="0.3">
      <c r="A30" s="205"/>
      <c r="B30" s="187"/>
      <c r="C30" s="210"/>
      <c r="D30" s="205"/>
      <c r="E30" s="187"/>
      <c r="F30" s="187"/>
      <c r="G30" s="187"/>
      <c r="H30" s="210"/>
      <c r="I30" s="189"/>
      <c r="L30" s="218" t="s">
        <v>516</v>
      </c>
      <c r="M30" s="219">
        <v>1</v>
      </c>
      <c r="N30" s="219" t="s">
        <v>517</v>
      </c>
      <c r="O30" s="220">
        <f>O7</f>
        <v>34.704039143624534</v>
      </c>
      <c r="P30" s="221"/>
      <c r="Q30" s="30">
        <f t="shared" si="4"/>
        <v>1.2616822429906542</v>
      </c>
      <c r="R30" s="30">
        <f t="shared" si="5"/>
        <v>43.785469947563669</v>
      </c>
      <c r="S30" s="30">
        <f t="shared" si="10"/>
        <v>6282125.1657789145</v>
      </c>
      <c r="T30" s="30">
        <f t="shared" si="11"/>
        <v>181020.00000000003</v>
      </c>
      <c r="U30" s="30">
        <f t="shared" si="12"/>
        <v>0</v>
      </c>
      <c r="X30" s="188"/>
      <c r="Y30" s="189" t="s">
        <v>129</v>
      </c>
      <c r="Z30" s="189">
        <v>0.08</v>
      </c>
      <c r="AA30" s="189">
        <v>0.6</v>
      </c>
      <c r="AB30" s="189">
        <v>1100</v>
      </c>
      <c r="AC30" s="189">
        <v>860</v>
      </c>
      <c r="AD30" s="236">
        <f>Z30/AA30</f>
        <v>0.13333333333333333</v>
      </c>
      <c r="AE30" s="190">
        <f>Z30*AB30*AC30</f>
        <v>75680</v>
      </c>
      <c r="AF30" s="14"/>
      <c r="AG30" s="14"/>
      <c r="AH30" s="14"/>
      <c r="AM30" s="159" t="s">
        <v>319</v>
      </c>
      <c r="AN30" s="81" t="s">
        <v>320</v>
      </c>
      <c r="AO30" s="81" t="s">
        <v>344</v>
      </c>
      <c r="AP30" s="167">
        <f>B35*1.04*1012*5</f>
        <v>913552.64000000025</v>
      </c>
      <c r="AQ30" s="81" t="s">
        <v>322</v>
      </c>
      <c r="AR30" s="167">
        <v>1612741</v>
      </c>
      <c r="AV30" s="168" t="s">
        <v>319</v>
      </c>
      <c r="AW30" s="168" t="s">
        <v>320</v>
      </c>
      <c r="AX30" s="168" t="s">
        <v>344</v>
      </c>
      <c r="AY30" s="169" t="s">
        <v>323</v>
      </c>
      <c r="AZ30" s="162">
        <f t="shared" ref="AZ30:AZ35" si="14">AP30</f>
        <v>913552.64000000025</v>
      </c>
      <c r="BA30" s="168" t="s">
        <v>322</v>
      </c>
      <c r="BC30" s="81" t="s">
        <v>408</v>
      </c>
      <c r="BD30" s="167">
        <v>0.11</v>
      </c>
      <c r="BE30" s="167">
        <v>6.3400000000000001E-4</v>
      </c>
      <c r="BF30" s="81">
        <v>173.77</v>
      </c>
      <c r="BG30" s="81" t="s">
        <v>388</v>
      </c>
      <c r="BJ30" s="175" t="s">
        <v>319</v>
      </c>
      <c r="BK30" s="175" t="s">
        <v>320</v>
      </c>
      <c r="BL30" s="175" t="s">
        <v>344</v>
      </c>
      <c r="BM30" s="175" t="s">
        <v>323</v>
      </c>
      <c r="BN30" s="174">
        <f>BD59</f>
        <v>858000</v>
      </c>
      <c r="BO30" s="175" t="s">
        <v>322</v>
      </c>
      <c r="BQ30" s="81" t="s">
        <v>408</v>
      </c>
      <c r="BR30" s="167">
        <v>7.2499999999999995E-2</v>
      </c>
      <c r="BS30" s="167">
        <v>7.0500000000000001E-4</v>
      </c>
      <c r="BT30" s="81">
        <v>102.71</v>
      </c>
      <c r="BU30" s="81" t="s">
        <v>422</v>
      </c>
      <c r="BV30" s="167">
        <v>2E-16</v>
      </c>
      <c r="BW30" s="81" t="s">
        <v>389</v>
      </c>
      <c r="BY30" s="178" t="s">
        <v>319</v>
      </c>
      <c r="BZ30" s="178" t="s">
        <v>320</v>
      </c>
      <c r="CA30" s="178" t="s">
        <v>343</v>
      </c>
      <c r="CB30" s="178" t="s">
        <v>323</v>
      </c>
      <c r="CC30" s="177">
        <f>BR55</f>
        <v>0.108</v>
      </c>
      <c r="CD30" s="178" t="s">
        <v>322</v>
      </c>
      <c r="CO30" s="81" t="s">
        <v>345</v>
      </c>
      <c r="CP30" s="256">
        <f t="shared" si="0"/>
        <v>14269622.41878036</v>
      </c>
      <c r="CQ30" s="256">
        <f t="shared" si="1"/>
        <v>2990000</v>
      </c>
      <c r="CR30" s="256">
        <f t="shared" si="2"/>
        <v>8650000</v>
      </c>
      <c r="CU30" s="258" t="s">
        <v>442</v>
      </c>
      <c r="CV30" s="258" t="s">
        <v>458</v>
      </c>
      <c r="CW30" s="259">
        <v>0.67600000000000005</v>
      </c>
      <c r="CX30" s="259">
        <v>6.2399999999999999E-3</v>
      </c>
      <c r="CY30" s="258">
        <v>108.32</v>
      </c>
      <c r="CZ30" s="258" t="s">
        <v>422</v>
      </c>
      <c r="DA30" s="167">
        <v>2E-16</v>
      </c>
      <c r="DB30" s="81" t="s">
        <v>389</v>
      </c>
      <c r="DC30" s="260" t="s">
        <v>467</v>
      </c>
      <c r="DD30" s="264" t="s">
        <v>329</v>
      </c>
      <c r="DE30" s="261" t="s">
        <v>323</v>
      </c>
      <c r="DF30" s="262">
        <f>CW36</f>
        <v>25000000</v>
      </c>
      <c r="DG30" s="260" t="s">
        <v>322</v>
      </c>
      <c r="DI30" s="170" t="s">
        <v>467</v>
      </c>
      <c r="DJ30" s="293" t="s">
        <v>329</v>
      </c>
      <c r="DK30" s="291" t="s">
        <v>323</v>
      </c>
      <c r="DL30" s="295">
        <f>$AP11</f>
        <v>7322442.7415002715</v>
      </c>
      <c r="DM30" s="170" t="s">
        <v>322</v>
      </c>
    </row>
    <row r="31" spans="1:117" ht="15" customHeight="1" thickTop="1" thickBot="1" x14ac:dyDescent="0.3">
      <c r="L31" s="223" t="s">
        <v>516</v>
      </c>
      <c r="M31" s="224">
        <v>2</v>
      </c>
      <c r="N31" s="224" t="s">
        <v>517</v>
      </c>
      <c r="O31" s="220">
        <f>O18</f>
        <v>32.281986411725747</v>
      </c>
      <c r="P31" s="225"/>
      <c r="Q31" s="30">
        <f t="shared" si="4"/>
        <v>1.2616822429906542</v>
      </c>
      <c r="R31" s="30">
        <f t="shared" si="5"/>
        <v>40.729609024139961</v>
      </c>
      <c r="S31" s="30">
        <f t="shared" si="10"/>
        <v>5843685.1802505953</v>
      </c>
      <c r="T31" s="30">
        <f t="shared" si="11"/>
        <v>181020.00000000003</v>
      </c>
      <c r="U31" s="30">
        <f t="shared" si="12"/>
        <v>0</v>
      </c>
      <c r="X31" s="188"/>
      <c r="Y31" s="189" t="s">
        <v>278</v>
      </c>
      <c r="Z31" s="189">
        <v>0.2</v>
      </c>
      <c r="AA31" s="189">
        <v>1.4</v>
      </c>
      <c r="AB31" s="189">
        <v>2100</v>
      </c>
      <c r="AC31" s="189">
        <v>840</v>
      </c>
      <c r="AD31" s="236">
        <f>Z31/AA31</f>
        <v>0.14285714285714288</v>
      </c>
      <c r="AE31" s="190">
        <f>Z31*AB31*AC31</f>
        <v>352800</v>
      </c>
      <c r="AF31" s="14"/>
      <c r="AG31" s="14"/>
      <c r="AH31" s="14"/>
      <c r="AM31" s="159" t="s">
        <v>319</v>
      </c>
      <c r="AN31" s="81" t="s">
        <v>320</v>
      </c>
      <c r="AO31" s="81" t="s">
        <v>345</v>
      </c>
      <c r="AP31" s="167">
        <f>U25+SUM(U17:U20)</f>
        <v>14269622.41878036</v>
      </c>
      <c r="AQ31" s="81" t="s">
        <v>322</v>
      </c>
      <c r="AR31" s="167">
        <v>6867267</v>
      </c>
      <c r="AV31" s="168" t="s">
        <v>319</v>
      </c>
      <c r="AW31" s="168" t="s">
        <v>320</v>
      </c>
      <c r="AX31" s="168" t="s">
        <v>345</v>
      </c>
      <c r="AY31" s="169" t="s">
        <v>323</v>
      </c>
      <c r="AZ31" s="162">
        <f t="shared" si="14"/>
        <v>14269622.41878036</v>
      </c>
      <c r="BA31" s="168" t="s">
        <v>322</v>
      </c>
      <c r="BC31" s="81" t="s">
        <v>409</v>
      </c>
      <c r="BD31" s="167">
        <v>7.3400000000000007E-2</v>
      </c>
      <c r="BE31" s="167">
        <v>4.9700000000000005E-4</v>
      </c>
      <c r="BF31" s="81">
        <v>147.68</v>
      </c>
      <c r="BG31" s="81" t="s">
        <v>388</v>
      </c>
      <c r="BJ31" s="175" t="s">
        <v>319</v>
      </c>
      <c r="BK31" s="175" t="s">
        <v>320</v>
      </c>
      <c r="BL31" s="175" t="s">
        <v>345</v>
      </c>
      <c r="BM31" s="175" t="s">
        <v>323</v>
      </c>
      <c r="BN31" s="174">
        <f>BD60</f>
        <v>2990000</v>
      </c>
      <c r="BO31" s="175" t="s">
        <v>322</v>
      </c>
      <c r="BQ31" s="81" t="s">
        <v>409</v>
      </c>
      <c r="BR31" s="167">
        <v>4.4299999999999999E-2</v>
      </c>
      <c r="BS31" s="167">
        <v>3.0499999999999999E-4</v>
      </c>
      <c r="BT31" s="81">
        <v>145.31</v>
      </c>
      <c r="BU31" s="81" t="s">
        <v>422</v>
      </c>
      <c r="BV31" s="167">
        <v>2E-16</v>
      </c>
      <c r="BW31" s="81" t="s">
        <v>389</v>
      </c>
      <c r="BY31" s="178"/>
      <c r="BZ31" s="178"/>
      <c r="CA31" s="178"/>
      <c r="CB31" s="178"/>
      <c r="CC31" s="177"/>
      <c r="CD31" s="178"/>
      <c r="CO31" s="81" t="s">
        <v>346</v>
      </c>
      <c r="CP31" s="256">
        <f t="shared" si="0"/>
        <v>6811397.2584997322</v>
      </c>
      <c r="CQ31" s="256">
        <f t="shared" si="1"/>
        <v>5280000</v>
      </c>
      <c r="CR31" s="256">
        <f t="shared" si="2"/>
        <v>17100000</v>
      </c>
      <c r="CU31" s="258" t="s">
        <v>442</v>
      </c>
      <c r="CV31" s="258" t="s">
        <v>459</v>
      </c>
      <c r="CW31" s="259">
        <v>0.55000000000000004</v>
      </c>
      <c r="CX31" s="259">
        <v>1.14E-2</v>
      </c>
      <c r="CY31" s="258">
        <v>48.42</v>
      </c>
      <c r="CZ31" s="258" t="s">
        <v>422</v>
      </c>
      <c r="DA31" s="167">
        <v>2E-16</v>
      </c>
      <c r="DB31" s="81" t="s">
        <v>389</v>
      </c>
      <c r="DE31" s="261"/>
      <c r="DI31" s="170"/>
      <c r="DJ31" s="170"/>
      <c r="DK31" s="291"/>
      <c r="DL31" s="170"/>
      <c r="DM31" s="170"/>
    </row>
    <row r="32" spans="1:117" ht="15" customHeight="1" thickTop="1" thickBot="1" x14ac:dyDescent="0.3">
      <c r="L32" s="81"/>
      <c r="M32" s="81"/>
      <c r="N32" s="81"/>
      <c r="Q32" s="81"/>
      <c r="R32" s="81"/>
      <c r="X32" s="205"/>
      <c r="Y32" s="187" t="s">
        <v>80</v>
      </c>
      <c r="Z32" s="187">
        <v>0.01</v>
      </c>
      <c r="AA32" s="187">
        <v>0.6</v>
      </c>
      <c r="AB32" s="187">
        <v>975</v>
      </c>
      <c r="AC32" s="187">
        <v>840</v>
      </c>
      <c r="AD32" s="237">
        <f>Z32/AA32</f>
        <v>1.6666666666666666E-2</v>
      </c>
      <c r="AE32" s="210">
        <f>Z32*AB32*AC32</f>
        <v>8190</v>
      </c>
      <c r="AF32" s="14"/>
      <c r="AG32" s="14"/>
      <c r="AH32" s="14"/>
      <c r="AM32" s="159" t="s">
        <v>319</v>
      </c>
      <c r="AN32" s="81" t="s">
        <v>320</v>
      </c>
      <c r="AO32" s="81" t="s">
        <v>346</v>
      </c>
      <c r="AP32" s="167">
        <f>SUM(U28,U31,U29)/2</f>
        <v>6811397.2584997322</v>
      </c>
      <c r="AQ32" s="81" t="s">
        <v>322</v>
      </c>
      <c r="AR32" s="167">
        <v>4590824</v>
      </c>
      <c r="AV32" s="168" t="s">
        <v>319</v>
      </c>
      <c r="AW32" s="168" t="s">
        <v>320</v>
      </c>
      <c r="AX32" s="168" t="s">
        <v>346</v>
      </c>
      <c r="AY32" s="169" t="s">
        <v>323</v>
      </c>
      <c r="AZ32" s="162">
        <f t="shared" si="14"/>
        <v>6811397.2584997322</v>
      </c>
      <c r="BA32" s="168" t="s">
        <v>322</v>
      </c>
      <c r="BC32" s="81" t="s">
        <v>410</v>
      </c>
      <c r="BD32" s="167">
        <v>637</v>
      </c>
      <c r="BE32" s="167">
        <v>4.58</v>
      </c>
      <c r="BF32" s="81">
        <v>139.22</v>
      </c>
      <c r="BG32" s="81" t="s">
        <v>388</v>
      </c>
      <c r="BJ32" s="175" t="s">
        <v>319</v>
      </c>
      <c r="BK32" s="175" t="s">
        <v>320</v>
      </c>
      <c r="BL32" s="175" t="s">
        <v>346</v>
      </c>
      <c r="BM32" s="175" t="s">
        <v>323</v>
      </c>
      <c r="BN32" s="174">
        <f>BD61</f>
        <v>5280000</v>
      </c>
      <c r="BO32" s="175" t="s">
        <v>322</v>
      </c>
      <c r="BQ32" s="81" t="s">
        <v>410</v>
      </c>
      <c r="BR32" s="167">
        <v>278</v>
      </c>
      <c r="BS32" s="167">
        <v>2.25</v>
      </c>
      <c r="BT32" s="81">
        <v>123.56</v>
      </c>
      <c r="BU32" s="81" t="s">
        <v>422</v>
      </c>
      <c r="BV32" s="167">
        <v>2E-16</v>
      </c>
      <c r="BW32" s="81" t="s">
        <v>389</v>
      </c>
      <c r="BY32" s="178" t="s">
        <v>319</v>
      </c>
      <c r="BZ32" s="178" t="s">
        <v>320</v>
      </c>
      <c r="CA32" s="178" t="s">
        <v>344</v>
      </c>
      <c r="CB32" s="178" t="s">
        <v>323</v>
      </c>
      <c r="CC32" s="177">
        <f>BR58</f>
        <v>752000</v>
      </c>
      <c r="CD32" s="178" t="s">
        <v>322</v>
      </c>
      <c r="CO32" s="81" t="s">
        <v>347</v>
      </c>
      <c r="CP32" s="254">
        <f t="shared" si="0"/>
        <v>0.11748821429509115</v>
      </c>
      <c r="CQ32" s="254">
        <f t="shared" si="1"/>
        <v>0.38</v>
      </c>
      <c r="CR32" s="254">
        <f t="shared" si="2"/>
        <v>0.23</v>
      </c>
      <c r="CU32" s="258" t="s">
        <v>442</v>
      </c>
      <c r="CV32" s="258" t="s">
        <v>308</v>
      </c>
      <c r="CW32" s="259">
        <v>990000000</v>
      </c>
      <c r="CX32" s="259">
        <v>66300000</v>
      </c>
      <c r="CY32" s="258">
        <v>14.92</v>
      </c>
      <c r="CZ32" s="258" t="s">
        <v>422</v>
      </c>
      <c r="DA32" s="167">
        <v>2E-16</v>
      </c>
      <c r="DB32" s="81" t="s">
        <v>389</v>
      </c>
      <c r="DC32" s="260" t="s">
        <v>467</v>
      </c>
      <c r="DD32" s="264" t="s">
        <v>488</v>
      </c>
      <c r="DE32" s="261" t="s">
        <v>323</v>
      </c>
      <c r="DF32" s="262">
        <f>CW47</f>
        <v>279</v>
      </c>
      <c r="DG32" s="260" t="s">
        <v>322</v>
      </c>
      <c r="DI32" s="170" t="s">
        <v>467</v>
      </c>
      <c r="DJ32" s="293" t="s">
        <v>335</v>
      </c>
      <c r="DK32" s="291" t="s">
        <v>323</v>
      </c>
      <c r="DL32" s="170">
        <f>$AP19</f>
        <v>136.73036437545244</v>
      </c>
      <c r="DM32" s="170" t="s">
        <v>322</v>
      </c>
    </row>
    <row r="33" spans="1:117" ht="15" customHeight="1" thickTop="1" thickBot="1" x14ac:dyDescent="0.3">
      <c r="A33" s="72" t="s">
        <v>109</v>
      </c>
      <c r="B33" s="72" t="s">
        <v>110</v>
      </c>
      <c r="C33" s="72"/>
      <c r="D33" s="72" t="s">
        <v>111</v>
      </c>
      <c r="E33" s="307" t="s">
        <v>112</v>
      </c>
      <c r="F33" s="307"/>
      <c r="G33" s="72" t="s">
        <v>113</v>
      </c>
      <c r="L33" s="81"/>
      <c r="M33" s="81"/>
      <c r="N33" s="81"/>
      <c r="Q33" s="69" t="s">
        <v>106</v>
      </c>
      <c r="R33" s="70">
        <f>SUM(R4:R25)</f>
        <v>211.24798346163891</v>
      </c>
      <c r="S33" s="69" t="s">
        <v>107</v>
      </c>
      <c r="X33" s="189"/>
      <c r="Y33" s="189"/>
      <c r="Z33" s="189"/>
      <c r="AA33" s="189"/>
      <c r="AB33" s="189"/>
      <c r="AC33" s="189"/>
      <c r="AD33" s="236"/>
      <c r="AE33" s="189"/>
      <c r="AF33" s="14"/>
      <c r="AG33" s="14"/>
      <c r="AH33" s="14"/>
      <c r="AM33" s="159" t="s">
        <v>319</v>
      </c>
      <c r="AN33" s="81" t="s">
        <v>320</v>
      </c>
      <c r="AO33" s="81" t="s">
        <v>347</v>
      </c>
      <c r="AP33" s="81">
        <f>AP26*0.3</f>
        <v>0.11748821429509115</v>
      </c>
      <c r="AQ33" s="81" t="s">
        <v>322</v>
      </c>
      <c r="AR33" s="167">
        <v>0.1616958</v>
      </c>
      <c r="AV33" s="168" t="s">
        <v>319</v>
      </c>
      <c r="AW33" s="168" t="s">
        <v>320</v>
      </c>
      <c r="AX33" s="168" t="s">
        <v>347</v>
      </c>
      <c r="AY33" s="169" t="s">
        <v>323</v>
      </c>
      <c r="AZ33" s="162">
        <f t="shared" si="14"/>
        <v>0.11748821429509115</v>
      </c>
      <c r="BA33" s="168" t="s">
        <v>322</v>
      </c>
      <c r="BC33" s="81" t="s">
        <v>411</v>
      </c>
      <c r="BD33" s="167">
        <v>795</v>
      </c>
      <c r="BE33" s="167">
        <v>5.28</v>
      </c>
      <c r="BF33" s="81">
        <v>150.51</v>
      </c>
      <c r="BG33" s="81" t="s">
        <v>388</v>
      </c>
      <c r="BJ33" s="175" t="s">
        <v>319</v>
      </c>
      <c r="BK33" s="175" t="s">
        <v>320</v>
      </c>
      <c r="BL33" s="175" t="s">
        <v>347</v>
      </c>
      <c r="BM33" s="175" t="s">
        <v>323</v>
      </c>
      <c r="BN33" s="174">
        <f>BD66</f>
        <v>0.38</v>
      </c>
      <c r="BO33" s="175" t="s">
        <v>322</v>
      </c>
      <c r="BQ33" s="81" t="s">
        <v>411</v>
      </c>
      <c r="BR33" s="167">
        <v>215</v>
      </c>
      <c r="BS33" s="167">
        <v>1.54</v>
      </c>
      <c r="BT33" s="81">
        <v>139.77000000000001</v>
      </c>
      <c r="BU33" s="81" t="s">
        <v>422</v>
      </c>
      <c r="BV33" s="167">
        <v>2E-16</v>
      </c>
      <c r="BW33" s="81" t="s">
        <v>389</v>
      </c>
      <c r="BY33" s="178" t="s">
        <v>319</v>
      </c>
      <c r="BZ33" s="178" t="s">
        <v>320</v>
      </c>
      <c r="CA33" s="178" t="s">
        <v>345</v>
      </c>
      <c r="CB33" s="178" t="s">
        <v>323</v>
      </c>
      <c r="CC33" s="177">
        <f>BR59</f>
        <v>8650000</v>
      </c>
      <c r="CD33" s="178" t="s">
        <v>322</v>
      </c>
      <c r="CO33" s="81" t="s">
        <v>348</v>
      </c>
      <c r="CP33" s="254">
        <f t="shared" si="0"/>
        <v>0.11271822911362221</v>
      </c>
      <c r="CQ33" s="254">
        <f t="shared" si="1"/>
        <v>7.2800000000000004E-2</v>
      </c>
      <c r="CR33" s="254">
        <f t="shared" si="2"/>
        <v>4.8599999999999997E-2</v>
      </c>
      <c r="CU33" s="258" t="s">
        <v>442</v>
      </c>
      <c r="CV33" s="258" t="s">
        <v>304</v>
      </c>
      <c r="CW33" s="259">
        <v>14800000</v>
      </c>
      <c r="CX33" s="259">
        <v>257000</v>
      </c>
      <c r="CY33" s="258">
        <v>57.59</v>
      </c>
      <c r="CZ33" s="258" t="s">
        <v>422</v>
      </c>
      <c r="DA33" s="167">
        <v>2E-16</v>
      </c>
      <c r="DB33" s="81" t="s">
        <v>389</v>
      </c>
      <c r="DC33" s="260" t="s">
        <v>467</v>
      </c>
      <c r="DD33" s="264" t="s">
        <v>336</v>
      </c>
      <c r="DE33" s="261" t="s">
        <v>323</v>
      </c>
      <c r="DF33" s="262">
        <f>CW48</f>
        <v>219</v>
      </c>
      <c r="DG33" s="260" t="s">
        <v>322</v>
      </c>
      <c r="DI33" s="170" t="s">
        <v>467</v>
      </c>
      <c r="DJ33" s="293" t="s">
        <v>336</v>
      </c>
      <c r="DK33" s="291" t="s">
        <v>323</v>
      </c>
      <c r="DL33" s="170">
        <f>$AP20</f>
        <v>199.60396039603961</v>
      </c>
      <c r="DM33" s="170" t="s">
        <v>322</v>
      </c>
    </row>
    <row r="34" spans="1:117" ht="15" customHeight="1" thickTop="1" thickBot="1" x14ac:dyDescent="0.3">
      <c r="A34" s="73">
        <v>1</v>
      </c>
      <c r="B34" s="74">
        <f>B7*3.5</f>
        <v>336</v>
      </c>
      <c r="C34" s="73"/>
      <c r="D34" s="73" t="s">
        <v>42</v>
      </c>
      <c r="E34" s="308">
        <v>21</v>
      </c>
      <c r="F34" s="308"/>
      <c r="G34" s="76">
        <f>VLOOKUP(D34,A6:B22,2,0)</f>
        <v>96</v>
      </c>
      <c r="L34" s="81"/>
      <c r="M34" s="81"/>
      <c r="N34" s="81"/>
      <c r="Q34" s="81"/>
      <c r="R34" s="81">
        <f>G4*Z37</f>
        <v>15.180999999999997</v>
      </c>
      <c r="X34" s="226"/>
      <c r="Y34" s="226"/>
      <c r="Z34" s="227" t="s">
        <v>437</v>
      </c>
      <c r="AA34" s="227">
        <v>2.8</v>
      </c>
      <c r="AB34" s="227" t="s">
        <v>5</v>
      </c>
      <c r="AC34" s="226"/>
      <c r="AD34" s="226"/>
      <c r="AE34" s="226"/>
      <c r="AF34" s="14"/>
      <c r="AG34" s="14"/>
      <c r="AH34" s="14"/>
      <c r="AM34" s="159" t="s">
        <v>319</v>
      </c>
      <c r="AN34" s="81" t="s">
        <v>320</v>
      </c>
      <c r="AO34" s="81" t="s">
        <v>348</v>
      </c>
      <c r="AP34" s="81">
        <f>AP27*0.3</f>
        <v>0.11271822911362221</v>
      </c>
      <c r="AQ34" s="81" t="s">
        <v>322</v>
      </c>
      <c r="AR34" s="81" t="s">
        <v>349</v>
      </c>
      <c r="AV34" s="168" t="s">
        <v>319</v>
      </c>
      <c r="AW34" s="168" t="s">
        <v>320</v>
      </c>
      <c r="AX34" s="168" t="s">
        <v>348</v>
      </c>
      <c r="AY34" s="169" t="s">
        <v>323</v>
      </c>
      <c r="AZ34" s="162">
        <f t="shared" si="14"/>
        <v>0.11271822911362221</v>
      </c>
      <c r="BA34" s="168" t="s">
        <v>322</v>
      </c>
      <c r="BC34" s="81" t="s">
        <v>295</v>
      </c>
      <c r="BD34" s="167">
        <v>1310</v>
      </c>
      <c r="BE34" s="167">
        <v>8.17</v>
      </c>
      <c r="BF34" s="81">
        <v>160.79</v>
      </c>
      <c r="BG34" s="81" t="s">
        <v>388</v>
      </c>
      <c r="BJ34" s="175" t="s">
        <v>319</v>
      </c>
      <c r="BK34" s="175" t="s">
        <v>320</v>
      </c>
      <c r="BL34" s="175" t="s">
        <v>348</v>
      </c>
      <c r="BM34" s="175" t="s">
        <v>323</v>
      </c>
      <c r="BN34" s="174">
        <f>BD67</f>
        <v>7.2800000000000004E-2</v>
      </c>
      <c r="BO34" s="175" t="s">
        <v>322</v>
      </c>
      <c r="BQ34" s="81" t="s">
        <v>295</v>
      </c>
      <c r="BR34" s="167">
        <v>457</v>
      </c>
      <c r="BS34" s="167">
        <v>3.7</v>
      </c>
      <c r="BT34" s="81">
        <v>123.52</v>
      </c>
      <c r="BU34" s="81" t="s">
        <v>422</v>
      </c>
      <c r="BV34" s="167">
        <v>2E-16</v>
      </c>
      <c r="BW34" s="81" t="s">
        <v>389</v>
      </c>
      <c r="BY34" s="178" t="s">
        <v>319</v>
      </c>
      <c r="BZ34" s="178" t="s">
        <v>320</v>
      </c>
      <c r="CA34" s="178" t="s">
        <v>346</v>
      </c>
      <c r="CB34" s="178" t="s">
        <v>323</v>
      </c>
      <c r="CC34" s="177">
        <f>BR60</f>
        <v>17100000</v>
      </c>
      <c r="CD34" s="178" t="s">
        <v>322</v>
      </c>
      <c r="CO34" s="81" t="s">
        <v>350</v>
      </c>
      <c r="CP34" s="254">
        <f t="shared" si="0"/>
        <v>0.71068910326172852</v>
      </c>
      <c r="CQ34" s="254">
        <f t="shared" si="1"/>
        <v>0.41799999999999998</v>
      </c>
      <c r="CR34" s="254">
        <f t="shared" si="2"/>
        <v>0.63200000000000001</v>
      </c>
      <c r="CU34" s="258" t="s">
        <v>442</v>
      </c>
      <c r="CV34" s="258" t="s">
        <v>399</v>
      </c>
      <c r="CW34" s="259">
        <v>3530000</v>
      </c>
      <c r="CX34" s="259">
        <v>54900</v>
      </c>
      <c r="CY34" s="258">
        <v>64.2</v>
      </c>
      <c r="CZ34" s="258" t="s">
        <v>422</v>
      </c>
      <c r="DA34" s="167">
        <v>2E-16</v>
      </c>
      <c r="DB34" s="81" t="s">
        <v>389</v>
      </c>
      <c r="DC34" s="260" t="s">
        <v>467</v>
      </c>
      <c r="DD34" s="265" t="s">
        <v>337</v>
      </c>
      <c r="DE34" s="261" t="s">
        <v>323</v>
      </c>
      <c r="DF34" s="262">
        <f>CW49</f>
        <v>461</v>
      </c>
      <c r="DG34" s="260" t="s">
        <v>322</v>
      </c>
      <c r="DI34" s="170" t="s">
        <v>467</v>
      </c>
      <c r="DJ34" s="294" t="s">
        <v>337</v>
      </c>
      <c r="DK34" s="291" t="s">
        <v>323</v>
      </c>
      <c r="DL34" s="170">
        <f>$AP21</f>
        <v>223.43567964266481</v>
      </c>
      <c r="DM34" s="170" t="s">
        <v>322</v>
      </c>
    </row>
    <row r="35" spans="1:117" ht="15" customHeight="1" thickTop="1" thickBot="1" x14ac:dyDescent="0.3">
      <c r="A35" s="73">
        <v>2</v>
      </c>
      <c r="B35" s="74">
        <f>B4-B34</f>
        <v>173.60000000000002</v>
      </c>
      <c r="C35" s="73"/>
      <c r="D35" s="73" t="s">
        <v>116</v>
      </c>
      <c r="E35" s="77">
        <v>16</v>
      </c>
      <c r="F35" s="77"/>
      <c r="G35" s="76">
        <f>VLOOKUP(D35,A7:B23,2,0)</f>
        <v>89.300000000000011</v>
      </c>
      <c r="L35" s="81"/>
      <c r="M35" s="81"/>
      <c r="N35" s="81" t="s">
        <v>114</v>
      </c>
      <c r="O35" s="153">
        <f>SUM(R6:R9,R15,R17:R20,R25)</f>
        <v>79.303005295700046</v>
      </c>
      <c r="P35" s="153"/>
      <c r="Q35" s="81"/>
      <c r="R35" s="81"/>
      <c r="X35" s="228" t="s">
        <v>115</v>
      </c>
      <c r="Y35" s="229"/>
      <c r="Z35" s="230" t="s">
        <v>21</v>
      </c>
      <c r="AA35" s="243">
        <v>2</v>
      </c>
      <c r="AB35" s="229" t="s">
        <v>5</v>
      </c>
      <c r="AC35" s="229"/>
      <c r="AD35" s="229" t="s">
        <v>22</v>
      </c>
      <c r="AE35" s="232">
        <f>SUM(AE36:AE37)</f>
        <v>0</v>
      </c>
      <c r="AF35" s="14" t="s">
        <v>23</v>
      </c>
      <c r="AG35" s="14">
        <f>SUM(AE37:AE38)</f>
        <v>0</v>
      </c>
      <c r="AH35" s="14"/>
      <c r="AM35" s="159" t="s">
        <v>319</v>
      </c>
      <c r="AN35" s="81" t="s">
        <v>320</v>
      </c>
      <c r="AO35" s="81" t="s">
        <v>350</v>
      </c>
      <c r="AP35" s="81">
        <f>AP28*0.3+0.7</f>
        <v>0.71068910326172852</v>
      </c>
      <c r="AQ35" s="81" t="s">
        <v>322</v>
      </c>
      <c r="AR35" s="81" t="s">
        <v>351</v>
      </c>
      <c r="AV35" s="168" t="s">
        <v>319</v>
      </c>
      <c r="AW35" s="168" t="s">
        <v>320</v>
      </c>
      <c r="AX35" s="168" t="s">
        <v>350</v>
      </c>
      <c r="AY35" s="169" t="s">
        <v>323</v>
      </c>
      <c r="AZ35" s="162">
        <f t="shared" si="14"/>
        <v>0.71068910326172852</v>
      </c>
      <c r="BA35" s="168" t="s">
        <v>322</v>
      </c>
      <c r="BC35" s="81" t="s">
        <v>120</v>
      </c>
      <c r="BD35" s="167">
        <v>253</v>
      </c>
      <c r="BE35" s="167">
        <v>0.97099999999999997</v>
      </c>
      <c r="BF35" s="81">
        <v>260.89</v>
      </c>
      <c r="BG35" s="81" t="s">
        <v>388</v>
      </c>
      <c r="BJ35" s="175" t="s">
        <v>319</v>
      </c>
      <c r="BK35" s="175" t="s">
        <v>320</v>
      </c>
      <c r="BL35" s="175" t="s">
        <v>350</v>
      </c>
      <c r="BM35" s="175" t="s">
        <v>323</v>
      </c>
      <c r="BN35" s="174">
        <f>BD68</f>
        <v>0.41799999999999998</v>
      </c>
      <c r="BO35" s="175" t="s">
        <v>322</v>
      </c>
      <c r="BQ35" s="81" t="s">
        <v>120</v>
      </c>
      <c r="BR35" s="167">
        <v>272</v>
      </c>
      <c r="BS35" s="167">
        <v>18.2</v>
      </c>
      <c r="BT35" s="81">
        <v>14.96</v>
      </c>
      <c r="BU35" s="81" t="s">
        <v>422</v>
      </c>
      <c r="BV35" s="167">
        <v>2E-16</v>
      </c>
      <c r="BW35" s="81" t="s">
        <v>389</v>
      </c>
      <c r="BY35" s="178" t="s">
        <v>319</v>
      </c>
      <c r="BZ35" s="178" t="s">
        <v>320</v>
      </c>
      <c r="CA35" s="178" t="s">
        <v>347</v>
      </c>
      <c r="CB35" s="178" t="s">
        <v>323</v>
      </c>
      <c r="CC35" s="177">
        <f>BR65</f>
        <v>0.23</v>
      </c>
      <c r="CD35" s="178" t="s">
        <v>322</v>
      </c>
      <c r="CP35" s="255"/>
      <c r="CQ35" s="255"/>
      <c r="CR35" s="255"/>
      <c r="CU35" s="258" t="s">
        <v>442</v>
      </c>
      <c r="CV35" s="258" t="s">
        <v>301</v>
      </c>
      <c r="CW35" s="259">
        <v>31700000</v>
      </c>
      <c r="CX35" s="259">
        <v>1080000</v>
      </c>
      <c r="CY35" s="258">
        <v>29.18</v>
      </c>
      <c r="CZ35" s="258" t="s">
        <v>422</v>
      </c>
      <c r="DA35" s="167">
        <v>2E-16</v>
      </c>
      <c r="DB35" s="81" t="s">
        <v>389</v>
      </c>
      <c r="DC35" s="260" t="s">
        <v>467</v>
      </c>
      <c r="DD35" s="265" t="s">
        <v>338</v>
      </c>
      <c r="DE35" s="261" t="s">
        <v>323</v>
      </c>
      <c r="DF35" s="262">
        <f>CW50</f>
        <v>272</v>
      </c>
      <c r="DG35" s="260" t="s">
        <v>322</v>
      </c>
      <c r="DI35" s="170" t="s">
        <v>467</v>
      </c>
      <c r="DJ35" s="294" t="s">
        <v>338</v>
      </c>
      <c r="DK35" s="291" t="s">
        <v>323</v>
      </c>
      <c r="DL35" s="296">
        <f>$AP22</f>
        <v>96.501670329670333</v>
      </c>
      <c r="DM35" s="170" t="s">
        <v>322</v>
      </c>
    </row>
    <row r="36" spans="1:117" ht="15" customHeight="1" thickTop="1" thickBot="1" x14ac:dyDescent="0.3">
      <c r="A36" s="73">
        <v>3</v>
      </c>
      <c r="B36" s="74">
        <f>G36*2</f>
        <v>0</v>
      </c>
      <c r="C36" s="73"/>
      <c r="D36" s="73" t="s">
        <v>118</v>
      </c>
      <c r="E36" s="309" t="s">
        <v>119</v>
      </c>
      <c r="F36" s="309"/>
      <c r="G36" s="76">
        <f>B17</f>
        <v>0</v>
      </c>
      <c r="L36" s="81"/>
      <c r="M36" s="81"/>
      <c r="N36" s="81" t="s">
        <v>117</v>
      </c>
      <c r="O36" s="153">
        <f>SUM(R10:R13,R21:R24)</f>
        <v>64.599999999999994</v>
      </c>
      <c r="Q36" s="81"/>
      <c r="R36" s="81"/>
      <c r="X36" s="239"/>
      <c r="Y36" s="240" t="s">
        <v>16</v>
      </c>
      <c r="Z36" s="240">
        <v>1.361</v>
      </c>
      <c r="AA36" s="240" t="s">
        <v>5</v>
      </c>
      <c r="AB36" s="240"/>
      <c r="AC36" s="240" t="s">
        <v>506</v>
      </c>
      <c r="AD36" s="240">
        <f>(AA35-(1-AD37)*Z36)/AD37</f>
        <v>3.9169999999999998</v>
      </c>
      <c r="AE36" s="244"/>
      <c r="AF36" s="14"/>
      <c r="AG36" s="14"/>
      <c r="AH36" s="14"/>
      <c r="AQ36" s="81" t="s">
        <v>322</v>
      </c>
      <c r="AV36" s="168"/>
      <c r="AW36" s="168"/>
      <c r="AX36" s="168"/>
      <c r="AY36" s="169"/>
      <c r="BA36" s="168"/>
      <c r="BC36" s="81" t="s">
        <v>412</v>
      </c>
      <c r="BD36" s="167">
        <v>-5.43</v>
      </c>
      <c r="BE36" s="167">
        <v>2.2100000000000002E-2</v>
      </c>
      <c r="BF36" s="81">
        <v>-245.28</v>
      </c>
      <c r="BG36" s="81" t="s">
        <v>388</v>
      </c>
      <c r="BJ36" s="175"/>
      <c r="BK36" s="175"/>
      <c r="BL36" s="175"/>
      <c r="BM36" s="175"/>
      <c r="BN36" s="174"/>
      <c r="BO36" s="175"/>
      <c r="BQ36" s="81" t="s">
        <v>412</v>
      </c>
      <c r="BR36" s="167">
        <v>-5.48</v>
      </c>
      <c r="BS36" s="167">
        <v>7.46E-2</v>
      </c>
      <c r="BT36" s="81">
        <v>-73.489999999999995</v>
      </c>
      <c r="BU36" s="81" t="s">
        <v>422</v>
      </c>
      <c r="BV36" s="167">
        <v>2E-16</v>
      </c>
      <c r="BW36" s="81" t="s">
        <v>389</v>
      </c>
      <c r="BY36" s="178" t="s">
        <v>319</v>
      </c>
      <c r="BZ36" s="178" t="s">
        <v>320</v>
      </c>
      <c r="CA36" s="178" t="s">
        <v>348</v>
      </c>
      <c r="CB36" s="178" t="s">
        <v>323</v>
      </c>
      <c r="CC36" s="177">
        <f>BR66</f>
        <v>4.8599999999999997E-2</v>
      </c>
      <c r="CD36" s="178" t="s">
        <v>322</v>
      </c>
      <c r="CO36" s="81" t="s">
        <v>352</v>
      </c>
      <c r="CP36" s="257">
        <f t="shared" si="0"/>
        <v>188.24282401004913</v>
      </c>
      <c r="CQ36" s="257">
        <f t="shared" si="1"/>
        <v>568</v>
      </c>
      <c r="CR36" s="257">
        <f t="shared" si="2"/>
        <v>219</v>
      </c>
      <c r="CU36" s="258" t="s">
        <v>442</v>
      </c>
      <c r="CV36" s="258" t="s">
        <v>303</v>
      </c>
      <c r="CW36" s="259">
        <v>25000000</v>
      </c>
      <c r="CX36" s="259">
        <v>250000</v>
      </c>
      <c r="CY36" s="258">
        <v>99.96</v>
      </c>
      <c r="CZ36" s="258" t="s">
        <v>422</v>
      </c>
      <c r="DA36" s="167">
        <v>2E-16</v>
      </c>
      <c r="DB36" s="81" t="s">
        <v>389</v>
      </c>
      <c r="DC36" s="260" t="s">
        <v>467</v>
      </c>
      <c r="DD36" s="266" t="s">
        <v>340</v>
      </c>
      <c r="DE36" s="261" t="s">
        <v>323</v>
      </c>
      <c r="DF36" s="262">
        <f>CW59</f>
        <v>76.2</v>
      </c>
      <c r="DG36" s="260" t="s">
        <v>322</v>
      </c>
      <c r="DI36" s="170" t="s">
        <v>467</v>
      </c>
      <c r="DJ36" s="297" t="s">
        <v>340</v>
      </c>
      <c r="DK36" s="291" t="s">
        <v>323</v>
      </c>
      <c r="DL36" s="170">
        <f>$AP24</f>
        <v>10.381307771180783</v>
      </c>
      <c r="DM36" s="170" t="s">
        <v>322</v>
      </c>
    </row>
    <row r="37" spans="1:117" ht="15" customHeight="1" thickTop="1" thickBot="1" x14ac:dyDescent="0.3">
      <c r="L37" s="81"/>
      <c r="M37" s="81"/>
      <c r="N37" s="81" t="s">
        <v>120</v>
      </c>
      <c r="O37" s="153">
        <f>'Verwarming Tabula'!B60</f>
        <v>138.03320000000002</v>
      </c>
      <c r="Q37" s="81"/>
      <c r="R37" s="81"/>
      <c r="X37" s="205"/>
      <c r="Y37" s="187" t="s">
        <v>121</v>
      </c>
      <c r="Z37" s="187">
        <v>0.47</v>
      </c>
      <c r="AA37" s="187"/>
      <c r="AB37" s="187"/>
      <c r="AC37" s="187" t="s">
        <v>507</v>
      </c>
      <c r="AD37" s="187">
        <v>0.25</v>
      </c>
      <c r="AE37" s="210"/>
      <c r="AF37" s="149" t="s">
        <v>279</v>
      </c>
      <c r="AG37" s="14"/>
      <c r="AH37" s="14"/>
      <c r="AM37" s="159" t="s">
        <v>319</v>
      </c>
      <c r="AN37" s="81" t="s">
        <v>320</v>
      </c>
      <c r="AO37" s="81" t="s">
        <v>352</v>
      </c>
      <c r="AP37" s="81">
        <f>SUM(O17:O20)*(1/(SUM(AD18:AD19)+1/4))+O25*(1/(SUM(AD9:AD10)/2+1/4))</f>
        <v>188.24282401004913</v>
      </c>
      <c r="AQ37" s="81" t="s">
        <v>322</v>
      </c>
      <c r="AR37" s="81" t="s">
        <v>353</v>
      </c>
      <c r="AV37" s="168" t="s">
        <v>319</v>
      </c>
      <c r="AW37" s="168" t="s">
        <v>320</v>
      </c>
      <c r="AX37" s="168" t="s">
        <v>352</v>
      </c>
      <c r="AY37" s="169" t="s">
        <v>323</v>
      </c>
      <c r="AZ37" s="162">
        <f>AP37</f>
        <v>188.24282401004913</v>
      </c>
      <c r="BA37" s="168" t="s">
        <v>322</v>
      </c>
      <c r="BC37" s="81" t="s">
        <v>413</v>
      </c>
      <c r="BD37" s="167">
        <v>-6.85</v>
      </c>
      <c r="BE37" s="167">
        <v>1.8800000000000001E-2</v>
      </c>
      <c r="BF37" s="81">
        <v>-364.7</v>
      </c>
      <c r="BG37" s="81" t="s">
        <v>388</v>
      </c>
      <c r="BJ37" s="175" t="s">
        <v>319</v>
      </c>
      <c r="BK37" s="175" t="s">
        <v>320</v>
      </c>
      <c r="BL37" s="175" t="s">
        <v>352</v>
      </c>
      <c r="BM37" s="175" t="s">
        <v>323</v>
      </c>
      <c r="BN37" s="174">
        <f>BD70</f>
        <v>568</v>
      </c>
      <c r="BO37" s="175" t="s">
        <v>322</v>
      </c>
      <c r="BQ37" s="81" t="s">
        <v>413</v>
      </c>
      <c r="BR37" s="167">
        <v>-6.06</v>
      </c>
      <c r="BS37" s="167">
        <v>4.41E-2</v>
      </c>
      <c r="BT37" s="81">
        <v>-137.35</v>
      </c>
      <c r="BU37" s="81" t="s">
        <v>422</v>
      </c>
      <c r="BV37" s="167">
        <v>2E-16</v>
      </c>
      <c r="BW37" s="81" t="s">
        <v>389</v>
      </c>
      <c r="BY37" s="178" t="s">
        <v>319</v>
      </c>
      <c r="BZ37" s="178" t="s">
        <v>320</v>
      </c>
      <c r="CA37" s="178" t="s">
        <v>350</v>
      </c>
      <c r="CB37" s="178" t="s">
        <v>323</v>
      </c>
      <c r="CC37" s="177">
        <f>BR67</f>
        <v>0.63200000000000001</v>
      </c>
      <c r="CD37" s="178" t="s">
        <v>322</v>
      </c>
      <c r="CO37" s="81" t="s">
        <v>354</v>
      </c>
      <c r="CP37" s="257">
        <f t="shared" si="0"/>
        <v>207.84173116760388</v>
      </c>
      <c r="CQ37" s="257">
        <f t="shared" si="1"/>
        <v>238</v>
      </c>
      <c r="CR37" s="257">
        <f t="shared" si="2"/>
        <v>85.9</v>
      </c>
      <c r="CU37" s="258" t="s">
        <v>442</v>
      </c>
      <c r="CV37" s="258" t="s">
        <v>400</v>
      </c>
      <c r="CW37" s="259">
        <v>-5.76</v>
      </c>
      <c r="CX37" s="259">
        <v>6.0600000000000001E-2</v>
      </c>
      <c r="CY37" s="258">
        <v>-95.1</v>
      </c>
      <c r="CZ37" s="258" t="s">
        <v>422</v>
      </c>
      <c r="DA37" s="167">
        <v>2E-16</v>
      </c>
      <c r="DB37" s="81" t="s">
        <v>389</v>
      </c>
      <c r="DC37" s="260" t="s">
        <v>467</v>
      </c>
      <c r="DD37" s="266" t="s">
        <v>339</v>
      </c>
      <c r="DE37" s="261" t="s">
        <v>323</v>
      </c>
      <c r="DF37" s="262">
        <f>1/CW56</f>
        <v>324.6753246753247</v>
      </c>
      <c r="DG37" s="260" t="s">
        <v>322</v>
      </c>
      <c r="DI37" s="170" t="s">
        <v>467</v>
      </c>
      <c r="DJ37" s="297" t="s">
        <v>339</v>
      </c>
      <c r="DK37" s="291" t="s">
        <v>323</v>
      </c>
      <c r="DL37" s="170">
        <f>$AP23</f>
        <v>27.090531131726085</v>
      </c>
      <c r="DM37" s="170" t="s">
        <v>322</v>
      </c>
    </row>
    <row r="38" spans="1:117" ht="15" customHeight="1" thickTop="1" thickBot="1" x14ac:dyDescent="0.3">
      <c r="B38" s="153"/>
      <c r="L38" s="81"/>
      <c r="M38" s="81"/>
      <c r="N38" s="81"/>
      <c r="O38" s="153"/>
      <c r="Q38" s="81"/>
      <c r="R38" s="81"/>
      <c r="X38" s="226"/>
      <c r="Y38" s="226"/>
      <c r="Z38" s="226"/>
      <c r="AA38" s="226"/>
      <c r="AB38" s="226"/>
      <c r="AC38" s="226"/>
      <c r="AD38" s="226"/>
      <c r="AE38" s="226"/>
      <c r="AF38" s="14"/>
      <c r="AG38" s="14"/>
      <c r="AH38" s="14"/>
      <c r="AM38" s="159" t="s">
        <v>319</v>
      </c>
      <c r="AN38" s="81" t="s">
        <v>320</v>
      </c>
      <c r="AO38" s="81" t="s">
        <v>354</v>
      </c>
      <c r="AP38" s="81">
        <f>2*AA21*O28+1*O31*AA52+2*O29*AA27</f>
        <v>207.84173116760388</v>
      </c>
      <c r="AQ38" s="81" t="s">
        <v>322</v>
      </c>
      <c r="AR38" s="167">
        <v>85.692350000000005</v>
      </c>
      <c r="AV38" s="168" t="s">
        <v>319</v>
      </c>
      <c r="AW38" s="168" t="s">
        <v>320</v>
      </c>
      <c r="AX38" s="168" t="s">
        <v>354</v>
      </c>
      <c r="AY38" s="169" t="s">
        <v>323</v>
      </c>
      <c r="AZ38" s="162">
        <f>AP38</f>
        <v>207.84173116760388</v>
      </c>
      <c r="BA38" s="168" t="s">
        <v>322</v>
      </c>
      <c r="BC38" s="81" t="s">
        <v>414</v>
      </c>
      <c r="BD38" s="167">
        <v>-8.6300000000000008</v>
      </c>
      <c r="BE38" s="167">
        <v>5.8999999999999997E-2</v>
      </c>
      <c r="BF38" s="81">
        <v>-146.31</v>
      </c>
      <c r="BG38" s="81" t="s">
        <v>388</v>
      </c>
      <c r="BJ38" s="175" t="s">
        <v>319</v>
      </c>
      <c r="BK38" s="175" t="s">
        <v>320</v>
      </c>
      <c r="BL38" s="175" t="s">
        <v>354</v>
      </c>
      <c r="BM38" s="175" t="s">
        <v>323</v>
      </c>
      <c r="BN38" s="174">
        <f>BD71</f>
        <v>238</v>
      </c>
      <c r="BO38" s="175" t="s">
        <v>322</v>
      </c>
      <c r="BQ38" s="81" t="s">
        <v>414</v>
      </c>
      <c r="BR38" s="167">
        <v>-6.9</v>
      </c>
      <c r="BS38" s="167">
        <v>0.127</v>
      </c>
      <c r="BT38" s="81">
        <v>-54.4</v>
      </c>
      <c r="BU38" s="81" t="s">
        <v>422</v>
      </c>
      <c r="BV38" s="167">
        <v>2E-16</v>
      </c>
      <c r="BW38" s="81" t="s">
        <v>389</v>
      </c>
      <c r="BY38" s="178"/>
      <c r="BZ38" s="178"/>
      <c r="CA38" s="178"/>
      <c r="CB38" s="178"/>
      <c r="CC38" s="177"/>
      <c r="CD38" s="178"/>
      <c r="CO38" s="81" t="s">
        <v>355</v>
      </c>
      <c r="CP38" s="257">
        <f t="shared" si="0"/>
        <v>48.545035604395608</v>
      </c>
      <c r="CQ38" s="257">
        <f t="shared" si="1"/>
        <v>58</v>
      </c>
      <c r="CR38" s="257">
        <f t="shared" si="2"/>
        <v>49.4</v>
      </c>
      <c r="CU38" s="258" t="s">
        <v>442</v>
      </c>
      <c r="CV38" s="258" t="s">
        <v>401</v>
      </c>
      <c r="CW38" s="259">
        <v>-14.2</v>
      </c>
      <c r="CX38" s="259">
        <v>51.7</v>
      </c>
      <c r="CY38" s="258">
        <v>-0.28000000000000003</v>
      </c>
      <c r="CZ38" s="258">
        <v>0.78300000000000003</v>
      </c>
      <c r="DC38" s="260" t="s">
        <v>467</v>
      </c>
      <c r="DD38" s="263" t="s">
        <v>331</v>
      </c>
      <c r="DE38" s="261" t="s">
        <v>323</v>
      </c>
      <c r="DF38" s="262">
        <f>CW42</f>
        <v>6.9599999999999995E-2</v>
      </c>
      <c r="DG38" s="260" t="s">
        <v>322</v>
      </c>
      <c r="DI38" s="170" t="s">
        <v>467</v>
      </c>
      <c r="DJ38" s="292" t="s">
        <v>331</v>
      </c>
      <c r="DK38" s="291" t="s">
        <v>323</v>
      </c>
      <c r="DL38" s="170">
        <f>$AP14</f>
        <v>4.851899087761509E-2</v>
      </c>
      <c r="DM38" s="170" t="s">
        <v>322</v>
      </c>
    </row>
    <row r="39" spans="1:117" ht="15" customHeight="1" thickTop="1" thickBot="1" x14ac:dyDescent="0.3">
      <c r="L39" s="81"/>
      <c r="M39" s="81"/>
      <c r="N39" s="81" t="s">
        <v>122</v>
      </c>
      <c r="O39" s="153">
        <f>B4*1.204*1012*5/1000000</f>
        <v>3.1046055040000002</v>
      </c>
      <c r="P39" s="81" t="s">
        <v>123</v>
      </c>
      <c r="R39" s="81"/>
      <c r="X39" s="226"/>
      <c r="Y39" s="226"/>
      <c r="Z39" s="227" t="s">
        <v>4</v>
      </c>
      <c r="AA39" s="227">
        <v>0.85</v>
      </c>
      <c r="AB39" s="227" t="s">
        <v>5</v>
      </c>
      <c r="AC39" s="226"/>
      <c r="AD39" s="226"/>
      <c r="AE39" s="226"/>
      <c r="AF39" s="14"/>
      <c r="AG39" s="14"/>
      <c r="AH39" s="14"/>
      <c r="AM39" s="159" t="s">
        <v>319</v>
      </c>
      <c r="AN39" s="81" t="s">
        <v>320</v>
      </c>
      <c r="AO39" s="81" t="s">
        <v>355</v>
      </c>
      <c r="AP39" s="153">
        <f>'Verwarming Tabula 2zone Ref 1'!B139+SUM(R21:R24)</f>
        <v>48.545035604395608</v>
      </c>
      <c r="AQ39" s="81" t="s">
        <v>322</v>
      </c>
      <c r="AR39" s="81" t="s">
        <v>356</v>
      </c>
      <c r="AV39" s="168" t="s">
        <v>319</v>
      </c>
      <c r="AW39" s="168" t="s">
        <v>320</v>
      </c>
      <c r="AX39" s="168" t="s">
        <v>355</v>
      </c>
      <c r="AY39" s="169" t="s">
        <v>323</v>
      </c>
      <c r="AZ39" s="162">
        <f>AP39</f>
        <v>48.545035604395608</v>
      </c>
      <c r="BA39" s="168" t="s">
        <v>322</v>
      </c>
      <c r="BC39" s="81" t="s">
        <v>415</v>
      </c>
      <c r="BD39" s="167">
        <v>-6.14</v>
      </c>
      <c r="BE39" s="167">
        <v>2.1399999999999999E-2</v>
      </c>
      <c r="BF39" s="81">
        <v>-287.01</v>
      </c>
      <c r="BG39" s="81" t="s">
        <v>388</v>
      </c>
      <c r="BJ39" s="175" t="s">
        <v>319</v>
      </c>
      <c r="BK39" s="175" t="s">
        <v>320</v>
      </c>
      <c r="BL39" s="175" t="s">
        <v>355</v>
      </c>
      <c r="BM39" s="175" t="s">
        <v>323</v>
      </c>
      <c r="BN39" s="174">
        <f>BD72</f>
        <v>58</v>
      </c>
      <c r="BO39" s="175" t="s">
        <v>322</v>
      </c>
      <c r="BQ39" s="81" t="s">
        <v>415</v>
      </c>
      <c r="BR39" s="167">
        <v>-6.05</v>
      </c>
      <c r="BS39" s="167">
        <v>2.2700000000000001E-2</v>
      </c>
      <c r="BT39" s="81">
        <v>-266.10000000000002</v>
      </c>
      <c r="BU39" s="81" t="s">
        <v>422</v>
      </c>
      <c r="BV39" s="167">
        <v>2E-16</v>
      </c>
      <c r="BW39" s="81" t="s">
        <v>389</v>
      </c>
      <c r="BY39" s="178" t="s">
        <v>319</v>
      </c>
      <c r="BZ39" s="178" t="s">
        <v>320</v>
      </c>
      <c r="CA39" s="178" t="s">
        <v>352</v>
      </c>
      <c r="CB39" s="178" t="s">
        <v>323</v>
      </c>
      <c r="CC39" s="177">
        <f>BR69</f>
        <v>219</v>
      </c>
      <c r="CD39" s="178" t="s">
        <v>322</v>
      </c>
      <c r="CO39" s="81" t="s">
        <v>357</v>
      </c>
      <c r="CP39" s="257">
        <f t="shared" si="0"/>
        <v>86.506464647897474</v>
      </c>
      <c r="CQ39" s="257">
        <f t="shared" si="1"/>
        <v>215.51724137931035</v>
      </c>
      <c r="CR39" s="257">
        <f t="shared" si="2"/>
        <v>350.87719298245611</v>
      </c>
      <c r="CU39" s="258" t="s">
        <v>442</v>
      </c>
      <c r="CV39" s="258" t="s">
        <v>402</v>
      </c>
      <c r="CW39" s="259">
        <v>-10.4</v>
      </c>
      <c r="CX39" s="259">
        <v>41.4</v>
      </c>
      <c r="CY39" s="258">
        <v>-0.25</v>
      </c>
      <c r="CZ39" s="258">
        <v>0.80100000000000005</v>
      </c>
      <c r="DC39" s="260" t="s">
        <v>467</v>
      </c>
      <c r="DD39" s="264" t="s">
        <v>332</v>
      </c>
      <c r="DE39" s="261" t="s">
        <v>323</v>
      </c>
      <c r="DF39" s="262">
        <f>CW43</f>
        <v>0.13600000000000001</v>
      </c>
      <c r="DG39" s="260" t="s">
        <v>322</v>
      </c>
      <c r="DI39" s="170" t="s">
        <v>467</v>
      </c>
      <c r="DJ39" s="293" t="s">
        <v>332</v>
      </c>
      <c r="DK39" s="291" t="s">
        <v>323</v>
      </c>
      <c r="DL39" s="170">
        <f>$AP15</f>
        <v>0.11973417143992103</v>
      </c>
      <c r="DM39" s="170" t="s">
        <v>322</v>
      </c>
    </row>
    <row r="40" spans="1:117" ht="15" customHeight="1" thickTop="1" thickBot="1" x14ac:dyDescent="0.3">
      <c r="A40" s="81" t="s">
        <v>280</v>
      </c>
      <c r="L40" s="81"/>
      <c r="M40" s="81"/>
      <c r="N40" s="81" t="s">
        <v>124</v>
      </c>
      <c r="O40" s="153">
        <f>SUM(S6:S9,S15)/1000000</f>
        <v>31.342399091203454</v>
      </c>
      <c r="P40" s="81" t="s">
        <v>125</v>
      </c>
      <c r="Q40" s="153">
        <f>SUM(U6:U9,U15)/1000000</f>
        <v>15.206901581219645</v>
      </c>
      <c r="R40" s="81"/>
      <c r="X40" s="228" t="s">
        <v>63</v>
      </c>
      <c r="Y40" s="229"/>
      <c r="Z40" s="230" t="s">
        <v>21</v>
      </c>
      <c r="AA40" s="231">
        <f>1/(1/10+SUM(AD42:AD46))</f>
        <v>0.3056768558951965</v>
      </c>
      <c r="AB40" s="229" t="s">
        <v>5</v>
      </c>
      <c r="AC40" s="229"/>
      <c r="AD40" s="229" t="s">
        <v>22</v>
      </c>
      <c r="AE40" s="232">
        <f>SUM(AE42:AE46)</f>
        <v>378867.5</v>
      </c>
      <c r="AF40" s="14" t="s">
        <v>23</v>
      </c>
      <c r="AG40" s="14">
        <f>SUM(AE42:AE43)</f>
        <v>110960</v>
      </c>
      <c r="AH40" s="14"/>
      <c r="AM40" s="159" t="s">
        <v>319</v>
      </c>
      <c r="AN40" s="81" t="s">
        <v>320</v>
      </c>
      <c r="AO40" s="81" t="s">
        <v>357</v>
      </c>
      <c r="AP40" s="81">
        <f>SUM(O17:O20)*1/(SUM(AD15:AD17)+1/23)+O25*1/(SUM(AD7:AD8)+SUM(AD9:AD10)/2+1/23)</f>
        <v>86.506464647897474</v>
      </c>
      <c r="AQ40" s="81" t="s">
        <v>322</v>
      </c>
      <c r="AR40" s="81">
        <f>1/0.01634389</f>
        <v>61.184944343115376</v>
      </c>
      <c r="AV40" s="168" t="s">
        <v>319</v>
      </c>
      <c r="AW40" s="168" t="s">
        <v>320</v>
      </c>
      <c r="AX40" s="168" t="s">
        <v>357</v>
      </c>
      <c r="AY40" s="169" t="s">
        <v>323</v>
      </c>
      <c r="AZ40" s="162">
        <f>AP40</f>
        <v>86.506464647897474</v>
      </c>
      <c r="BA40" s="168" t="s">
        <v>322</v>
      </c>
      <c r="BC40" s="81" t="s">
        <v>416</v>
      </c>
      <c r="BD40" s="167">
        <v>-7.59</v>
      </c>
      <c r="BE40" s="167">
        <v>2.3199999999999998E-2</v>
      </c>
      <c r="BF40" s="81">
        <v>-327.07</v>
      </c>
      <c r="BG40" s="81" t="s">
        <v>388</v>
      </c>
      <c r="BJ40" s="175" t="s">
        <v>319</v>
      </c>
      <c r="BK40" s="175" t="s">
        <v>320</v>
      </c>
      <c r="BL40" s="175" t="s">
        <v>357</v>
      </c>
      <c r="BM40" s="175" t="s">
        <v>323</v>
      </c>
      <c r="BN40" s="174">
        <f>1/BD77</f>
        <v>215.51724137931035</v>
      </c>
      <c r="BO40" s="175" t="s">
        <v>322</v>
      </c>
      <c r="BQ40" s="81" t="s">
        <v>416</v>
      </c>
      <c r="BR40" s="167">
        <v>-6.56</v>
      </c>
      <c r="BS40" s="167">
        <v>3.3300000000000003E-2</v>
      </c>
      <c r="BT40" s="81">
        <v>-196.87</v>
      </c>
      <c r="BU40" s="81" t="s">
        <v>422</v>
      </c>
      <c r="BV40" s="167">
        <v>2E-16</v>
      </c>
      <c r="BW40" s="81" t="s">
        <v>389</v>
      </c>
      <c r="BY40" s="178" t="s">
        <v>319</v>
      </c>
      <c r="BZ40" s="178" t="s">
        <v>320</v>
      </c>
      <c r="CA40" s="178" t="s">
        <v>354</v>
      </c>
      <c r="CB40" s="178" t="s">
        <v>323</v>
      </c>
      <c r="CC40" s="177">
        <f>BR70</f>
        <v>85.9</v>
      </c>
      <c r="CD40" s="178" t="s">
        <v>322</v>
      </c>
      <c r="CP40" s="255"/>
      <c r="CQ40" s="255"/>
      <c r="CR40" s="255"/>
      <c r="CU40" s="258" t="s">
        <v>442</v>
      </c>
      <c r="CV40" s="258" t="s">
        <v>403</v>
      </c>
      <c r="CW40" s="259">
        <v>-14.8</v>
      </c>
      <c r="CX40" s="259">
        <v>22.8</v>
      </c>
      <c r="CY40" s="258">
        <v>-0.65</v>
      </c>
      <c r="CZ40" s="258">
        <v>0.51700000000000002</v>
      </c>
      <c r="DC40" s="260" t="s">
        <v>467</v>
      </c>
      <c r="DD40" s="264" t="s">
        <v>333</v>
      </c>
      <c r="DE40" s="261" t="s">
        <v>323</v>
      </c>
      <c r="DF40" s="262">
        <f>CW44</f>
        <v>0.77200000000000002</v>
      </c>
      <c r="DG40" s="260" t="s">
        <v>322</v>
      </c>
      <c r="DI40" s="170" t="s">
        <v>467</v>
      </c>
      <c r="DJ40" s="293" t="s">
        <v>333</v>
      </c>
      <c r="DK40" s="291" t="s">
        <v>323</v>
      </c>
      <c r="DL40" s="170">
        <f>$AP16</f>
        <v>0.71056198276779237</v>
      </c>
      <c r="DM40" s="170" t="s">
        <v>322</v>
      </c>
    </row>
    <row r="41" spans="1:117" ht="15" customHeight="1" thickTop="1" thickBot="1" x14ac:dyDescent="0.3">
      <c r="A41" s="150" t="s">
        <v>281</v>
      </c>
      <c r="L41" s="81"/>
      <c r="M41" s="81"/>
      <c r="N41" s="81" t="s">
        <v>126</v>
      </c>
      <c r="O41" s="153">
        <f>SUM(S26:S27)/1000000</f>
        <v>55.48624048300055</v>
      </c>
      <c r="P41" s="81" t="s">
        <v>125</v>
      </c>
      <c r="Q41" s="153">
        <f>SUM(U26:U27)/1000000</f>
        <v>55.48624048300055</v>
      </c>
      <c r="R41" s="81"/>
      <c r="X41" s="233"/>
      <c r="Y41" s="234" t="s">
        <v>27</v>
      </c>
      <c r="Z41" s="234" t="s">
        <v>28</v>
      </c>
      <c r="AA41" s="234" t="s">
        <v>29</v>
      </c>
      <c r="AB41" s="234" t="s">
        <v>30</v>
      </c>
      <c r="AC41" s="234" t="s">
        <v>31</v>
      </c>
      <c r="AD41" s="234" t="s">
        <v>32</v>
      </c>
      <c r="AE41" s="235" t="s">
        <v>33</v>
      </c>
      <c r="AF41" s="14"/>
      <c r="AG41" s="14"/>
      <c r="AH41" s="14"/>
      <c r="AQ41" s="81" t="s">
        <v>322</v>
      </c>
      <c r="AV41" s="168"/>
      <c r="AW41" s="168"/>
      <c r="AX41" s="168"/>
      <c r="AY41" s="169"/>
      <c r="BA41" s="168"/>
      <c r="BC41" s="81" t="s">
        <v>417</v>
      </c>
      <c r="BD41" s="167">
        <v>4.5999999999999999E-3</v>
      </c>
      <c r="BE41" s="167">
        <v>2.5000000000000001E-5</v>
      </c>
      <c r="BF41" s="81">
        <v>184.29</v>
      </c>
      <c r="BG41" s="81" t="s">
        <v>388</v>
      </c>
      <c r="BJ41" s="175"/>
      <c r="BK41" s="175"/>
      <c r="BL41" s="175"/>
      <c r="BM41" s="175"/>
      <c r="BN41" s="174"/>
      <c r="BO41" s="175"/>
      <c r="BQ41" s="81" t="s">
        <v>417</v>
      </c>
      <c r="BR41" s="167">
        <v>3.0599999999999998E-3</v>
      </c>
      <c r="BS41" s="167">
        <v>6.4700000000000001E-5</v>
      </c>
      <c r="BT41" s="81">
        <v>47.35</v>
      </c>
      <c r="BU41" s="81" t="s">
        <v>422</v>
      </c>
      <c r="BV41" s="167">
        <v>2E-16</v>
      </c>
      <c r="BW41" s="81" t="s">
        <v>389</v>
      </c>
      <c r="BY41" s="178" t="s">
        <v>319</v>
      </c>
      <c r="BZ41" s="178" t="s">
        <v>320</v>
      </c>
      <c r="CA41" s="178" t="s">
        <v>355</v>
      </c>
      <c r="CB41" s="178" t="s">
        <v>323</v>
      </c>
      <c r="CC41" s="177">
        <f>BR71</f>
        <v>49.4</v>
      </c>
      <c r="CD41" s="178" t="s">
        <v>322</v>
      </c>
      <c r="CO41" s="81" t="s">
        <v>358</v>
      </c>
      <c r="CP41" s="254">
        <f t="shared" si="0"/>
        <v>0.19467183924950815</v>
      </c>
      <c r="CQ41" s="254">
        <f t="shared" si="1"/>
        <v>9.35E-2</v>
      </c>
      <c r="CR41" s="254">
        <f t="shared" si="2"/>
        <v>0.11799999999999999</v>
      </c>
      <c r="CU41" s="258" t="s">
        <v>442</v>
      </c>
      <c r="CV41" s="258" t="s">
        <v>404</v>
      </c>
      <c r="CW41" s="259">
        <v>-12.9</v>
      </c>
      <c r="CX41" s="259">
        <v>17</v>
      </c>
      <c r="CY41" s="258">
        <v>-0.76</v>
      </c>
      <c r="CZ41" s="258">
        <v>0.44900000000000001</v>
      </c>
      <c r="DC41" s="260" t="s">
        <v>467</v>
      </c>
      <c r="DD41" s="261" t="s">
        <v>334</v>
      </c>
      <c r="DE41" s="261" t="s">
        <v>323</v>
      </c>
      <c r="DF41" s="262">
        <f>CW45</f>
        <v>7.1300000000000002E-2</v>
      </c>
      <c r="DG41" s="260" t="s">
        <v>322</v>
      </c>
      <c r="DI41" s="170" t="s">
        <v>467</v>
      </c>
      <c r="DJ41" s="291" t="s">
        <v>334</v>
      </c>
      <c r="DK41" s="291" t="s">
        <v>323</v>
      </c>
      <c r="DL41" s="170">
        <f>$AP17</f>
        <v>6.2783303139818961E-2</v>
      </c>
      <c r="DM41" s="170" t="s">
        <v>322</v>
      </c>
    </row>
    <row r="42" spans="1:117" ht="15" customHeight="1" thickTop="1" thickBot="1" x14ac:dyDescent="0.3">
      <c r="A42" s="81" t="s">
        <v>282</v>
      </c>
      <c r="C42" s="81">
        <f>0.55</f>
        <v>0.55000000000000004</v>
      </c>
      <c r="L42" s="81"/>
      <c r="M42" s="81"/>
      <c r="N42" s="81" t="s">
        <v>127</v>
      </c>
      <c r="O42" s="153">
        <f>S14/1000000</f>
        <v>36.371279999999999</v>
      </c>
      <c r="Q42" s="153">
        <f>U14/1000000</f>
        <v>10.65216</v>
      </c>
      <c r="R42" s="81"/>
      <c r="X42" s="239"/>
      <c r="Y42" s="240" t="s">
        <v>128</v>
      </c>
      <c r="Z42" s="240">
        <v>0.02</v>
      </c>
      <c r="AA42" s="240">
        <v>1.4</v>
      </c>
      <c r="AB42" s="240">
        <v>2100</v>
      </c>
      <c r="AC42" s="240">
        <v>840</v>
      </c>
      <c r="AD42" s="241">
        <f>Z42/AA42</f>
        <v>1.4285714285714287E-2</v>
      </c>
      <c r="AE42" s="242">
        <f>Z42*AB42*AC42</f>
        <v>35280</v>
      </c>
      <c r="AF42" s="14" t="s">
        <v>104</v>
      </c>
      <c r="AG42" s="14"/>
      <c r="AH42" s="14"/>
      <c r="AM42" s="159" t="s">
        <v>319</v>
      </c>
      <c r="AN42" s="81" t="s">
        <v>320</v>
      </c>
      <c r="AO42" s="81" t="s">
        <v>358</v>
      </c>
      <c r="AP42" s="81">
        <f>SUM(O26)/(SUM($O$6:$O$14,$O$26,O30)+2*SUM($O$27))</f>
        <v>0.19467183924950815</v>
      </c>
      <c r="AQ42" s="81" t="s">
        <v>322</v>
      </c>
      <c r="AR42" s="81" t="s">
        <v>359</v>
      </c>
      <c r="AV42" s="168" t="s">
        <v>319</v>
      </c>
      <c r="AW42" s="168" t="s">
        <v>320</v>
      </c>
      <c r="AX42" s="168" t="s">
        <v>358</v>
      </c>
      <c r="AY42" s="169" t="s">
        <v>323</v>
      </c>
      <c r="AZ42" s="162">
        <f>AP42</f>
        <v>0.19467183924950815</v>
      </c>
      <c r="BA42" s="168" t="s">
        <v>322</v>
      </c>
      <c r="BC42" s="81" t="s">
        <v>418</v>
      </c>
      <c r="BD42" s="167">
        <v>393</v>
      </c>
      <c r="BE42" s="167">
        <v>4.21</v>
      </c>
      <c r="BF42" s="81">
        <v>93.48</v>
      </c>
      <c r="BG42" s="81" t="s">
        <v>388</v>
      </c>
      <c r="BJ42" s="175" t="s">
        <v>319</v>
      </c>
      <c r="BK42" s="175" t="s">
        <v>320</v>
      </c>
      <c r="BL42" s="175" t="s">
        <v>358</v>
      </c>
      <c r="BM42" s="175" t="s">
        <v>323</v>
      </c>
      <c r="BN42" s="174">
        <f>BD15</f>
        <v>9.35E-2</v>
      </c>
      <c r="BO42" s="175" t="s">
        <v>322</v>
      </c>
      <c r="BQ42" s="81" t="s">
        <v>418</v>
      </c>
      <c r="BR42" s="167">
        <v>113</v>
      </c>
      <c r="BS42" s="167">
        <v>2.08</v>
      </c>
      <c r="BT42" s="81">
        <v>54.6</v>
      </c>
      <c r="BU42" s="81" t="s">
        <v>422</v>
      </c>
      <c r="BV42" s="167">
        <v>2E-16</v>
      </c>
      <c r="BW42" s="81" t="s">
        <v>389</v>
      </c>
      <c r="BY42" s="178" t="s">
        <v>319</v>
      </c>
      <c r="BZ42" s="178" t="s">
        <v>320</v>
      </c>
      <c r="CA42" s="178" t="s">
        <v>357</v>
      </c>
      <c r="CB42" s="178" t="s">
        <v>323</v>
      </c>
      <c r="CC42" s="177">
        <f>1/BR76</f>
        <v>350.87719298245611</v>
      </c>
      <c r="CD42" s="178" t="s">
        <v>322</v>
      </c>
      <c r="CO42" s="81" t="s">
        <v>360</v>
      </c>
      <c r="CP42" s="254">
        <f t="shared" si="0"/>
        <v>0.19701484443186004</v>
      </c>
      <c r="CQ42" s="254">
        <f t="shared" si="1"/>
        <v>0.19800000000000001</v>
      </c>
      <c r="CR42" s="254">
        <f t="shared" si="2"/>
        <v>0.28299999999999997</v>
      </c>
      <c r="CU42" s="258" t="s">
        <v>442</v>
      </c>
      <c r="CV42" s="258" t="s">
        <v>405</v>
      </c>
      <c r="CW42" s="259">
        <v>6.9599999999999995E-2</v>
      </c>
      <c r="CX42" s="259">
        <v>7.6499999999999995E-4</v>
      </c>
      <c r="CY42" s="258">
        <v>91.05</v>
      </c>
      <c r="CZ42" s="258" t="s">
        <v>422</v>
      </c>
      <c r="DA42" s="167">
        <v>2E-16</v>
      </c>
      <c r="DB42" s="81" t="s">
        <v>389</v>
      </c>
      <c r="DC42" s="260" t="s">
        <v>467</v>
      </c>
      <c r="DD42" s="261" t="s">
        <v>428</v>
      </c>
      <c r="DE42" s="261" t="s">
        <v>323</v>
      </c>
      <c r="DF42" s="262">
        <f>CW46</f>
        <v>4.3700000000000003E-2</v>
      </c>
      <c r="DG42" s="260" t="s">
        <v>322</v>
      </c>
      <c r="DI42" s="170" t="s">
        <v>467</v>
      </c>
      <c r="DJ42" s="291" t="s">
        <v>428</v>
      </c>
      <c r="DK42" s="291" t="s">
        <v>323</v>
      </c>
      <c r="DL42" s="170">
        <f>$AP46</f>
        <v>5.8401551774852442E-2</v>
      </c>
      <c r="DM42" s="170" t="s">
        <v>322</v>
      </c>
    </row>
    <row r="43" spans="1:117" ht="15" customHeight="1" thickTop="1" thickBot="1" x14ac:dyDescent="0.3">
      <c r="A43" s="81" t="s">
        <v>283</v>
      </c>
      <c r="C43" s="81">
        <f>B7/B6</f>
        <v>0.51807879114948729</v>
      </c>
      <c r="D43" s="81" t="s">
        <v>284</v>
      </c>
      <c r="L43" s="81"/>
      <c r="M43" s="81"/>
      <c r="N43" s="81"/>
      <c r="Q43" s="81"/>
      <c r="R43" s="81"/>
      <c r="X43" s="188"/>
      <c r="Y43" s="189" t="s">
        <v>129</v>
      </c>
      <c r="Z43" s="189">
        <v>0.08</v>
      </c>
      <c r="AA43" s="189">
        <v>0.6</v>
      </c>
      <c r="AB43" s="189">
        <v>1100</v>
      </c>
      <c r="AC43" s="189">
        <v>860</v>
      </c>
      <c r="AD43" s="236">
        <f>Z43/AA43</f>
        <v>0.13333333333333333</v>
      </c>
      <c r="AE43" s="190">
        <f>Z43*AB43*AC43</f>
        <v>75680</v>
      </c>
      <c r="AF43" s="14"/>
      <c r="AG43" s="14"/>
      <c r="AH43" s="14"/>
      <c r="AM43" s="159" t="s">
        <v>319</v>
      </c>
      <c r="AN43" s="81" t="s">
        <v>320</v>
      </c>
      <c r="AO43" s="81" t="s">
        <v>360</v>
      </c>
      <c r="AP43" s="81">
        <f>SUM(O26)/SUM(O$17:O$25,2*O$28,O$26,O31,2*O29)</f>
        <v>0.19701484443186004</v>
      </c>
      <c r="AQ43" s="81" t="s">
        <v>322</v>
      </c>
      <c r="AR43" s="81" t="s">
        <v>361</v>
      </c>
      <c r="AV43" s="168" t="s">
        <v>319</v>
      </c>
      <c r="AW43" s="168" t="s">
        <v>320</v>
      </c>
      <c r="AX43" s="168" t="s">
        <v>360</v>
      </c>
      <c r="AY43" s="169" t="s">
        <v>323</v>
      </c>
      <c r="AZ43" s="162">
        <f t="shared" ref="AZ43:AZ50" si="15">AP43</f>
        <v>0.19701484443186004</v>
      </c>
      <c r="BA43" s="168" t="s">
        <v>322</v>
      </c>
      <c r="BC43" s="81" t="s">
        <v>419</v>
      </c>
      <c r="BD43" s="167">
        <v>141</v>
      </c>
      <c r="BE43" s="167">
        <v>4.72</v>
      </c>
      <c r="BF43" s="81">
        <v>29.84</v>
      </c>
      <c r="BG43" s="81" t="s">
        <v>388</v>
      </c>
      <c r="BJ43" s="175" t="s">
        <v>319</v>
      </c>
      <c r="BK43" s="175" t="s">
        <v>320</v>
      </c>
      <c r="BL43" s="175" t="s">
        <v>360</v>
      </c>
      <c r="BM43" s="175" t="s">
        <v>323</v>
      </c>
      <c r="BN43" s="174">
        <f>BD57</f>
        <v>0.19800000000000001</v>
      </c>
      <c r="BO43" s="175" t="s">
        <v>322</v>
      </c>
      <c r="BQ43" s="81" t="s">
        <v>419</v>
      </c>
      <c r="BR43" s="167">
        <v>4990</v>
      </c>
      <c r="BS43" s="167">
        <v>2330</v>
      </c>
      <c r="BT43" s="81">
        <v>2.14</v>
      </c>
      <c r="BU43" s="81">
        <v>3.27E-2</v>
      </c>
      <c r="BV43" s="81" t="s">
        <v>434</v>
      </c>
      <c r="BY43" s="178"/>
      <c r="BZ43" s="178"/>
      <c r="CA43" s="178"/>
      <c r="CB43" s="178"/>
      <c r="CC43" s="177"/>
      <c r="CD43" s="178"/>
      <c r="CO43" s="81" t="s">
        <v>362</v>
      </c>
      <c r="CP43" s="256">
        <f t="shared" si="0"/>
        <v>20420677.500000004</v>
      </c>
      <c r="CQ43" s="256">
        <f t="shared" si="1"/>
        <v>8270000</v>
      </c>
      <c r="CR43" s="256">
        <f t="shared" si="2"/>
        <v>19200000</v>
      </c>
      <c r="CU43" s="258" t="s">
        <v>442</v>
      </c>
      <c r="CV43" s="258" t="s">
        <v>406</v>
      </c>
      <c r="CW43" s="259">
        <v>0.13600000000000001</v>
      </c>
      <c r="CX43" s="259">
        <v>8.9300000000000002E-4</v>
      </c>
      <c r="CY43" s="258">
        <v>151.97</v>
      </c>
      <c r="CZ43" s="258" t="s">
        <v>422</v>
      </c>
      <c r="DA43" s="167">
        <v>2E-16</v>
      </c>
      <c r="DB43" s="81" t="s">
        <v>389</v>
      </c>
      <c r="DE43" s="261"/>
      <c r="DI43" s="170"/>
      <c r="DJ43" s="170"/>
      <c r="DK43" s="291"/>
      <c r="DL43" s="170"/>
      <c r="DM43" s="170"/>
    </row>
    <row r="44" spans="1:117" ht="15" customHeight="1" thickTop="1" thickBot="1" x14ac:dyDescent="0.3">
      <c r="A44" s="81" t="s">
        <v>287</v>
      </c>
      <c r="C44" s="81">
        <v>0.7</v>
      </c>
      <c r="E44" s="79"/>
      <c r="L44" s="81"/>
      <c r="M44" s="81"/>
      <c r="N44" s="81"/>
      <c r="Q44" s="81"/>
      <c r="R44" s="81"/>
      <c r="X44" s="188"/>
      <c r="Y44" s="189" t="s">
        <v>285</v>
      </c>
      <c r="Z44" s="270">
        <v>1.4999999999999999E-2</v>
      </c>
      <c r="AA44" s="189">
        <v>3.5999999999999997E-2</v>
      </c>
      <c r="AB44" s="189">
        <v>30</v>
      </c>
      <c r="AC44" s="189">
        <v>1470</v>
      </c>
      <c r="AD44" s="236">
        <f>Z44/AA44</f>
        <v>0.41666666666666669</v>
      </c>
      <c r="AE44" s="190">
        <f>Z44*AB44*AC44</f>
        <v>661.49999999999989</v>
      </c>
      <c r="AF44" s="149" t="s">
        <v>286</v>
      </c>
      <c r="AG44" s="14"/>
      <c r="AH44" s="14"/>
      <c r="AM44" s="159" t="s">
        <v>319</v>
      </c>
      <c r="AN44" s="81" t="s">
        <v>320</v>
      </c>
      <c r="AO44" s="81" t="s">
        <v>362</v>
      </c>
      <c r="AP44" s="81">
        <f>U26/2</f>
        <v>20420677.500000004</v>
      </c>
      <c r="AQ44" s="81" t="s">
        <v>322</v>
      </c>
      <c r="AR44" s="81" t="s">
        <v>363</v>
      </c>
      <c r="AV44" s="168" t="s">
        <v>319</v>
      </c>
      <c r="AW44" s="168" t="s">
        <v>320</v>
      </c>
      <c r="AX44" s="168" t="s">
        <v>362</v>
      </c>
      <c r="AY44" s="169" t="s">
        <v>323</v>
      </c>
      <c r="AZ44" s="162">
        <f t="shared" si="15"/>
        <v>20420677.500000004</v>
      </c>
      <c r="BA44" s="168" t="s">
        <v>322</v>
      </c>
      <c r="BC44" s="81" t="s">
        <v>420</v>
      </c>
      <c r="BD44" s="167">
        <v>81.900000000000006</v>
      </c>
      <c r="BE44" s="167">
        <v>0.45900000000000002</v>
      </c>
      <c r="BF44" s="81">
        <v>178.48</v>
      </c>
      <c r="BG44" s="81" t="s">
        <v>388</v>
      </c>
      <c r="BJ44" s="175" t="s">
        <v>319</v>
      </c>
      <c r="BK44" s="175" t="s">
        <v>320</v>
      </c>
      <c r="BL44" s="175" t="s">
        <v>362</v>
      </c>
      <c r="BM44" s="175" t="s">
        <v>323</v>
      </c>
      <c r="BN44" s="174">
        <f>BD87</f>
        <v>8270000</v>
      </c>
      <c r="BO44" s="175" t="s">
        <v>322</v>
      </c>
      <c r="BQ44" s="81" t="s">
        <v>420</v>
      </c>
      <c r="BR44" s="167">
        <v>75.900000000000006</v>
      </c>
      <c r="BS44" s="167">
        <v>3.39</v>
      </c>
      <c r="BT44" s="81">
        <v>22.42</v>
      </c>
      <c r="BU44" s="81" t="s">
        <v>422</v>
      </c>
      <c r="BV44" s="167">
        <v>2E-16</v>
      </c>
      <c r="BW44" s="81" t="s">
        <v>389</v>
      </c>
      <c r="BY44" s="178" t="s">
        <v>319</v>
      </c>
      <c r="BZ44" s="178" t="s">
        <v>320</v>
      </c>
      <c r="CA44" s="178" t="s">
        <v>358</v>
      </c>
      <c r="CB44" s="178" t="s">
        <v>323</v>
      </c>
      <c r="CC44" s="177">
        <f>BR15</f>
        <v>0.11799999999999999</v>
      </c>
      <c r="CD44" s="178" t="s">
        <v>322</v>
      </c>
      <c r="CO44" s="81" t="s">
        <v>364</v>
      </c>
      <c r="CP44" s="256">
        <f t="shared" si="0"/>
        <v>20420677.500000004</v>
      </c>
      <c r="CQ44" s="256">
        <f t="shared" si="1"/>
        <v>25000000</v>
      </c>
      <c r="CR44" s="256">
        <f t="shared" si="2"/>
        <v>65100000</v>
      </c>
      <c r="CU44" s="258" t="s">
        <v>442</v>
      </c>
      <c r="CV44" s="258" t="s">
        <v>407</v>
      </c>
      <c r="CW44" s="259">
        <v>0.77200000000000002</v>
      </c>
      <c r="CX44" s="259">
        <v>5.1200000000000004E-3</v>
      </c>
      <c r="CY44" s="258">
        <v>150.93</v>
      </c>
      <c r="CZ44" s="258" t="s">
        <v>422</v>
      </c>
      <c r="DA44" s="167">
        <v>2E-16</v>
      </c>
      <c r="DB44" s="81" t="s">
        <v>389</v>
      </c>
      <c r="DC44" s="260" t="s">
        <v>467</v>
      </c>
      <c r="DD44" s="266" t="s">
        <v>489</v>
      </c>
      <c r="DE44" s="261" t="s">
        <v>323</v>
      </c>
      <c r="DF44" s="262">
        <f>CW68</f>
        <v>0.20200000000000001</v>
      </c>
      <c r="DG44" s="260" t="s">
        <v>322</v>
      </c>
      <c r="DI44" s="170" t="s">
        <v>467</v>
      </c>
      <c r="DJ44" s="297" t="s">
        <v>489</v>
      </c>
      <c r="DK44" s="291" t="s">
        <v>323</v>
      </c>
      <c r="DL44" s="170">
        <f>$O$11*$Z$37*$AP$26</f>
        <v>0.73625947624923793</v>
      </c>
      <c r="DM44" s="170" t="s">
        <v>322</v>
      </c>
    </row>
    <row r="45" spans="1:117" ht="15" customHeight="1" thickTop="1" thickBot="1" x14ac:dyDescent="0.3">
      <c r="A45" s="81" t="s">
        <v>288</v>
      </c>
      <c r="C45" s="81">
        <v>0.5</v>
      </c>
      <c r="E45" s="79"/>
      <c r="L45" s="81"/>
      <c r="M45" s="81"/>
      <c r="N45" s="81"/>
      <c r="Q45" s="81"/>
      <c r="R45" s="81"/>
      <c r="X45" s="188"/>
      <c r="Y45" s="189" t="s">
        <v>131</v>
      </c>
      <c r="Z45" s="189">
        <v>0.15</v>
      </c>
      <c r="AA45" s="189">
        <v>1.4</v>
      </c>
      <c r="AB45" s="189">
        <v>2100</v>
      </c>
      <c r="AC45" s="189">
        <v>840</v>
      </c>
      <c r="AD45" s="236">
        <f>Z45/AA45</f>
        <v>0.10714285714285715</v>
      </c>
      <c r="AE45" s="190">
        <f>Z45*AB45*AC45</f>
        <v>264600</v>
      </c>
      <c r="AF45" s="14"/>
      <c r="AG45" s="14"/>
      <c r="AH45" s="14"/>
      <c r="AM45" s="159" t="s">
        <v>319</v>
      </c>
      <c r="AN45" s="81" t="s">
        <v>320</v>
      </c>
      <c r="AO45" s="81" t="s">
        <v>364</v>
      </c>
      <c r="AP45" s="81">
        <f>U26/2</f>
        <v>20420677.500000004</v>
      </c>
      <c r="AQ45" s="81" t="s">
        <v>322</v>
      </c>
      <c r="AR45" s="81" t="s">
        <v>365</v>
      </c>
      <c r="AV45" s="168" t="s">
        <v>319</v>
      </c>
      <c r="AW45" s="168" t="s">
        <v>320</v>
      </c>
      <c r="AX45" s="168" t="s">
        <v>364</v>
      </c>
      <c r="AY45" s="169" t="s">
        <v>323</v>
      </c>
      <c r="AZ45" s="162">
        <f t="shared" si="15"/>
        <v>20420677.500000004</v>
      </c>
      <c r="BA45" s="168" t="s">
        <v>322</v>
      </c>
      <c r="BJ45" s="175" t="s">
        <v>319</v>
      </c>
      <c r="BK45" s="175" t="s">
        <v>320</v>
      </c>
      <c r="BL45" s="175" t="s">
        <v>364</v>
      </c>
      <c r="BM45" s="175" t="s">
        <v>323</v>
      </c>
      <c r="BN45" s="174">
        <f>BD88</f>
        <v>25000000</v>
      </c>
      <c r="BO45" s="175" t="s">
        <v>322</v>
      </c>
      <c r="BY45" s="178" t="s">
        <v>319</v>
      </c>
      <c r="BZ45" s="178" t="s">
        <v>320</v>
      </c>
      <c r="CA45" s="178" t="s">
        <v>360</v>
      </c>
      <c r="CB45" s="178" t="s">
        <v>323</v>
      </c>
      <c r="CC45" s="177">
        <f>BR56</f>
        <v>0.28299999999999997</v>
      </c>
      <c r="CD45" s="178" t="s">
        <v>322</v>
      </c>
      <c r="CO45" s="81" t="s">
        <v>366</v>
      </c>
      <c r="CP45" s="254">
        <f t="shared" si="0"/>
        <v>5.8401551774852442E-2</v>
      </c>
      <c r="CQ45" s="254">
        <f t="shared" si="1"/>
        <v>7.3400000000000007E-2</v>
      </c>
      <c r="CR45" s="254">
        <f t="shared" si="2"/>
        <v>4.4299999999999999E-2</v>
      </c>
      <c r="CU45" s="258" t="s">
        <v>442</v>
      </c>
      <c r="CV45" s="258" t="s">
        <v>408</v>
      </c>
      <c r="CW45" s="259">
        <v>7.1300000000000002E-2</v>
      </c>
      <c r="CX45" s="259">
        <v>4.6000000000000001E-4</v>
      </c>
      <c r="CY45" s="258">
        <v>154.97999999999999</v>
      </c>
      <c r="CZ45" s="258" t="s">
        <v>422</v>
      </c>
      <c r="DA45" s="167">
        <v>2E-16</v>
      </c>
      <c r="DB45" s="81" t="s">
        <v>389</v>
      </c>
      <c r="DC45" s="260" t="s">
        <v>467</v>
      </c>
      <c r="DD45" s="266" t="s">
        <v>490</v>
      </c>
      <c r="DE45" s="261" t="s">
        <v>323</v>
      </c>
      <c r="DF45" s="262">
        <f t="shared" ref="DF45:DF59" si="16">CW69</f>
        <v>6.2900000000000003E-7</v>
      </c>
      <c r="DG45" s="260" t="s">
        <v>322</v>
      </c>
      <c r="DI45" s="170" t="s">
        <v>467</v>
      </c>
      <c r="DJ45" s="297" t="s">
        <v>490</v>
      </c>
      <c r="DK45" s="291" t="s">
        <v>323</v>
      </c>
      <c r="DL45" s="170">
        <f>$O$10*$Z$37*$AP$26</f>
        <v>0.71785298934300701</v>
      </c>
      <c r="DM45" s="170" t="s">
        <v>322</v>
      </c>
    </row>
    <row r="46" spans="1:117" ht="15" customHeight="1" thickTop="1" thickBot="1" x14ac:dyDescent="0.3">
      <c r="L46" s="81"/>
      <c r="M46" s="81"/>
      <c r="N46" s="81"/>
      <c r="Q46" s="81"/>
      <c r="R46" s="81"/>
      <c r="X46" s="205"/>
      <c r="Y46" s="187" t="s">
        <v>132</v>
      </c>
      <c r="Z46" s="271">
        <v>0.06</v>
      </c>
      <c r="AA46" s="187">
        <v>2.4E-2</v>
      </c>
      <c r="AB46" s="187">
        <v>30</v>
      </c>
      <c r="AC46" s="187">
        <v>1470</v>
      </c>
      <c r="AD46" s="237">
        <f>Z46/AA46</f>
        <v>2.5</v>
      </c>
      <c r="AE46" s="210">
        <f>Z46*AB46*AC46</f>
        <v>2645.9999999999995</v>
      </c>
      <c r="AF46" s="14"/>
      <c r="AG46" s="14"/>
      <c r="AH46" s="14"/>
      <c r="AM46" s="159" t="s">
        <v>319</v>
      </c>
      <c r="AN46" s="81" t="s">
        <v>320</v>
      </c>
      <c r="AO46" s="81" t="s">
        <v>366</v>
      </c>
      <c r="AP46" s="81">
        <f>AP42*0.3</f>
        <v>5.8401551774852442E-2</v>
      </c>
      <c r="AQ46" s="81" t="s">
        <v>322</v>
      </c>
      <c r="AR46" s="81" t="s">
        <v>367</v>
      </c>
      <c r="AV46" s="168" t="s">
        <v>319</v>
      </c>
      <c r="AW46" s="168" t="s">
        <v>320</v>
      </c>
      <c r="AX46" s="168" t="s">
        <v>366</v>
      </c>
      <c r="AY46" s="169" t="s">
        <v>323</v>
      </c>
      <c r="AZ46" s="162">
        <f t="shared" si="15"/>
        <v>5.8401551774852442E-2</v>
      </c>
      <c r="BA46" s="168" t="s">
        <v>322</v>
      </c>
      <c r="BJ46" s="175" t="s">
        <v>319</v>
      </c>
      <c r="BK46" s="175" t="s">
        <v>320</v>
      </c>
      <c r="BL46" s="175" t="s">
        <v>366</v>
      </c>
      <c r="BM46" s="175" t="s">
        <v>323</v>
      </c>
      <c r="BN46" s="174">
        <f>BD31</f>
        <v>7.3400000000000007E-2</v>
      </c>
      <c r="BO46" s="175" t="s">
        <v>322</v>
      </c>
      <c r="BQ46" s="81" t="s">
        <v>433</v>
      </c>
      <c r="BR46" s="81" t="s">
        <v>421</v>
      </c>
      <c r="BY46" s="178" t="s">
        <v>319</v>
      </c>
      <c r="BZ46" s="178" t="s">
        <v>320</v>
      </c>
      <c r="CA46" s="178" t="s">
        <v>362</v>
      </c>
      <c r="CB46" s="178" t="s">
        <v>323</v>
      </c>
      <c r="CC46" s="177">
        <f>BR87</f>
        <v>19200000</v>
      </c>
      <c r="CD46" s="178" t="s">
        <v>322</v>
      </c>
      <c r="CO46" s="81" t="s">
        <v>368</v>
      </c>
      <c r="CP46" s="254">
        <f t="shared" si="0"/>
        <v>5.9104453329558007E-2</v>
      </c>
      <c r="CQ46" s="254">
        <f t="shared" si="1"/>
        <v>0.126</v>
      </c>
      <c r="CR46" s="254">
        <f t="shared" si="2"/>
        <v>7.3200000000000001E-2</v>
      </c>
      <c r="CU46" s="258" t="s">
        <v>442</v>
      </c>
      <c r="CV46" s="258" t="s">
        <v>409</v>
      </c>
      <c r="CW46" s="259">
        <v>4.3700000000000003E-2</v>
      </c>
      <c r="CX46" s="259">
        <v>2.8400000000000002E-4</v>
      </c>
      <c r="CY46" s="258">
        <v>154.13999999999999</v>
      </c>
      <c r="CZ46" s="258" t="s">
        <v>422</v>
      </c>
      <c r="DA46" s="167">
        <v>2E-16</v>
      </c>
      <c r="DB46" s="81" t="s">
        <v>389</v>
      </c>
      <c r="DC46" s="260" t="s">
        <v>467</v>
      </c>
      <c r="DD46" s="266" t="s">
        <v>491</v>
      </c>
      <c r="DE46" s="261" t="s">
        <v>323</v>
      </c>
      <c r="DF46" s="262">
        <f t="shared" si="16"/>
        <v>0.77700000000000002</v>
      </c>
      <c r="DG46" s="260" t="s">
        <v>322</v>
      </c>
      <c r="DI46" s="170" t="s">
        <v>467</v>
      </c>
      <c r="DJ46" s="297" t="s">
        <v>491</v>
      </c>
      <c r="DK46" s="291" t="s">
        <v>323</v>
      </c>
      <c r="DL46" s="170">
        <f>$O$12*$Z$37*$AP$26</f>
        <v>0.83749515423350795</v>
      </c>
      <c r="DM46" s="170" t="s">
        <v>322</v>
      </c>
    </row>
    <row r="47" spans="1:117" ht="15" customHeight="1" thickTop="1" thickBot="1" x14ac:dyDescent="0.3">
      <c r="B47" s="153"/>
      <c r="L47" s="81"/>
      <c r="M47" s="81"/>
      <c r="N47" s="81"/>
      <c r="Q47" s="81"/>
      <c r="R47" s="81"/>
      <c r="X47" s="189"/>
      <c r="Y47" s="189"/>
      <c r="Z47" s="189"/>
      <c r="AA47" s="189"/>
      <c r="AB47" s="189"/>
      <c r="AC47" s="189"/>
      <c r="AD47" s="236"/>
      <c r="AE47" s="189"/>
      <c r="AF47" s="14"/>
      <c r="AG47" s="14"/>
      <c r="AH47" s="14"/>
      <c r="AM47" s="159" t="s">
        <v>319</v>
      </c>
      <c r="AN47" s="81" t="s">
        <v>320</v>
      </c>
      <c r="AO47" s="81" t="s">
        <v>368</v>
      </c>
      <c r="AP47" s="81">
        <f>AP43*0.3</f>
        <v>5.9104453329558007E-2</v>
      </c>
      <c r="AQ47" s="81" t="s">
        <v>322</v>
      </c>
      <c r="AR47" s="81" t="s">
        <v>369</v>
      </c>
      <c r="AV47" s="168" t="s">
        <v>319</v>
      </c>
      <c r="AW47" s="168" t="s">
        <v>320</v>
      </c>
      <c r="AX47" s="168" t="s">
        <v>368</v>
      </c>
      <c r="AY47" s="169" t="s">
        <v>323</v>
      </c>
      <c r="AZ47" s="162">
        <f t="shared" si="15"/>
        <v>5.9104453329558007E-2</v>
      </c>
      <c r="BA47" s="168" t="s">
        <v>322</v>
      </c>
      <c r="BD47" s="172" t="s">
        <v>421</v>
      </c>
      <c r="BJ47" s="175" t="s">
        <v>319</v>
      </c>
      <c r="BK47" s="175" t="s">
        <v>320</v>
      </c>
      <c r="BL47" s="175" t="s">
        <v>368</v>
      </c>
      <c r="BM47" s="175" t="s">
        <v>323</v>
      </c>
      <c r="BN47" s="174">
        <f>BD69</f>
        <v>0.126</v>
      </c>
      <c r="BO47" s="175" t="s">
        <v>322</v>
      </c>
      <c r="BQ47" s="81" t="s">
        <v>380</v>
      </c>
      <c r="BY47" s="178" t="s">
        <v>319</v>
      </c>
      <c r="BZ47" s="178" t="s">
        <v>320</v>
      </c>
      <c r="CA47" s="178" t="s">
        <v>364</v>
      </c>
      <c r="CB47" s="178" t="s">
        <v>323</v>
      </c>
      <c r="CC47" s="177">
        <f>BR89</f>
        <v>65100000</v>
      </c>
      <c r="CD47" s="178" t="s">
        <v>322</v>
      </c>
      <c r="CO47" s="81" t="s">
        <v>370</v>
      </c>
      <c r="CP47" s="257">
        <f t="shared" si="0"/>
        <v>381.09398814563929</v>
      </c>
      <c r="CQ47" s="257">
        <f t="shared" si="1"/>
        <v>502</v>
      </c>
      <c r="CR47" s="257">
        <f t="shared" si="2"/>
        <v>198</v>
      </c>
      <c r="CU47" s="258" t="s">
        <v>442</v>
      </c>
      <c r="CV47" s="258" t="s">
        <v>410</v>
      </c>
      <c r="CW47" s="259">
        <v>279</v>
      </c>
      <c r="CX47" s="259">
        <v>2.52</v>
      </c>
      <c r="CY47" s="258">
        <v>110.69</v>
      </c>
      <c r="CZ47" s="258" t="s">
        <v>422</v>
      </c>
      <c r="DA47" s="167">
        <v>2E-16</v>
      </c>
      <c r="DB47" s="81" t="s">
        <v>389</v>
      </c>
      <c r="DC47" s="260" t="s">
        <v>467</v>
      </c>
      <c r="DD47" s="266" t="s">
        <v>492</v>
      </c>
      <c r="DE47" s="261" t="s">
        <v>323</v>
      </c>
      <c r="DF47" s="262">
        <f t="shared" si="16"/>
        <v>0.65400000000000003</v>
      </c>
      <c r="DG47" s="260" t="s">
        <v>322</v>
      </c>
      <c r="DI47" s="170" t="s">
        <v>467</v>
      </c>
      <c r="DJ47" s="297" t="s">
        <v>492</v>
      </c>
      <c r="DK47" s="291" t="s">
        <v>323</v>
      </c>
      <c r="DL47" s="170">
        <f>$O$13*$Z$37*$AP$26</f>
        <v>0.68104001553054505</v>
      </c>
      <c r="DM47" s="170" t="s">
        <v>322</v>
      </c>
    </row>
    <row r="48" spans="1:117" ht="15" customHeight="1" thickTop="1" thickBot="1" x14ac:dyDescent="0.3">
      <c r="B48" s="153"/>
      <c r="L48" s="81"/>
      <c r="M48" s="81"/>
      <c r="N48" s="81"/>
      <c r="Q48" s="81"/>
      <c r="R48" s="81"/>
      <c r="X48" s="226"/>
      <c r="Y48" s="226"/>
      <c r="Z48" s="245" t="s">
        <v>4</v>
      </c>
      <c r="AA48" s="245">
        <v>4</v>
      </c>
      <c r="AB48" s="245" t="s">
        <v>5</v>
      </c>
      <c r="AC48" s="226"/>
      <c r="AD48" s="226"/>
      <c r="AE48" s="226"/>
      <c r="AF48" s="14"/>
      <c r="AG48" s="14"/>
      <c r="AH48" s="14"/>
      <c r="AM48" s="159" t="s">
        <v>319</v>
      </c>
      <c r="AN48" s="81" t="s">
        <v>320</v>
      </c>
      <c r="AO48" s="81" t="s">
        <v>370</v>
      </c>
      <c r="AP48" s="81">
        <f>AA27*4*O26</f>
        <v>381.09398814563929</v>
      </c>
      <c r="AQ48" s="81" t="s">
        <v>322</v>
      </c>
      <c r="AR48" s="81" t="s">
        <v>371</v>
      </c>
      <c r="AV48" s="168" t="s">
        <v>319</v>
      </c>
      <c r="AW48" s="168" t="s">
        <v>320</v>
      </c>
      <c r="AX48" s="168" t="s">
        <v>370</v>
      </c>
      <c r="AY48" s="169" t="s">
        <v>323</v>
      </c>
      <c r="AZ48" s="162">
        <f t="shared" si="15"/>
        <v>381.09398814563929</v>
      </c>
      <c r="BA48" s="168" t="s">
        <v>322</v>
      </c>
      <c r="BC48" s="81" t="s">
        <v>380</v>
      </c>
      <c r="BJ48" s="175" t="s">
        <v>319</v>
      </c>
      <c r="BK48" s="175" t="s">
        <v>320</v>
      </c>
      <c r="BL48" s="175" t="s">
        <v>370</v>
      </c>
      <c r="BM48" s="175" t="s">
        <v>323</v>
      </c>
      <c r="BN48" s="174">
        <f>BD95</f>
        <v>502</v>
      </c>
      <c r="BO48" s="175" t="s">
        <v>322</v>
      </c>
      <c r="BQ48" s="81" t="s">
        <v>381</v>
      </c>
      <c r="BR48" s="81" t="s">
        <v>382</v>
      </c>
      <c r="BS48" s="81" t="s">
        <v>383</v>
      </c>
      <c r="BT48" s="81" t="s">
        <v>384</v>
      </c>
      <c r="BU48" s="81" t="s">
        <v>385</v>
      </c>
      <c r="BV48" s="81" t="s">
        <v>386</v>
      </c>
      <c r="BY48" s="178" t="s">
        <v>319</v>
      </c>
      <c r="BZ48" s="178" t="s">
        <v>320</v>
      </c>
      <c r="CA48" s="178" t="s">
        <v>366</v>
      </c>
      <c r="CB48" s="178" t="s">
        <v>323</v>
      </c>
      <c r="CC48" s="177">
        <f>BR31</f>
        <v>4.4299999999999999E-2</v>
      </c>
      <c r="CD48" s="178" t="s">
        <v>322</v>
      </c>
      <c r="CO48" s="81" t="s">
        <v>372</v>
      </c>
      <c r="CP48" s="257">
        <f t="shared" si="0"/>
        <v>190.54699407281964</v>
      </c>
      <c r="CQ48" s="257">
        <f t="shared" si="1"/>
        <v>393</v>
      </c>
      <c r="CR48" s="257">
        <f t="shared" si="2"/>
        <v>3.48E-4</v>
      </c>
      <c r="CU48" s="258" t="s">
        <v>442</v>
      </c>
      <c r="CV48" s="258" t="s">
        <v>411</v>
      </c>
      <c r="CW48" s="259">
        <v>219</v>
      </c>
      <c r="CX48" s="259">
        <v>1.3</v>
      </c>
      <c r="CY48" s="258">
        <v>168.77</v>
      </c>
      <c r="CZ48" s="258" t="s">
        <v>422</v>
      </c>
      <c r="DA48" s="167">
        <v>2E-16</v>
      </c>
      <c r="DB48" s="81" t="s">
        <v>389</v>
      </c>
      <c r="DC48" s="260" t="s">
        <v>467</v>
      </c>
      <c r="DD48" s="266" t="s">
        <v>493</v>
      </c>
      <c r="DE48" s="261" t="s">
        <v>323</v>
      </c>
      <c r="DF48" s="262">
        <f t="shared" si="16"/>
        <v>0.23499999999999999</v>
      </c>
      <c r="DG48" s="260" t="s">
        <v>322</v>
      </c>
      <c r="DI48" s="170" t="s">
        <v>467</v>
      </c>
      <c r="DJ48" s="297" t="s">
        <v>493</v>
      </c>
      <c r="DK48" s="291" t="s">
        <v>323</v>
      </c>
      <c r="DL48" s="170">
        <f>$O$11*$Z$37*$AP$27</f>
        <v>0.70636756911203258</v>
      </c>
      <c r="DM48" s="170" t="s">
        <v>322</v>
      </c>
    </row>
    <row r="49" spans="2:117" ht="15" customHeight="1" thickTop="1" thickBot="1" x14ac:dyDescent="0.3">
      <c r="B49" s="153"/>
      <c r="L49" s="81"/>
      <c r="M49" s="81"/>
      <c r="N49" s="81"/>
      <c r="Q49" s="81"/>
      <c r="R49" s="81"/>
      <c r="X49" s="246" t="s">
        <v>68</v>
      </c>
      <c r="Y49" s="247"/>
      <c r="Z49" s="248" t="s">
        <v>21</v>
      </c>
      <c r="AA49" s="249">
        <v>4</v>
      </c>
      <c r="AB49" s="247" t="s">
        <v>5</v>
      </c>
      <c r="AC49" s="247"/>
      <c r="AD49" s="247" t="s">
        <v>22</v>
      </c>
      <c r="AE49" s="250">
        <f>0.04*550*1660</f>
        <v>36520</v>
      </c>
      <c r="AF49" s="14" t="s">
        <v>23</v>
      </c>
      <c r="AG49" s="14">
        <f>SUM(AE51:AE52)</f>
        <v>181020.00000000003</v>
      </c>
      <c r="AH49" s="14"/>
      <c r="AM49" s="159" t="s">
        <v>319</v>
      </c>
      <c r="AN49" s="81" t="s">
        <v>320</v>
      </c>
      <c r="AO49" s="81" t="s">
        <v>372</v>
      </c>
      <c r="AP49" s="81">
        <f>AP50/2</f>
        <v>190.54699407281964</v>
      </c>
      <c r="AQ49" s="81" t="s">
        <v>322</v>
      </c>
      <c r="AR49" s="81" t="s">
        <v>373</v>
      </c>
      <c r="AV49" s="168" t="s">
        <v>319</v>
      </c>
      <c r="AW49" s="168" t="s">
        <v>320</v>
      </c>
      <c r="AX49" s="168" t="s">
        <v>372</v>
      </c>
      <c r="AY49" s="169" t="s">
        <v>323</v>
      </c>
      <c r="AZ49" s="162">
        <f t="shared" si="15"/>
        <v>190.54699407281964</v>
      </c>
      <c r="BA49" s="168" t="s">
        <v>322</v>
      </c>
      <c r="BC49" s="81" t="s">
        <v>381</v>
      </c>
      <c r="BD49" s="81" t="s">
        <v>382</v>
      </c>
      <c r="BE49" s="81" t="s">
        <v>383</v>
      </c>
      <c r="BF49" s="81" t="s">
        <v>384</v>
      </c>
      <c r="BG49" s="81" t="s">
        <v>385</v>
      </c>
      <c r="BH49" s="81" t="s">
        <v>386</v>
      </c>
      <c r="BJ49" s="175" t="s">
        <v>319</v>
      </c>
      <c r="BK49" s="175" t="s">
        <v>320</v>
      </c>
      <c r="BL49" s="175" t="s">
        <v>372</v>
      </c>
      <c r="BM49" s="175" t="s">
        <v>323</v>
      </c>
      <c r="BN49" s="174">
        <f>BD96</f>
        <v>393</v>
      </c>
      <c r="BO49" s="175" t="s">
        <v>322</v>
      </c>
      <c r="BQ49" s="81" t="s">
        <v>387</v>
      </c>
      <c r="BR49" s="167">
        <v>289</v>
      </c>
      <c r="BS49" s="167">
        <v>0.27</v>
      </c>
      <c r="BT49" s="81">
        <v>1069.93</v>
      </c>
      <c r="BU49" s="81" t="s">
        <v>422</v>
      </c>
      <c r="BV49" s="167">
        <v>2E-16</v>
      </c>
      <c r="BW49" s="81" t="s">
        <v>389</v>
      </c>
      <c r="BY49" s="178" t="s">
        <v>319</v>
      </c>
      <c r="BZ49" s="178" t="s">
        <v>320</v>
      </c>
      <c r="CA49" s="178" t="s">
        <v>368</v>
      </c>
      <c r="CB49" s="178" t="s">
        <v>323</v>
      </c>
      <c r="CC49" s="177">
        <f>BR68</f>
        <v>7.3200000000000001E-2</v>
      </c>
      <c r="CD49" s="178" t="s">
        <v>322</v>
      </c>
      <c r="CO49" s="81" t="s">
        <v>374</v>
      </c>
      <c r="CP49" s="257">
        <f t="shared" si="0"/>
        <v>381.09398814563929</v>
      </c>
      <c r="CQ49" s="257">
        <f t="shared" si="1"/>
        <v>506</v>
      </c>
      <c r="CR49" s="257">
        <f t="shared" si="2"/>
        <v>221</v>
      </c>
      <c r="CU49" s="258" t="s">
        <v>442</v>
      </c>
      <c r="CV49" s="258" t="s">
        <v>295</v>
      </c>
      <c r="CW49" s="259">
        <v>461</v>
      </c>
      <c r="CX49" s="259">
        <v>2.36</v>
      </c>
      <c r="CY49" s="258">
        <v>194.92</v>
      </c>
      <c r="CZ49" s="258" t="s">
        <v>422</v>
      </c>
      <c r="DA49" s="167">
        <v>2E-16</v>
      </c>
      <c r="DB49" s="81" t="s">
        <v>389</v>
      </c>
      <c r="DC49" s="260" t="s">
        <v>467</v>
      </c>
      <c r="DD49" s="266" t="s">
        <v>494</v>
      </c>
      <c r="DE49" s="261" t="s">
        <v>323</v>
      </c>
      <c r="DF49" s="262">
        <f t="shared" si="16"/>
        <v>0.309</v>
      </c>
      <c r="DG49" s="260" t="s">
        <v>322</v>
      </c>
      <c r="DI49" s="170" t="s">
        <v>467</v>
      </c>
      <c r="DJ49" s="297" t="s">
        <v>494</v>
      </c>
      <c r="DK49" s="291" t="s">
        <v>323</v>
      </c>
      <c r="DL49" s="170">
        <f>$O$10*$Z$37*$AP$27</f>
        <v>0.68870837988423173</v>
      </c>
      <c r="DM49" s="170" t="s">
        <v>322</v>
      </c>
    </row>
    <row r="50" spans="2:117" ht="15" customHeight="1" thickTop="1" thickBot="1" x14ac:dyDescent="0.3">
      <c r="L50" s="81"/>
      <c r="M50" s="81"/>
      <c r="N50" s="81"/>
      <c r="Q50" s="81"/>
      <c r="R50" s="81"/>
      <c r="X50" s="251"/>
      <c r="Y50" s="252" t="s">
        <v>16</v>
      </c>
      <c r="Z50" s="252">
        <v>4</v>
      </c>
      <c r="AA50" s="252" t="s">
        <v>5</v>
      </c>
      <c r="AB50" s="252"/>
      <c r="AC50" s="252" t="s">
        <v>313</v>
      </c>
      <c r="AD50" s="252">
        <f>0.11*(1/AA49-1/23-1/8)</f>
        <v>8.9673913043478264E-3</v>
      </c>
      <c r="AE50" s="253"/>
      <c r="AF50" s="14"/>
      <c r="AG50" s="14"/>
      <c r="AH50" s="14"/>
      <c r="AM50" s="159" t="s">
        <v>319</v>
      </c>
      <c r="AN50" s="81" t="s">
        <v>320</v>
      </c>
      <c r="AO50" s="81" t="s">
        <v>374</v>
      </c>
      <c r="AP50" s="81">
        <f>AP48</f>
        <v>381.09398814563929</v>
      </c>
      <c r="AQ50" s="81" t="s">
        <v>322</v>
      </c>
      <c r="AR50" s="81" t="s">
        <v>375</v>
      </c>
      <c r="AV50" s="168" t="s">
        <v>319</v>
      </c>
      <c r="AW50" s="168" t="s">
        <v>320</v>
      </c>
      <c r="AX50" s="168" t="s">
        <v>374</v>
      </c>
      <c r="AY50" s="169" t="s">
        <v>323</v>
      </c>
      <c r="AZ50" s="162">
        <f t="shared" si="15"/>
        <v>381.09398814563929</v>
      </c>
      <c r="BA50" s="168" t="s">
        <v>322</v>
      </c>
      <c r="BC50" s="81" t="s">
        <v>387</v>
      </c>
      <c r="BD50" s="167">
        <v>291</v>
      </c>
      <c r="BE50" s="167">
        <v>5.11E-2</v>
      </c>
      <c r="BF50" s="81">
        <v>5694.69</v>
      </c>
      <c r="BG50" s="81" t="s">
        <v>422</v>
      </c>
      <c r="BH50" s="167">
        <v>2E-16</v>
      </c>
      <c r="BI50" s="81" t="s">
        <v>389</v>
      </c>
      <c r="BJ50" s="175" t="s">
        <v>319</v>
      </c>
      <c r="BK50" s="175" t="s">
        <v>320</v>
      </c>
      <c r="BL50" s="175" t="s">
        <v>374</v>
      </c>
      <c r="BM50" s="175" t="s">
        <v>323</v>
      </c>
      <c r="BN50" s="174">
        <f>BD97</f>
        <v>506</v>
      </c>
      <c r="BO50" s="175" t="s">
        <v>322</v>
      </c>
      <c r="BQ50" s="81" t="s">
        <v>390</v>
      </c>
      <c r="BR50" s="167">
        <v>285</v>
      </c>
      <c r="BS50" s="167">
        <v>0.32700000000000001</v>
      </c>
      <c r="BT50" s="81">
        <v>872.45</v>
      </c>
      <c r="BU50" s="81" t="s">
        <v>422</v>
      </c>
      <c r="BV50" s="167">
        <v>2E-16</v>
      </c>
      <c r="BW50" s="81" t="s">
        <v>389</v>
      </c>
      <c r="BY50" s="178" t="s">
        <v>319</v>
      </c>
      <c r="BZ50" s="178" t="s">
        <v>320</v>
      </c>
      <c r="CA50" s="178" t="s">
        <v>370</v>
      </c>
      <c r="CB50" s="178" t="s">
        <v>323</v>
      </c>
      <c r="CC50" s="177">
        <f>BR94</f>
        <v>198</v>
      </c>
      <c r="CD50" s="178" t="s">
        <v>322</v>
      </c>
      <c r="CU50" s="258" t="s">
        <v>442</v>
      </c>
      <c r="CV50" s="258" t="s">
        <v>120</v>
      </c>
      <c r="CW50" s="259">
        <v>272</v>
      </c>
      <c r="CX50" s="259">
        <v>2.13</v>
      </c>
      <c r="CY50" s="258">
        <v>127.81</v>
      </c>
      <c r="CZ50" s="258" t="s">
        <v>422</v>
      </c>
      <c r="DA50" s="167">
        <v>2E-16</v>
      </c>
      <c r="DB50" s="81" t="s">
        <v>389</v>
      </c>
      <c r="DC50" s="260" t="s">
        <v>467</v>
      </c>
      <c r="DD50" s="266" t="s">
        <v>495</v>
      </c>
      <c r="DE50" s="261" t="s">
        <v>323</v>
      </c>
      <c r="DF50" s="262">
        <f t="shared" si="16"/>
        <v>0.17599999999999999</v>
      </c>
      <c r="DG50" s="260" t="s">
        <v>322</v>
      </c>
      <c r="DI50" s="170" t="s">
        <v>467</v>
      </c>
      <c r="DJ50" s="297" t="s">
        <v>495</v>
      </c>
      <c r="DK50" s="291" t="s">
        <v>323</v>
      </c>
      <c r="DL50" s="170">
        <f>$O$12*$Z$37*$AP$27</f>
        <v>0.80349310986493694</v>
      </c>
      <c r="DM50" s="170" t="s">
        <v>322</v>
      </c>
    </row>
    <row r="51" spans="2:117" ht="15" customHeight="1" thickTop="1" thickBot="1" x14ac:dyDescent="0.3">
      <c r="L51" s="81"/>
      <c r="M51" s="81"/>
      <c r="N51" s="81"/>
      <c r="Q51" s="81"/>
      <c r="R51" s="81"/>
      <c r="X51" s="226"/>
      <c r="Y51" s="226"/>
      <c r="Z51" s="227"/>
      <c r="AA51" s="227"/>
      <c r="AB51" s="227"/>
      <c r="AC51" s="226"/>
      <c r="AD51" s="226"/>
      <c r="AE51" s="226"/>
      <c r="AF51" s="14"/>
      <c r="AG51" s="14"/>
      <c r="AH51" s="14"/>
      <c r="BC51" s="81" t="s">
        <v>390</v>
      </c>
      <c r="BD51" s="167">
        <v>289</v>
      </c>
      <c r="BE51" s="167">
        <v>0.17199999999999999</v>
      </c>
      <c r="BF51" s="81">
        <v>1674.64</v>
      </c>
      <c r="BG51" s="81" t="s">
        <v>422</v>
      </c>
      <c r="BH51" s="167">
        <v>2E-16</v>
      </c>
      <c r="BI51" s="81" t="s">
        <v>389</v>
      </c>
      <c r="BQ51" s="81" t="s">
        <v>391</v>
      </c>
      <c r="BR51" s="167">
        <v>291</v>
      </c>
      <c r="BS51" s="167">
        <v>0.14000000000000001</v>
      </c>
      <c r="BT51" s="81">
        <v>2086.0700000000002</v>
      </c>
      <c r="BU51" s="81" t="s">
        <v>422</v>
      </c>
      <c r="BV51" s="167">
        <v>2E-16</v>
      </c>
      <c r="BW51" s="81" t="s">
        <v>389</v>
      </c>
      <c r="BY51" s="178" t="s">
        <v>319</v>
      </c>
      <c r="BZ51" s="178" t="s">
        <v>320</v>
      </c>
      <c r="CA51" s="178" t="s">
        <v>372</v>
      </c>
      <c r="CB51" s="178" t="s">
        <v>323</v>
      </c>
      <c r="CC51" s="177">
        <f>BR95</f>
        <v>3.48E-4</v>
      </c>
      <c r="CD51" s="178" t="s">
        <v>322</v>
      </c>
      <c r="CU51" s="258" t="s">
        <v>442</v>
      </c>
      <c r="CV51" s="258" t="s">
        <v>412</v>
      </c>
      <c r="CW51" s="259">
        <v>-5.48</v>
      </c>
      <c r="CX51" s="259">
        <v>2.1600000000000001E-2</v>
      </c>
      <c r="CY51" s="258">
        <v>-253.35</v>
      </c>
      <c r="CZ51" s="258" t="s">
        <v>422</v>
      </c>
      <c r="DA51" s="167">
        <v>2E-16</v>
      </c>
      <c r="DB51" s="81" t="s">
        <v>389</v>
      </c>
      <c r="DC51" s="260" t="s">
        <v>467</v>
      </c>
      <c r="DD51" s="266" t="s">
        <v>496</v>
      </c>
      <c r="DE51" s="261" t="s">
        <v>323</v>
      </c>
      <c r="DF51" s="262">
        <f t="shared" si="16"/>
        <v>0.13</v>
      </c>
      <c r="DG51" s="260" t="s">
        <v>322</v>
      </c>
      <c r="DI51" s="170" t="s">
        <v>467</v>
      </c>
      <c r="DJ51" s="297" t="s">
        <v>496</v>
      </c>
      <c r="DK51" s="291" t="s">
        <v>323</v>
      </c>
      <c r="DL51" s="170">
        <f>$O$13*$Z$37*$AP$27</f>
        <v>0.65339000142863013</v>
      </c>
      <c r="DM51" s="170" t="s">
        <v>322</v>
      </c>
    </row>
    <row r="52" spans="2:117" thickTop="1" thickBot="1" x14ac:dyDescent="0.3">
      <c r="X52" s="274" t="s">
        <v>517</v>
      </c>
      <c r="Y52" s="275"/>
      <c r="Z52" s="276" t="s">
        <v>21</v>
      </c>
      <c r="AA52" s="277">
        <f>(1/(1/4+SUM(AD54:AD56)+1/4))</f>
        <v>1.2616822429906542</v>
      </c>
      <c r="AB52" s="275" t="s">
        <v>5</v>
      </c>
      <c r="AC52" s="275"/>
      <c r="AD52" s="275" t="s">
        <v>22</v>
      </c>
      <c r="AE52" s="278">
        <f>SUM(AE54:AE58)</f>
        <v>181020.00000000003</v>
      </c>
      <c r="BC52" s="81" t="s">
        <v>391</v>
      </c>
      <c r="BD52" s="167">
        <v>293</v>
      </c>
      <c r="BE52" s="167">
        <v>2.9399999999999999E-2</v>
      </c>
      <c r="BF52" s="81">
        <v>9948.2000000000007</v>
      </c>
      <c r="BG52" s="81" t="s">
        <v>422</v>
      </c>
      <c r="BH52" s="167">
        <v>2E-16</v>
      </c>
      <c r="BI52" s="81" t="s">
        <v>389</v>
      </c>
      <c r="BQ52" s="81" t="s">
        <v>392</v>
      </c>
      <c r="BR52" s="167">
        <v>293</v>
      </c>
      <c r="BS52" s="167">
        <v>0.214</v>
      </c>
      <c r="BT52" s="81">
        <v>1373.31</v>
      </c>
      <c r="BU52" s="81" t="s">
        <v>422</v>
      </c>
      <c r="BV52" s="167">
        <v>2E-16</v>
      </c>
      <c r="BW52" s="81" t="s">
        <v>389</v>
      </c>
      <c r="BY52" s="178" t="s">
        <v>319</v>
      </c>
      <c r="BZ52" s="178" t="s">
        <v>320</v>
      </c>
      <c r="CA52" s="178" t="s">
        <v>374</v>
      </c>
      <c r="CB52" s="178" t="s">
        <v>323</v>
      </c>
      <c r="CC52" s="177">
        <f>BR96</f>
        <v>221</v>
      </c>
      <c r="CD52" s="178" t="s">
        <v>322</v>
      </c>
      <c r="CU52" s="258" t="s">
        <v>442</v>
      </c>
      <c r="CV52" s="258" t="s">
        <v>413</v>
      </c>
      <c r="CW52" s="259">
        <v>-6.05</v>
      </c>
      <c r="CX52" s="259">
        <v>2.3199999999999998E-2</v>
      </c>
      <c r="CY52" s="258">
        <v>-261.05</v>
      </c>
      <c r="CZ52" s="258" t="s">
        <v>422</v>
      </c>
      <c r="DA52" s="167">
        <v>2E-16</v>
      </c>
      <c r="DB52" s="81" t="s">
        <v>389</v>
      </c>
      <c r="DC52" s="260" t="s">
        <v>467</v>
      </c>
      <c r="DD52" s="266" t="s">
        <v>497</v>
      </c>
      <c r="DE52" s="261" t="s">
        <v>323</v>
      </c>
      <c r="DF52" s="262">
        <f t="shared" si="16"/>
        <v>0.253</v>
      </c>
      <c r="DG52" s="260" t="s">
        <v>322</v>
      </c>
      <c r="DI52" s="170" t="s">
        <v>467</v>
      </c>
      <c r="DJ52" s="297" t="s">
        <v>497</v>
      </c>
      <c r="DK52" s="291" t="s">
        <v>323</v>
      </c>
      <c r="DL52" s="170">
        <f>$O$11*$Z$37*$AP$28</f>
        <v>6.6985047106832396E-2</v>
      </c>
      <c r="DM52" s="170" t="s">
        <v>322</v>
      </c>
    </row>
    <row r="53" spans="2:117" thickTop="1" thickBot="1" x14ac:dyDescent="0.3">
      <c r="X53" s="279"/>
      <c r="Y53" s="234" t="s">
        <v>27</v>
      </c>
      <c r="Z53" s="234" t="s">
        <v>28</v>
      </c>
      <c r="AA53" s="234" t="s">
        <v>29</v>
      </c>
      <c r="AB53" s="234" t="s">
        <v>30</v>
      </c>
      <c r="AC53" s="234" t="s">
        <v>31</v>
      </c>
      <c r="AD53" s="234" t="s">
        <v>32</v>
      </c>
      <c r="AE53" s="280" t="s">
        <v>33</v>
      </c>
      <c r="BC53" s="81" t="s">
        <v>392</v>
      </c>
      <c r="BD53" s="167">
        <v>294</v>
      </c>
      <c r="BE53" s="167">
        <v>4.8099999999999997E-2</v>
      </c>
      <c r="BF53" s="81">
        <v>6117.24</v>
      </c>
      <c r="BG53" s="81" t="s">
        <v>422</v>
      </c>
      <c r="BH53" s="167">
        <v>2E-16</v>
      </c>
      <c r="BI53" s="81" t="s">
        <v>389</v>
      </c>
      <c r="BQ53" s="81" t="s">
        <v>394</v>
      </c>
      <c r="BR53" s="167">
        <v>0.46800000000000003</v>
      </c>
      <c r="BS53" s="167">
        <v>1.24E-2</v>
      </c>
      <c r="BT53" s="81">
        <v>37.76</v>
      </c>
      <c r="BU53" s="81" t="s">
        <v>422</v>
      </c>
      <c r="BV53" s="167">
        <v>2E-16</v>
      </c>
      <c r="BW53" s="81" t="s">
        <v>389</v>
      </c>
      <c r="CU53" s="258" t="s">
        <v>442</v>
      </c>
      <c r="CV53" s="258" t="s">
        <v>414</v>
      </c>
      <c r="CW53" s="259">
        <v>-7.01</v>
      </c>
      <c r="CX53" s="259">
        <v>3.3599999999999998E-2</v>
      </c>
      <c r="CY53" s="258">
        <v>-208.86</v>
      </c>
      <c r="CZ53" s="258" t="s">
        <v>422</v>
      </c>
      <c r="DA53" s="167">
        <v>2E-16</v>
      </c>
      <c r="DB53" s="81" t="s">
        <v>389</v>
      </c>
      <c r="DC53" s="260" t="s">
        <v>467</v>
      </c>
      <c r="DD53" s="266" t="s">
        <v>498</v>
      </c>
      <c r="DE53" s="261" t="s">
        <v>323</v>
      </c>
      <c r="DF53" s="262">
        <f t="shared" si="16"/>
        <v>4.2300000000000004E-12</v>
      </c>
      <c r="DG53" s="260" t="s">
        <v>322</v>
      </c>
      <c r="DI53" s="170" t="s">
        <v>467</v>
      </c>
      <c r="DJ53" s="297" t="s">
        <v>498</v>
      </c>
      <c r="DK53" s="291" t="s">
        <v>323</v>
      </c>
      <c r="DL53" s="170">
        <f>$O$10*$Z$37*$AP$28</f>
        <v>6.5310420929161589E-2</v>
      </c>
      <c r="DM53" s="170" t="s">
        <v>322</v>
      </c>
    </row>
    <row r="54" spans="2:117" thickTop="1" thickBot="1" x14ac:dyDescent="0.3">
      <c r="X54" s="281"/>
      <c r="Y54" s="189" t="s">
        <v>90</v>
      </c>
      <c r="Z54" s="189">
        <v>0.02</v>
      </c>
      <c r="AA54" s="189">
        <v>0.6</v>
      </c>
      <c r="AB54" s="189">
        <v>975</v>
      </c>
      <c r="AC54" s="189">
        <v>840</v>
      </c>
      <c r="AD54" s="236">
        <f>Z54/AA54</f>
        <v>3.3333333333333333E-2</v>
      </c>
      <c r="AE54" s="282">
        <f>Z54*AB54*AC54</f>
        <v>16380</v>
      </c>
      <c r="AO54" s="170" t="s">
        <v>376</v>
      </c>
      <c r="AP54" s="170">
        <f>SUM(AP42,AP4:AP7)</f>
        <v>1</v>
      </c>
      <c r="AQ54" s="170"/>
      <c r="BC54" s="81" t="s">
        <v>394</v>
      </c>
      <c r="BD54" s="167">
        <v>0.44900000000000001</v>
      </c>
      <c r="BE54" s="167">
        <v>1.77E-2</v>
      </c>
      <c r="BF54" s="81">
        <v>25.4</v>
      </c>
      <c r="BG54" s="81" t="s">
        <v>422</v>
      </c>
      <c r="BH54" s="167">
        <v>2E-16</v>
      </c>
      <c r="BI54" s="81" t="s">
        <v>389</v>
      </c>
      <c r="BQ54" s="81" t="s">
        <v>395</v>
      </c>
      <c r="BR54" s="167">
        <v>0.14099999999999999</v>
      </c>
      <c r="BS54" s="167">
        <v>2.1800000000000001E-3</v>
      </c>
      <c r="BT54" s="81">
        <v>64.91</v>
      </c>
      <c r="BU54" s="81" t="s">
        <v>422</v>
      </c>
      <c r="BV54" s="167">
        <v>2E-16</v>
      </c>
      <c r="BW54" s="81" t="s">
        <v>389</v>
      </c>
      <c r="CU54" s="258" t="s">
        <v>442</v>
      </c>
      <c r="CV54" s="258" t="s">
        <v>415</v>
      </c>
      <c r="CW54" s="259">
        <v>-6.2</v>
      </c>
      <c r="CX54" s="259">
        <v>2.3300000000000001E-2</v>
      </c>
      <c r="CY54" s="258">
        <v>-266.51</v>
      </c>
      <c r="CZ54" s="258" t="s">
        <v>422</v>
      </c>
      <c r="DA54" s="167">
        <v>2E-16</v>
      </c>
      <c r="DB54" s="81" t="s">
        <v>389</v>
      </c>
      <c r="DC54" s="260" t="s">
        <v>467</v>
      </c>
      <c r="DD54" s="266" t="s">
        <v>499</v>
      </c>
      <c r="DE54" s="261" t="s">
        <v>323</v>
      </c>
      <c r="DF54" s="262">
        <f t="shared" si="16"/>
        <v>2.4899999999999999E-2</v>
      </c>
      <c r="DG54" s="260" t="s">
        <v>322</v>
      </c>
      <c r="DI54" s="170" t="s">
        <v>467</v>
      </c>
      <c r="DJ54" s="297" t="s">
        <v>499</v>
      </c>
      <c r="DK54" s="291" t="s">
        <v>323</v>
      </c>
      <c r="DL54" s="170">
        <f>$O$12*$Z$37*$AP$28</f>
        <v>7.6195491084021849E-2</v>
      </c>
      <c r="DM54" s="170" t="s">
        <v>322</v>
      </c>
    </row>
    <row r="55" spans="2:117" thickTop="1" thickBot="1" x14ac:dyDescent="0.3">
      <c r="X55" s="281"/>
      <c r="Y55" s="199" t="s">
        <v>275</v>
      </c>
      <c r="Z55" s="189">
        <v>0.14000000000000001</v>
      </c>
      <c r="AA55" s="189">
        <v>0.54</v>
      </c>
      <c r="AB55" s="189">
        <v>1400</v>
      </c>
      <c r="AC55" s="199">
        <v>840</v>
      </c>
      <c r="AD55" s="236">
        <f>Z55/AA55</f>
        <v>0.25925925925925924</v>
      </c>
      <c r="AE55" s="190">
        <f>Z55*AB55*AC55</f>
        <v>164640.00000000003</v>
      </c>
      <c r="AO55" s="170" t="s">
        <v>376</v>
      </c>
      <c r="AP55" s="170">
        <f>SUM(AP43,AP26:AP28)</f>
        <v>1</v>
      </c>
      <c r="AQ55" s="170"/>
      <c r="BC55" s="81" t="s">
        <v>395</v>
      </c>
      <c r="BD55" s="167">
        <v>0.111</v>
      </c>
      <c r="BE55" s="167">
        <v>1.1199999999999999E-3</v>
      </c>
      <c r="BF55" s="81">
        <v>99.15</v>
      </c>
      <c r="BG55" s="81" t="s">
        <v>422</v>
      </c>
      <c r="BH55" s="167">
        <v>2E-16</v>
      </c>
      <c r="BI55" s="81" t="s">
        <v>389</v>
      </c>
      <c r="BQ55" s="81" t="s">
        <v>396</v>
      </c>
      <c r="BR55" s="167">
        <v>0.108</v>
      </c>
      <c r="BS55" s="167">
        <v>2.07E-2</v>
      </c>
      <c r="BT55" s="81">
        <v>5.23</v>
      </c>
      <c r="BU55" s="167">
        <v>1.8E-7</v>
      </c>
      <c r="BV55" s="81" t="s">
        <v>389</v>
      </c>
      <c r="CU55" s="258" t="s">
        <v>442</v>
      </c>
      <c r="CV55" s="258" t="s">
        <v>416</v>
      </c>
      <c r="CW55" s="259">
        <v>-6.69</v>
      </c>
      <c r="CX55" s="259">
        <v>2.6800000000000001E-2</v>
      </c>
      <c r="CY55" s="258">
        <v>-249.6</v>
      </c>
      <c r="CZ55" s="258" t="s">
        <v>422</v>
      </c>
      <c r="DA55" s="167">
        <v>2E-16</v>
      </c>
      <c r="DB55" s="81" t="s">
        <v>389</v>
      </c>
      <c r="DC55" s="260" t="s">
        <v>467</v>
      </c>
      <c r="DD55" s="266" t="s">
        <v>500</v>
      </c>
      <c r="DE55" s="261" t="s">
        <v>323</v>
      </c>
      <c r="DF55" s="262">
        <f t="shared" si="16"/>
        <v>0.114</v>
      </c>
      <c r="DG55" s="260" t="s">
        <v>322</v>
      </c>
      <c r="DI55" s="170" t="s">
        <v>467</v>
      </c>
      <c r="DJ55" s="297" t="s">
        <v>500</v>
      </c>
      <c r="DK55" s="291" t="s">
        <v>323</v>
      </c>
      <c r="DL55" s="170">
        <f>$O$13*$Z$37*$AP$28</f>
        <v>6.1961168573819968E-2</v>
      </c>
      <c r="DM55" s="170" t="s">
        <v>322</v>
      </c>
    </row>
    <row r="56" spans="2:117" thickTop="1" thickBot="1" x14ac:dyDescent="0.3">
      <c r="X56" s="283"/>
      <c r="Y56" s="284" t="s">
        <v>273</v>
      </c>
      <c r="Z56" s="285">
        <v>0</v>
      </c>
      <c r="AA56" s="285">
        <v>3.5999999999999997E-2</v>
      </c>
      <c r="AB56" s="285">
        <v>26</v>
      </c>
      <c r="AC56" s="285">
        <v>1470</v>
      </c>
      <c r="AD56" s="286">
        <f>Z56/AA56</f>
        <v>0</v>
      </c>
      <c r="AE56" s="287">
        <f>Z56*AB56*AC56</f>
        <v>0</v>
      </c>
      <c r="AO56" s="170" t="s">
        <v>377</v>
      </c>
      <c r="AP56" s="170">
        <f>SUM(AP46,AP14:AP17)</f>
        <v>0.99999999999999989</v>
      </c>
      <c r="AQ56" s="170"/>
      <c r="BC56" s="81" t="s">
        <v>396</v>
      </c>
      <c r="BD56" s="167">
        <v>0.255</v>
      </c>
      <c r="BE56" s="167">
        <v>1.8100000000000002E-2</v>
      </c>
      <c r="BF56" s="81">
        <v>14.05</v>
      </c>
      <c r="BG56" s="81" t="s">
        <v>422</v>
      </c>
      <c r="BH56" s="167">
        <v>2E-16</v>
      </c>
      <c r="BI56" s="81" t="s">
        <v>389</v>
      </c>
      <c r="BQ56" s="81" t="s">
        <v>397</v>
      </c>
      <c r="BR56" s="167">
        <v>0.28299999999999997</v>
      </c>
      <c r="BS56" s="167">
        <v>6.1999999999999998E-3</v>
      </c>
      <c r="BT56" s="81">
        <v>45.61</v>
      </c>
      <c r="BU56" s="81" t="s">
        <v>422</v>
      </c>
      <c r="BV56" s="167">
        <v>2E-16</v>
      </c>
      <c r="BW56" s="81" t="s">
        <v>389</v>
      </c>
      <c r="CU56" s="258" t="s">
        <v>442</v>
      </c>
      <c r="CV56" s="258" t="s">
        <v>417</v>
      </c>
      <c r="CW56" s="259">
        <v>3.0799999999999998E-3</v>
      </c>
      <c r="CX56" s="259">
        <v>5.7800000000000002E-5</v>
      </c>
      <c r="CY56" s="258">
        <v>53.37</v>
      </c>
      <c r="CZ56" s="258" t="s">
        <v>422</v>
      </c>
      <c r="DA56" s="167">
        <v>2E-16</v>
      </c>
      <c r="DB56" s="81" t="s">
        <v>389</v>
      </c>
      <c r="DC56" s="260" t="s">
        <v>467</v>
      </c>
      <c r="DD56" s="266" t="s">
        <v>501</v>
      </c>
      <c r="DE56" s="261" t="s">
        <v>323</v>
      </c>
      <c r="DF56" s="262">
        <f t="shared" si="16"/>
        <v>0.52500000000000002</v>
      </c>
      <c r="DG56" s="260" t="s">
        <v>322</v>
      </c>
      <c r="DI56" s="170" t="s">
        <v>467</v>
      </c>
      <c r="DJ56" s="297" t="s">
        <v>501</v>
      </c>
      <c r="DK56" s="291" t="s">
        <v>323</v>
      </c>
      <c r="DL56" s="170">
        <f>$O$11*$Z$37*$AP$43</f>
        <v>0.37038790753189688</v>
      </c>
      <c r="DM56" s="170" t="s">
        <v>322</v>
      </c>
    </row>
    <row r="57" spans="2:117" thickTop="1" thickBot="1" x14ac:dyDescent="0.3">
      <c r="AO57" s="170" t="s">
        <v>377</v>
      </c>
      <c r="AP57" s="170">
        <f>SUM(AP47,AP33:AP35)</f>
        <v>0.99999999999999989</v>
      </c>
      <c r="AQ57" s="170"/>
      <c r="BC57" s="81" t="s">
        <v>397</v>
      </c>
      <c r="BD57" s="167">
        <v>0.19800000000000001</v>
      </c>
      <c r="BE57" s="167">
        <v>3.8500000000000001E-3</v>
      </c>
      <c r="BF57" s="81">
        <v>51.44</v>
      </c>
      <c r="BG57" s="81" t="s">
        <v>422</v>
      </c>
      <c r="BH57" s="167">
        <v>2E-16</v>
      </c>
      <c r="BI57" s="81" t="s">
        <v>389</v>
      </c>
      <c r="BQ57" s="81" t="s">
        <v>308</v>
      </c>
      <c r="BR57" s="167">
        <v>990000000</v>
      </c>
      <c r="BS57" s="167">
        <v>65000000</v>
      </c>
      <c r="BT57" s="81">
        <v>15.24</v>
      </c>
      <c r="BU57" s="81" t="s">
        <v>422</v>
      </c>
      <c r="BV57" s="167">
        <v>2E-16</v>
      </c>
      <c r="BW57" s="81" t="s">
        <v>389</v>
      </c>
      <c r="CU57" s="258" t="s">
        <v>442</v>
      </c>
      <c r="CV57" s="258" t="s">
        <v>418</v>
      </c>
      <c r="CW57" s="259">
        <v>116</v>
      </c>
      <c r="CX57" s="259">
        <v>0.83099999999999996</v>
      </c>
      <c r="CY57" s="258">
        <v>139.01</v>
      </c>
      <c r="CZ57" s="258" t="s">
        <v>422</v>
      </c>
      <c r="DA57" s="167">
        <v>2E-16</v>
      </c>
      <c r="DB57" s="81" t="s">
        <v>389</v>
      </c>
      <c r="DC57" s="260" t="s">
        <v>467</v>
      </c>
      <c r="DD57" s="266" t="s">
        <v>502</v>
      </c>
      <c r="DE57" s="261" t="s">
        <v>323</v>
      </c>
      <c r="DF57" s="262">
        <f t="shared" si="16"/>
        <v>1</v>
      </c>
      <c r="DG57" s="260" t="s">
        <v>322</v>
      </c>
      <c r="DI57" s="170" t="s">
        <v>467</v>
      </c>
      <c r="DJ57" s="297" t="s">
        <v>502</v>
      </c>
      <c r="DK57" s="291" t="s">
        <v>323</v>
      </c>
      <c r="DL57" s="170">
        <f>$O$10*$Z$37*$AP$43</f>
        <v>0.36112820984359945</v>
      </c>
      <c r="DM57" s="170" t="s">
        <v>322</v>
      </c>
    </row>
    <row r="58" spans="2:117" thickTop="1" thickBot="1" x14ac:dyDescent="0.3">
      <c r="BC58" s="81" t="s">
        <v>308</v>
      </c>
      <c r="BD58" s="167">
        <v>29000000</v>
      </c>
      <c r="BE58" s="167">
        <v>522000</v>
      </c>
      <c r="BF58" s="81">
        <v>55.58</v>
      </c>
      <c r="BG58" s="81" t="s">
        <v>422</v>
      </c>
      <c r="BH58" s="167">
        <v>2E-16</v>
      </c>
      <c r="BI58" s="81" t="s">
        <v>389</v>
      </c>
      <c r="BQ58" s="81" t="s">
        <v>399</v>
      </c>
      <c r="BR58" s="167">
        <v>752000</v>
      </c>
      <c r="BS58" s="167">
        <v>20000</v>
      </c>
      <c r="BT58" s="81">
        <v>37.6</v>
      </c>
      <c r="BU58" s="81" t="s">
        <v>422</v>
      </c>
      <c r="BV58" s="167">
        <v>2E-16</v>
      </c>
      <c r="BW58" s="81" t="s">
        <v>389</v>
      </c>
      <c r="CU58" s="258" t="s">
        <v>442</v>
      </c>
      <c r="CV58" s="258" t="s">
        <v>419</v>
      </c>
      <c r="CW58" s="259">
        <v>5410</v>
      </c>
      <c r="CX58" s="259">
        <v>722</v>
      </c>
      <c r="CY58" s="258">
        <v>7.5</v>
      </c>
      <c r="CZ58" s="259">
        <v>7.4999999999999996E-14</v>
      </c>
      <c r="DA58" s="81" t="s">
        <v>389</v>
      </c>
      <c r="DC58" s="260" t="s">
        <v>467</v>
      </c>
      <c r="DD58" s="266" t="s">
        <v>503</v>
      </c>
      <c r="DE58" s="261" t="s">
        <v>323</v>
      </c>
      <c r="DF58" s="262">
        <f t="shared" si="16"/>
        <v>0.309</v>
      </c>
      <c r="DG58" s="260" t="s">
        <v>322</v>
      </c>
      <c r="DI58" s="170" t="s">
        <v>467</v>
      </c>
      <c r="DJ58" s="297" t="s">
        <v>503</v>
      </c>
      <c r="DK58" s="291" t="s">
        <v>323</v>
      </c>
      <c r="DL58" s="170">
        <f>$O$12*$Z$37*$AP$43</f>
        <v>0.4213162448175326</v>
      </c>
      <c r="DM58" s="170" t="s">
        <v>322</v>
      </c>
    </row>
    <row r="59" spans="2:117" thickTop="1" thickBot="1" x14ac:dyDescent="0.3">
      <c r="BC59" s="81" t="s">
        <v>399</v>
      </c>
      <c r="BD59" s="167">
        <v>858000</v>
      </c>
      <c r="BE59" s="167">
        <v>4620</v>
      </c>
      <c r="BF59" s="81">
        <v>185.74</v>
      </c>
      <c r="BG59" s="81" t="s">
        <v>422</v>
      </c>
      <c r="BH59" s="167">
        <v>2E-16</v>
      </c>
      <c r="BI59" s="81" t="s">
        <v>389</v>
      </c>
      <c r="BQ59" s="81" t="s">
        <v>301</v>
      </c>
      <c r="BR59" s="167">
        <v>8650000</v>
      </c>
      <c r="BS59" s="167">
        <v>780000</v>
      </c>
      <c r="BT59" s="81">
        <v>11.09</v>
      </c>
      <c r="BU59" s="81" t="s">
        <v>422</v>
      </c>
      <c r="BV59" s="167">
        <v>2E-16</v>
      </c>
      <c r="BW59" s="81" t="s">
        <v>389</v>
      </c>
      <c r="CU59" s="258" t="s">
        <v>442</v>
      </c>
      <c r="CV59" s="258" t="s">
        <v>420</v>
      </c>
      <c r="CW59" s="259">
        <v>76.2</v>
      </c>
      <c r="CX59" s="259">
        <v>1.42</v>
      </c>
      <c r="CY59" s="258">
        <v>53.52</v>
      </c>
      <c r="CZ59" s="258" t="s">
        <v>422</v>
      </c>
      <c r="DA59" s="167">
        <v>2E-16</v>
      </c>
      <c r="DB59" s="81" t="s">
        <v>389</v>
      </c>
      <c r="DC59" s="260" t="s">
        <v>467</v>
      </c>
      <c r="DD59" s="266" t="s">
        <v>504</v>
      </c>
      <c r="DE59" s="261" t="s">
        <v>323</v>
      </c>
      <c r="DF59" s="262">
        <f t="shared" si="16"/>
        <v>0.25900000000000001</v>
      </c>
      <c r="DG59" s="260" t="s">
        <v>322</v>
      </c>
      <c r="DI59" s="170" t="s">
        <v>467</v>
      </c>
      <c r="DJ59" s="297" t="s">
        <v>504</v>
      </c>
      <c r="DK59" s="291" t="s">
        <v>323</v>
      </c>
      <c r="DL59" s="170">
        <f>$O$13*$Z$37*$AP$43</f>
        <v>0.34260881446700459</v>
      </c>
      <c r="DM59" s="170" t="s">
        <v>322</v>
      </c>
    </row>
    <row r="60" spans="2:117" thickTop="1" thickBot="1" x14ac:dyDescent="0.3">
      <c r="BC60" s="81" t="s">
        <v>301</v>
      </c>
      <c r="BD60" s="167">
        <v>2990000</v>
      </c>
      <c r="BE60" s="167">
        <v>49000</v>
      </c>
      <c r="BF60" s="81">
        <v>61.12</v>
      </c>
      <c r="BG60" s="81" t="s">
        <v>422</v>
      </c>
      <c r="BH60" s="167">
        <v>2E-16</v>
      </c>
      <c r="BI60" s="81" t="s">
        <v>389</v>
      </c>
      <c r="BQ60" s="81" t="s">
        <v>303</v>
      </c>
      <c r="BR60" s="167">
        <v>17100000</v>
      </c>
      <c r="BS60" s="167">
        <v>4790000</v>
      </c>
      <c r="BT60" s="81">
        <v>3.56</v>
      </c>
      <c r="BU60" s="81">
        <v>3.6999999999999999E-4</v>
      </c>
      <c r="BV60" s="81" t="s">
        <v>389</v>
      </c>
      <c r="DD60" s="266"/>
      <c r="DE60" s="261"/>
      <c r="DF60" s="262"/>
      <c r="DI60" s="170"/>
      <c r="DJ60" s="297"/>
      <c r="DK60" s="291"/>
      <c r="DL60" s="170"/>
      <c r="DM60" s="170"/>
    </row>
    <row r="61" spans="2:117" thickTop="1" thickBot="1" x14ac:dyDescent="0.3">
      <c r="BC61" s="81" t="s">
        <v>303</v>
      </c>
      <c r="BD61" s="167">
        <v>5280000</v>
      </c>
      <c r="BE61" s="167">
        <v>21200</v>
      </c>
      <c r="BF61" s="81">
        <v>249</v>
      </c>
      <c r="BG61" s="81" t="s">
        <v>422</v>
      </c>
      <c r="BH61" s="167">
        <v>2E-16</v>
      </c>
      <c r="BI61" s="81" t="s">
        <v>389</v>
      </c>
      <c r="BQ61" s="81" t="s">
        <v>400</v>
      </c>
      <c r="BR61" s="167">
        <v>-20.100000000000001</v>
      </c>
      <c r="BS61" s="167">
        <v>467</v>
      </c>
      <c r="BT61" s="81">
        <v>-0.04</v>
      </c>
      <c r="BU61" s="81">
        <v>0.96562999999999999</v>
      </c>
      <c r="CU61" s="258" t="s">
        <v>442</v>
      </c>
      <c r="CV61" s="258" t="s">
        <v>433</v>
      </c>
      <c r="CW61" s="258" t="s">
        <v>460</v>
      </c>
      <c r="DC61" s="260" t="s">
        <v>467</v>
      </c>
      <c r="DD61" s="266" t="s">
        <v>344</v>
      </c>
      <c r="DE61" s="261" t="s">
        <v>323</v>
      </c>
      <c r="DF61" s="262">
        <f>CW85</f>
        <v>766000</v>
      </c>
      <c r="DG61" s="260" t="s">
        <v>322</v>
      </c>
      <c r="DI61" s="170" t="s">
        <v>467</v>
      </c>
      <c r="DJ61" s="297" t="s">
        <v>344</v>
      </c>
      <c r="DK61" s="291" t="s">
        <v>323</v>
      </c>
      <c r="DL61" s="295">
        <f>$AP30</f>
        <v>913552.64000000025</v>
      </c>
      <c r="DM61" s="170" t="s">
        <v>322</v>
      </c>
    </row>
    <row r="62" spans="2:117" thickTop="1" thickBot="1" x14ac:dyDescent="0.3">
      <c r="BC62" s="81" t="s">
        <v>400</v>
      </c>
      <c r="BD62" s="167">
        <v>-24.7</v>
      </c>
      <c r="BE62" s="167">
        <v>0.50900000000000001</v>
      </c>
      <c r="BF62" s="81">
        <v>-48.59</v>
      </c>
      <c r="BG62" s="81" t="s">
        <v>422</v>
      </c>
      <c r="BH62" s="167">
        <v>2E-16</v>
      </c>
      <c r="BI62" s="81" t="s">
        <v>389</v>
      </c>
      <c r="BQ62" s="81" t="s">
        <v>401</v>
      </c>
      <c r="BR62" s="167">
        <v>-13.2</v>
      </c>
      <c r="BS62" s="167">
        <v>543</v>
      </c>
      <c r="BT62" s="81">
        <v>-0.02</v>
      </c>
      <c r="BU62" s="81">
        <v>0.98057000000000005</v>
      </c>
      <c r="CU62" s="258" t="s">
        <v>442</v>
      </c>
      <c r="CV62" s="258" t="s">
        <v>380</v>
      </c>
      <c r="DC62" s="260" t="s">
        <v>467</v>
      </c>
      <c r="DD62" s="266" t="s">
        <v>345</v>
      </c>
      <c r="DE62" s="261" t="s">
        <v>323</v>
      </c>
      <c r="DF62" s="262">
        <f>CW86</f>
        <v>8780000</v>
      </c>
      <c r="DG62" s="260" t="s">
        <v>322</v>
      </c>
      <c r="DI62" s="170" t="s">
        <v>467</v>
      </c>
      <c r="DJ62" s="297" t="s">
        <v>345</v>
      </c>
      <c r="DK62" s="291" t="s">
        <v>323</v>
      </c>
      <c r="DL62" s="295">
        <f>$AP31</f>
        <v>14269622.41878036</v>
      </c>
      <c r="DM62" s="170" t="s">
        <v>322</v>
      </c>
    </row>
    <row r="63" spans="2:117" thickTop="1" thickBot="1" x14ac:dyDescent="0.3">
      <c r="BC63" s="81" t="s">
        <v>401</v>
      </c>
      <c r="BD63" s="167">
        <v>-11.8</v>
      </c>
      <c r="BE63" s="167">
        <v>10.6</v>
      </c>
      <c r="BF63" s="81">
        <v>-1.1200000000000001</v>
      </c>
      <c r="BG63" s="81">
        <v>0.26</v>
      </c>
      <c r="BQ63" s="81" t="s">
        <v>402</v>
      </c>
      <c r="BR63" s="167">
        <v>-13.4</v>
      </c>
      <c r="BS63" s="167">
        <v>316</v>
      </c>
      <c r="BT63" s="81">
        <v>-0.04</v>
      </c>
      <c r="BU63" s="81">
        <v>0.96606999999999998</v>
      </c>
      <c r="CU63" s="258" t="s">
        <v>442</v>
      </c>
      <c r="CV63" s="258" t="s">
        <v>381</v>
      </c>
      <c r="CW63" s="258" t="s">
        <v>382</v>
      </c>
      <c r="CX63" s="258" t="s">
        <v>383</v>
      </c>
      <c r="CY63" s="258" t="s">
        <v>384</v>
      </c>
      <c r="CZ63" s="258" t="s">
        <v>385</v>
      </c>
      <c r="DA63" s="81" t="s">
        <v>386</v>
      </c>
      <c r="DC63" s="260" t="s">
        <v>467</v>
      </c>
      <c r="DD63" s="266" t="s">
        <v>346</v>
      </c>
      <c r="DE63" s="261" t="s">
        <v>323</v>
      </c>
      <c r="DF63" s="262">
        <f>CW87</f>
        <v>15100000</v>
      </c>
      <c r="DG63" s="260" t="s">
        <v>322</v>
      </c>
      <c r="DI63" s="170" t="s">
        <v>467</v>
      </c>
      <c r="DJ63" s="297" t="s">
        <v>346</v>
      </c>
      <c r="DK63" s="291" t="s">
        <v>323</v>
      </c>
      <c r="DL63" s="295">
        <f>$AP32</f>
        <v>6811397.2584997322</v>
      </c>
      <c r="DM63" s="170" t="s">
        <v>322</v>
      </c>
    </row>
    <row r="64" spans="2:117" thickTop="1" thickBot="1" x14ac:dyDescent="0.3">
      <c r="BC64" s="81" t="s">
        <v>402</v>
      </c>
      <c r="BD64" s="167">
        <v>-18.3</v>
      </c>
      <c r="BE64" s="167">
        <v>2.2400000000000002</v>
      </c>
      <c r="BF64" s="81">
        <v>-8.19</v>
      </c>
      <c r="BG64" s="167">
        <v>4.4E-16</v>
      </c>
      <c r="BH64" s="81" t="s">
        <v>389</v>
      </c>
      <c r="BQ64" s="81" t="s">
        <v>403</v>
      </c>
      <c r="BR64" s="167">
        <v>-14.3</v>
      </c>
      <c r="BS64" s="167">
        <v>664</v>
      </c>
      <c r="BT64" s="81">
        <v>-0.02</v>
      </c>
      <c r="BU64" s="81">
        <v>0.98280999999999996</v>
      </c>
      <c r="CU64" s="258" t="s">
        <v>442</v>
      </c>
      <c r="CV64" s="258" t="s">
        <v>387</v>
      </c>
      <c r="CW64" s="259">
        <v>289</v>
      </c>
      <c r="CX64" s="259">
        <v>0.28199999999999997</v>
      </c>
      <c r="CY64" s="258">
        <v>1026.26</v>
      </c>
      <c r="CZ64" s="258" t="s">
        <v>422</v>
      </c>
      <c r="DA64" s="167">
        <v>2E-16</v>
      </c>
      <c r="DB64" s="81" t="s">
        <v>389</v>
      </c>
      <c r="DE64" s="261"/>
      <c r="DI64" s="170"/>
      <c r="DJ64" s="170"/>
      <c r="DK64" s="291"/>
      <c r="DL64" s="170"/>
      <c r="DM64" s="170"/>
    </row>
    <row r="65" spans="55:117" thickTop="1" thickBot="1" x14ac:dyDescent="0.3">
      <c r="BC65" s="81" t="s">
        <v>403</v>
      </c>
      <c r="BD65" s="167">
        <v>-16.100000000000001</v>
      </c>
      <c r="BE65" s="167">
        <v>1.95</v>
      </c>
      <c r="BF65" s="81">
        <v>-8.25</v>
      </c>
      <c r="BG65" s="167">
        <v>2.2E-16</v>
      </c>
      <c r="BH65" s="81" t="s">
        <v>389</v>
      </c>
      <c r="BQ65" s="81" t="s">
        <v>405</v>
      </c>
      <c r="BR65" s="167">
        <v>0.23</v>
      </c>
      <c r="BS65" s="167">
        <v>2.3800000000000002E-3</v>
      </c>
      <c r="BT65" s="81">
        <v>96.68</v>
      </c>
      <c r="BU65" s="81" t="s">
        <v>422</v>
      </c>
      <c r="BV65" s="167">
        <v>2E-16</v>
      </c>
      <c r="BW65" s="81" t="s">
        <v>389</v>
      </c>
      <c r="CU65" s="258" t="s">
        <v>442</v>
      </c>
      <c r="CV65" s="258" t="s">
        <v>390</v>
      </c>
      <c r="CW65" s="259">
        <v>285</v>
      </c>
      <c r="CX65" s="259">
        <v>0.33100000000000002</v>
      </c>
      <c r="CY65" s="258">
        <v>860.44</v>
      </c>
      <c r="CZ65" s="258" t="s">
        <v>422</v>
      </c>
      <c r="DA65" s="167">
        <v>2E-16</v>
      </c>
      <c r="DB65" s="81" t="s">
        <v>389</v>
      </c>
      <c r="DC65" s="260" t="s">
        <v>467</v>
      </c>
      <c r="DD65" s="266" t="s">
        <v>347</v>
      </c>
      <c r="DE65" s="261" t="s">
        <v>323</v>
      </c>
      <c r="DF65" s="262">
        <f>CW92</f>
        <v>0.23100000000000001</v>
      </c>
      <c r="DG65" s="260" t="s">
        <v>322</v>
      </c>
      <c r="DI65" s="170" t="s">
        <v>467</v>
      </c>
      <c r="DJ65" s="297" t="s">
        <v>347</v>
      </c>
      <c r="DK65" s="291" t="s">
        <v>323</v>
      </c>
      <c r="DL65" s="170">
        <f>$AP33</f>
        <v>0.11748821429509115</v>
      </c>
      <c r="DM65" s="170" t="s">
        <v>322</v>
      </c>
    </row>
    <row r="66" spans="55:117" thickTop="1" thickBot="1" x14ac:dyDescent="0.3">
      <c r="BC66" s="81" t="s">
        <v>405</v>
      </c>
      <c r="BD66" s="167">
        <v>0.38</v>
      </c>
      <c r="BE66" s="167">
        <v>5.0499999999999998E-3</v>
      </c>
      <c r="BF66" s="81">
        <v>75.36</v>
      </c>
      <c r="BG66" s="81" t="s">
        <v>422</v>
      </c>
      <c r="BH66" s="167">
        <v>2E-16</v>
      </c>
      <c r="BI66" s="81" t="s">
        <v>389</v>
      </c>
      <c r="BQ66" s="81" t="s">
        <v>406</v>
      </c>
      <c r="BR66" s="167">
        <v>4.8599999999999997E-2</v>
      </c>
      <c r="BS66" s="167">
        <v>4.2499999999999998E-4</v>
      </c>
      <c r="BT66" s="81">
        <v>114.51</v>
      </c>
      <c r="BU66" s="81" t="s">
        <v>422</v>
      </c>
      <c r="BV66" s="167">
        <v>2E-16</v>
      </c>
      <c r="BW66" s="81" t="s">
        <v>389</v>
      </c>
      <c r="CU66" s="258" t="s">
        <v>442</v>
      </c>
      <c r="CV66" s="258" t="s">
        <v>391</v>
      </c>
      <c r="CW66" s="259">
        <v>291</v>
      </c>
      <c r="CX66" s="259">
        <v>0.13600000000000001</v>
      </c>
      <c r="CY66" s="258">
        <v>2140.7800000000002</v>
      </c>
      <c r="CZ66" s="258" t="s">
        <v>422</v>
      </c>
      <c r="DA66" s="167">
        <v>2E-16</v>
      </c>
      <c r="DB66" s="81" t="s">
        <v>389</v>
      </c>
      <c r="DC66" s="260" t="s">
        <v>467</v>
      </c>
      <c r="DD66" s="266" t="s">
        <v>348</v>
      </c>
      <c r="DE66" s="261" t="s">
        <v>323</v>
      </c>
      <c r="DF66" s="262">
        <f>CW93</f>
        <v>4.8500000000000001E-2</v>
      </c>
      <c r="DG66" s="260" t="s">
        <v>322</v>
      </c>
      <c r="DI66" s="170" t="s">
        <v>467</v>
      </c>
      <c r="DJ66" s="297" t="s">
        <v>348</v>
      </c>
      <c r="DK66" s="291" t="s">
        <v>323</v>
      </c>
      <c r="DL66" s="170">
        <f>$AP34</f>
        <v>0.11271822911362221</v>
      </c>
      <c r="DM66" s="170" t="s">
        <v>322</v>
      </c>
    </row>
    <row r="67" spans="55:117" thickTop="1" thickBot="1" x14ac:dyDescent="0.3">
      <c r="BC67" s="81" t="s">
        <v>406</v>
      </c>
      <c r="BD67" s="167">
        <v>7.2800000000000004E-2</v>
      </c>
      <c r="BE67" s="167">
        <v>4.1599999999999997E-4</v>
      </c>
      <c r="BF67" s="81">
        <v>175.16</v>
      </c>
      <c r="BG67" s="81" t="s">
        <v>422</v>
      </c>
      <c r="BH67" s="167">
        <v>2E-16</v>
      </c>
      <c r="BI67" s="81" t="s">
        <v>389</v>
      </c>
      <c r="BQ67" s="81" t="s">
        <v>407</v>
      </c>
      <c r="BR67" s="167">
        <v>0.63200000000000001</v>
      </c>
      <c r="BS67" s="167">
        <v>1.03E-2</v>
      </c>
      <c r="BT67" s="81">
        <v>61.45</v>
      </c>
      <c r="BU67" s="81" t="s">
        <v>422</v>
      </c>
      <c r="BV67" s="167">
        <v>2E-16</v>
      </c>
      <c r="BW67" s="81" t="s">
        <v>389</v>
      </c>
      <c r="CU67" s="258" t="s">
        <v>442</v>
      </c>
      <c r="CV67" s="258" t="s">
        <v>392</v>
      </c>
      <c r="CW67" s="259">
        <v>293</v>
      </c>
      <c r="CX67" s="259">
        <v>0.21199999999999999</v>
      </c>
      <c r="CY67" s="258">
        <v>1381.05</v>
      </c>
      <c r="CZ67" s="258" t="s">
        <v>422</v>
      </c>
      <c r="DA67" s="167">
        <v>2E-16</v>
      </c>
      <c r="DB67" s="81" t="s">
        <v>389</v>
      </c>
      <c r="DC67" s="260" t="s">
        <v>467</v>
      </c>
      <c r="DD67" s="266" t="s">
        <v>350</v>
      </c>
      <c r="DE67" s="261" t="s">
        <v>323</v>
      </c>
      <c r="DF67" s="262">
        <f>CW94</f>
        <v>0.64</v>
      </c>
      <c r="DG67" s="260" t="s">
        <v>322</v>
      </c>
      <c r="DI67" s="170" t="s">
        <v>467</v>
      </c>
      <c r="DJ67" s="297" t="s">
        <v>350</v>
      </c>
      <c r="DK67" s="291" t="s">
        <v>323</v>
      </c>
      <c r="DL67" s="170">
        <f>$AP35</f>
        <v>0.71068910326172852</v>
      </c>
      <c r="DM67" s="170" t="s">
        <v>322</v>
      </c>
    </row>
    <row r="68" spans="55:117" thickTop="1" thickBot="1" x14ac:dyDescent="0.3">
      <c r="BC68" s="81" t="s">
        <v>407</v>
      </c>
      <c r="BD68" s="167">
        <v>0.41799999999999998</v>
      </c>
      <c r="BE68" s="167">
        <v>5.2300000000000003E-3</v>
      </c>
      <c r="BF68" s="81">
        <v>79.87</v>
      </c>
      <c r="BG68" s="81" t="s">
        <v>422</v>
      </c>
      <c r="BH68" s="167">
        <v>2E-16</v>
      </c>
      <c r="BI68" s="81" t="s">
        <v>389</v>
      </c>
      <c r="BQ68" s="81" t="s">
        <v>408</v>
      </c>
      <c r="BR68" s="167">
        <v>7.3200000000000001E-2</v>
      </c>
      <c r="BS68" s="167">
        <v>1.1100000000000001E-3</v>
      </c>
      <c r="BT68" s="81">
        <v>65.86</v>
      </c>
      <c r="BU68" s="81" t="s">
        <v>422</v>
      </c>
      <c r="BV68" s="167">
        <v>2E-16</v>
      </c>
      <c r="BW68" s="81" t="s">
        <v>389</v>
      </c>
      <c r="CU68" s="258" t="s">
        <v>442</v>
      </c>
      <c r="CV68" s="258" t="s">
        <v>444</v>
      </c>
      <c r="CW68" s="259">
        <v>0.20200000000000001</v>
      </c>
      <c r="CX68" s="259">
        <v>7.9100000000000004E-2</v>
      </c>
      <c r="CY68" s="258">
        <v>2.56</v>
      </c>
      <c r="CZ68" s="258">
        <v>1.0619999999999999E-2</v>
      </c>
      <c r="DA68" s="81" t="s">
        <v>434</v>
      </c>
      <c r="DC68" s="260" t="s">
        <v>467</v>
      </c>
      <c r="DD68" s="266" t="s">
        <v>429</v>
      </c>
      <c r="DE68" s="261" t="s">
        <v>323</v>
      </c>
      <c r="DF68" s="262">
        <f>CW95</f>
        <v>7.3200000000000001E-2</v>
      </c>
      <c r="DG68" s="260" t="s">
        <v>322</v>
      </c>
      <c r="DI68" s="170" t="s">
        <v>467</v>
      </c>
      <c r="DJ68" s="297" t="s">
        <v>429</v>
      </c>
      <c r="DK68" s="291" t="s">
        <v>323</v>
      </c>
      <c r="DL68" s="170">
        <f>$AP47</f>
        <v>5.9104453329558007E-2</v>
      </c>
      <c r="DM68" s="170" t="s">
        <v>322</v>
      </c>
    </row>
    <row r="69" spans="55:117" thickTop="1" thickBot="1" x14ac:dyDescent="0.3">
      <c r="BC69" s="81" t="s">
        <v>408</v>
      </c>
      <c r="BD69" s="167">
        <v>0.126</v>
      </c>
      <c r="BE69" s="167">
        <v>1.1999999999999999E-3</v>
      </c>
      <c r="BF69" s="81">
        <v>104.99</v>
      </c>
      <c r="BG69" s="81" t="s">
        <v>422</v>
      </c>
      <c r="BH69" s="167">
        <v>2E-16</v>
      </c>
      <c r="BI69" s="81" t="s">
        <v>389</v>
      </c>
      <c r="BQ69" s="81" t="s">
        <v>410</v>
      </c>
      <c r="BR69" s="167">
        <v>219</v>
      </c>
      <c r="BS69" s="167">
        <v>4.1900000000000004</v>
      </c>
      <c r="BT69" s="81">
        <v>52.26</v>
      </c>
      <c r="BU69" s="81" t="s">
        <v>422</v>
      </c>
      <c r="BV69" s="167">
        <v>2E-16</v>
      </c>
      <c r="BW69" s="81" t="s">
        <v>389</v>
      </c>
      <c r="CU69" s="258" t="s">
        <v>442</v>
      </c>
      <c r="CV69" s="258" t="s">
        <v>341</v>
      </c>
      <c r="CW69" s="259">
        <v>6.2900000000000003E-7</v>
      </c>
      <c r="CX69" s="259">
        <v>4.5200000000000001E-5</v>
      </c>
      <c r="CY69" s="258">
        <v>0.01</v>
      </c>
      <c r="CZ69" s="258">
        <v>0.98889000000000005</v>
      </c>
      <c r="DE69" s="261"/>
      <c r="DI69" s="170"/>
      <c r="DJ69" s="170"/>
      <c r="DK69" s="291"/>
      <c r="DL69" s="170"/>
      <c r="DM69" s="170"/>
    </row>
    <row r="70" spans="55:117" thickTop="1" thickBot="1" x14ac:dyDescent="0.3">
      <c r="BC70" s="81" t="s">
        <v>410</v>
      </c>
      <c r="BD70" s="167">
        <v>568</v>
      </c>
      <c r="BE70" s="167">
        <v>16.100000000000001</v>
      </c>
      <c r="BF70" s="81">
        <v>35.270000000000003</v>
      </c>
      <c r="BG70" s="81" t="s">
        <v>422</v>
      </c>
      <c r="BH70" s="167">
        <v>2E-16</v>
      </c>
      <c r="BI70" s="81" t="s">
        <v>389</v>
      </c>
      <c r="BQ70" s="81" t="s">
        <v>295</v>
      </c>
      <c r="BR70" s="167">
        <v>85.9</v>
      </c>
      <c r="BS70" s="167">
        <v>0.65300000000000002</v>
      </c>
      <c r="BT70" s="81">
        <v>131.52000000000001</v>
      </c>
      <c r="BU70" s="81" t="s">
        <v>422</v>
      </c>
      <c r="BV70" s="167">
        <v>2E-16</v>
      </c>
      <c r="BW70" s="81" t="s">
        <v>389</v>
      </c>
      <c r="CU70" s="258" t="s">
        <v>442</v>
      </c>
      <c r="CV70" s="258" t="s">
        <v>445</v>
      </c>
      <c r="CW70" s="259">
        <v>0.77700000000000002</v>
      </c>
      <c r="CX70" s="259">
        <v>4.0300000000000002E-2</v>
      </c>
      <c r="CY70" s="258">
        <v>19.27</v>
      </c>
      <c r="CZ70" s="258" t="s">
        <v>422</v>
      </c>
      <c r="DA70" s="167">
        <v>2E-16</v>
      </c>
      <c r="DB70" s="81" t="s">
        <v>389</v>
      </c>
      <c r="DC70" s="260" t="s">
        <v>467</v>
      </c>
      <c r="DD70" s="266" t="s">
        <v>505</v>
      </c>
      <c r="DE70" s="261" t="s">
        <v>323</v>
      </c>
      <c r="DF70" s="262">
        <f>CW96</f>
        <v>218</v>
      </c>
      <c r="DG70" s="260" t="s">
        <v>322</v>
      </c>
      <c r="DI70" s="170" t="s">
        <v>467</v>
      </c>
      <c r="DJ70" s="297" t="s">
        <v>352</v>
      </c>
      <c r="DK70" s="291" t="s">
        <v>323</v>
      </c>
      <c r="DL70" s="170">
        <f>$AP37</f>
        <v>188.24282401004913</v>
      </c>
      <c r="DM70" s="170" t="s">
        <v>322</v>
      </c>
    </row>
    <row r="71" spans="55:117" thickTop="1" thickBot="1" x14ac:dyDescent="0.3">
      <c r="BC71" s="81" t="s">
        <v>295</v>
      </c>
      <c r="BD71" s="167">
        <v>238</v>
      </c>
      <c r="BE71" s="167">
        <v>1.01</v>
      </c>
      <c r="BF71" s="81">
        <v>236.64</v>
      </c>
      <c r="BG71" s="81" t="s">
        <v>422</v>
      </c>
      <c r="BH71" s="167">
        <v>2E-16</v>
      </c>
      <c r="BI71" s="81" t="s">
        <v>389</v>
      </c>
      <c r="BQ71" s="81" t="s">
        <v>120</v>
      </c>
      <c r="BR71" s="167">
        <v>49.4</v>
      </c>
      <c r="BS71" s="167">
        <v>1.8</v>
      </c>
      <c r="BT71" s="81">
        <v>27.51</v>
      </c>
      <c r="BU71" s="81" t="s">
        <v>422</v>
      </c>
      <c r="BV71" s="167">
        <v>2E-16</v>
      </c>
      <c r="BW71" s="81" t="s">
        <v>389</v>
      </c>
      <c r="CU71" s="258" t="s">
        <v>442</v>
      </c>
      <c r="CV71" s="258" t="s">
        <v>446</v>
      </c>
      <c r="CW71" s="259">
        <v>0.65400000000000003</v>
      </c>
      <c r="CX71" s="259">
        <v>6.2899999999999998E-2</v>
      </c>
      <c r="CY71" s="258">
        <v>10.39</v>
      </c>
      <c r="CZ71" s="258" t="s">
        <v>422</v>
      </c>
      <c r="DA71" s="167">
        <v>2E-16</v>
      </c>
      <c r="DB71" s="81" t="s">
        <v>389</v>
      </c>
      <c r="DC71" s="260" t="s">
        <v>467</v>
      </c>
      <c r="DD71" s="266" t="s">
        <v>354</v>
      </c>
      <c r="DE71" s="261" t="s">
        <v>323</v>
      </c>
      <c r="DF71" s="262">
        <f>CW97</f>
        <v>86.2</v>
      </c>
      <c r="DG71" s="260" t="s">
        <v>322</v>
      </c>
      <c r="DI71" s="170" t="s">
        <v>467</v>
      </c>
      <c r="DJ71" s="297" t="s">
        <v>354</v>
      </c>
      <c r="DK71" s="291" t="s">
        <v>323</v>
      </c>
      <c r="DL71" s="170">
        <f>$AP38</f>
        <v>207.84173116760388</v>
      </c>
      <c r="DM71" s="170" t="s">
        <v>322</v>
      </c>
    </row>
    <row r="72" spans="55:117" thickTop="1" thickBot="1" x14ac:dyDescent="0.3">
      <c r="BC72" s="81" t="s">
        <v>120</v>
      </c>
      <c r="BD72" s="167">
        <v>58</v>
      </c>
      <c r="BE72" s="167">
        <v>0.107</v>
      </c>
      <c r="BF72" s="81">
        <v>543.78</v>
      </c>
      <c r="BG72" s="81" t="s">
        <v>422</v>
      </c>
      <c r="BH72" s="167">
        <v>2E-16</v>
      </c>
      <c r="BI72" s="81" t="s">
        <v>389</v>
      </c>
      <c r="BQ72" s="81" t="s">
        <v>412</v>
      </c>
      <c r="BR72" s="167">
        <v>-4.6100000000000003</v>
      </c>
      <c r="BS72" s="167">
        <v>2.1399999999999999E-2</v>
      </c>
      <c r="BT72" s="81">
        <v>-215.25</v>
      </c>
      <c r="BU72" s="81" t="s">
        <v>422</v>
      </c>
      <c r="BV72" s="167">
        <v>2E-16</v>
      </c>
      <c r="BW72" s="81" t="s">
        <v>389</v>
      </c>
      <c r="CU72" s="258" t="s">
        <v>442</v>
      </c>
      <c r="CV72" s="258" t="s">
        <v>447</v>
      </c>
      <c r="CW72" s="259">
        <v>0.23499999999999999</v>
      </c>
      <c r="CX72" s="259">
        <v>1.24E-2</v>
      </c>
      <c r="CY72" s="258">
        <v>18.96</v>
      </c>
      <c r="CZ72" s="258" t="s">
        <v>422</v>
      </c>
      <c r="DA72" s="167">
        <v>2E-16</v>
      </c>
      <c r="DB72" s="81" t="s">
        <v>389</v>
      </c>
      <c r="DC72" s="260" t="s">
        <v>467</v>
      </c>
      <c r="DD72" s="266" t="s">
        <v>355</v>
      </c>
      <c r="DE72" s="261" t="s">
        <v>323</v>
      </c>
      <c r="DF72" s="262">
        <f>CW98</f>
        <v>51.1</v>
      </c>
      <c r="DG72" s="260" t="s">
        <v>322</v>
      </c>
      <c r="DI72" s="170" t="s">
        <v>467</v>
      </c>
      <c r="DJ72" s="297" t="s">
        <v>355</v>
      </c>
      <c r="DK72" s="291" t="s">
        <v>323</v>
      </c>
      <c r="DL72" s="296">
        <f>$AP39</f>
        <v>48.545035604395608</v>
      </c>
      <c r="DM72" s="170" t="s">
        <v>322</v>
      </c>
    </row>
    <row r="73" spans="55:117" thickTop="1" thickBot="1" x14ac:dyDescent="0.3">
      <c r="BC73" s="81" t="s">
        <v>412</v>
      </c>
      <c r="BD73" s="167">
        <v>-15.3</v>
      </c>
      <c r="BE73" s="167">
        <v>0.30099999999999999</v>
      </c>
      <c r="BF73" s="81">
        <v>-50.74</v>
      </c>
      <c r="BG73" s="81" t="s">
        <v>422</v>
      </c>
      <c r="BH73" s="167">
        <v>2E-16</v>
      </c>
      <c r="BI73" s="81" t="s">
        <v>389</v>
      </c>
      <c r="BQ73" s="81" t="s">
        <v>413</v>
      </c>
      <c r="BR73" s="167">
        <v>-4.8499999999999996</v>
      </c>
      <c r="BS73" s="167">
        <v>2.2599999999999999E-2</v>
      </c>
      <c r="BT73" s="81">
        <v>-214.32</v>
      </c>
      <c r="BU73" s="81" t="s">
        <v>422</v>
      </c>
      <c r="BV73" s="167">
        <v>2E-16</v>
      </c>
      <c r="BW73" s="81" t="s">
        <v>389</v>
      </c>
      <c r="CU73" s="258" t="s">
        <v>442</v>
      </c>
      <c r="CV73" s="258" t="s">
        <v>342</v>
      </c>
      <c r="CW73" s="259">
        <v>0.309</v>
      </c>
      <c r="CX73" s="259">
        <v>4.1300000000000003E-2</v>
      </c>
      <c r="CY73" s="258">
        <v>7.48</v>
      </c>
      <c r="CZ73" s="259">
        <v>9.1000000000000004E-14</v>
      </c>
      <c r="DA73" s="81" t="s">
        <v>389</v>
      </c>
      <c r="DC73" s="260" t="s">
        <v>467</v>
      </c>
      <c r="DD73" s="266" t="s">
        <v>357</v>
      </c>
      <c r="DE73" s="261" t="s">
        <v>323</v>
      </c>
      <c r="DF73" s="262">
        <f>1/CW103</f>
        <v>353.35689045936397</v>
      </c>
      <c r="DG73" s="260" t="s">
        <v>322</v>
      </c>
      <c r="DI73" s="170" t="s">
        <v>467</v>
      </c>
      <c r="DJ73" s="297" t="s">
        <v>357</v>
      </c>
      <c r="DK73" s="291" t="s">
        <v>323</v>
      </c>
      <c r="DL73" s="170">
        <f>$AP40</f>
        <v>86.506464647897474</v>
      </c>
      <c r="DM73" s="170" t="s">
        <v>322</v>
      </c>
    </row>
    <row r="74" spans="55:117" thickTop="1" thickBot="1" x14ac:dyDescent="0.3">
      <c r="BC74" s="81" t="s">
        <v>413</v>
      </c>
      <c r="BD74" s="167">
        <v>-5.4</v>
      </c>
      <c r="BE74" s="167">
        <v>2.6700000000000002E-2</v>
      </c>
      <c r="BF74" s="81">
        <v>-202.07</v>
      </c>
      <c r="BG74" s="81" t="s">
        <v>422</v>
      </c>
      <c r="BH74" s="167">
        <v>2E-16</v>
      </c>
      <c r="BI74" s="81" t="s">
        <v>389</v>
      </c>
      <c r="BQ74" s="81" t="s">
        <v>414</v>
      </c>
      <c r="BR74" s="167">
        <v>-5.68</v>
      </c>
      <c r="BS74" s="167">
        <v>2.2200000000000001E-2</v>
      </c>
      <c r="BT74" s="81">
        <v>-255.8</v>
      </c>
      <c r="BU74" s="81" t="s">
        <v>422</v>
      </c>
      <c r="BV74" s="167">
        <v>2E-16</v>
      </c>
      <c r="BW74" s="81" t="s">
        <v>389</v>
      </c>
      <c r="CU74" s="258" t="s">
        <v>442</v>
      </c>
      <c r="CV74" s="258" t="s">
        <v>448</v>
      </c>
      <c r="CW74" s="259">
        <v>0.17599999999999999</v>
      </c>
      <c r="CX74" s="259">
        <v>7.1799999999999998E-3</v>
      </c>
      <c r="CY74" s="258">
        <v>24.43</v>
      </c>
      <c r="CZ74" s="258" t="s">
        <v>422</v>
      </c>
      <c r="DA74" s="167">
        <v>2E-16</v>
      </c>
      <c r="DB74" s="81" t="s">
        <v>389</v>
      </c>
      <c r="DE74" s="261"/>
      <c r="DI74" s="170"/>
      <c r="DJ74" s="170"/>
      <c r="DK74" s="291"/>
      <c r="DL74" s="170"/>
      <c r="DM74" s="170"/>
    </row>
    <row r="75" spans="55:117" thickTop="1" thickBot="1" x14ac:dyDescent="0.3">
      <c r="BC75" s="81" t="s">
        <v>414</v>
      </c>
      <c r="BD75" s="167">
        <v>-7.38</v>
      </c>
      <c r="BE75" s="167">
        <v>2.1499999999999998E-2</v>
      </c>
      <c r="BF75" s="81">
        <v>-343.38</v>
      </c>
      <c r="BG75" s="81" t="s">
        <v>422</v>
      </c>
      <c r="BH75" s="167">
        <v>2E-16</v>
      </c>
      <c r="BI75" s="81" t="s">
        <v>389</v>
      </c>
      <c r="BQ75" s="81" t="s">
        <v>415</v>
      </c>
      <c r="BR75" s="167">
        <v>-5.31</v>
      </c>
      <c r="BS75" s="167">
        <v>2.2599999999999999E-2</v>
      </c>
      <c r="BT75" s="81">
        <v>-234.52</v>
      </c>
      <c r="BU75" s="81" t="s">
        <v>422</v>
      </c>
      <c r="BV75" s="167">
        <v>2E-16</v>
      </c>
      <c r="BW75" s="81" t="s">
        <v>389</v>
      </c>
      <c r="CU75" s="258" t="s">
        <v>442</v>
      </c>
      <c r="CV75" s="258" t="s">
        <v>449</v>
      </c>
      <c r="CW75" s="259">
        <v>0.13</v>
      </c>
      <c r="CX75" s="259">
        <v>1.12E-2</v>
      </c>
      <c r="CY75" s="258">
        <v>11.62</v>
      </c>
      <c r="CZ75" s="258" t="s">
        <v>422</v>
      </c>
      <c r="DA75" s="167">
        <v>2E-16</v>
      </c>
      <c r="DB75" s="81" t="s">
        <v>389</v>
      </c>
      <c r="DC75" s="260" t="s">
        <v>467</v>
      </c>
      <c r="DD75" s="266" t="s">
        <v>424</v>
      </c>
      <c r="DE75" s="261" t="s">
        <v>323</v>
      </c>
      <c r="DF75" s="262">
        <f>CW116</f>
        <v>19200000</v>
      </c>
      <c r="DG75" s="260" t="s">
        <v>322</v>
      </c>
      <c r="DI75" s="170" t="s">
        <v>467</v>
      </c>
      <c r="DJ75" s="297" t="s">
        <v>424</v>
      </c>
      <c r="DK75" s="291" t="s">
        <v>323</v>
      </c>
      <c r="DL75" s="170">
        <f>$AP44</f>
        <v>20420677.500000004</v>
      </c>
      <c r="DM75" s="170" t="s">
        <v>322</v>
      </c>
    </row>
    <row r="76" spans="55:117" thickTop="1" thickBot="1" x14ac:dyDescent="0.3">
      <c r="BC76" s="81" t="s">
        <v>415</v>
      </c>
      <c r="BD76" s="167">
        <v>-6.87</v>
      </c>
      <c r="BE76" s="167">
        <v>1.9699999999999999E-2</v>
      </c>
      <c r="BF76" s="81">
        <v>-347.91</v>
      </c>
      <c r="BG76" s="81" t="s">
        <v>422</v>
      </c>
      <c r="BH76" s="167">
        <v>2E-16</v>
      </c>
      <c r="BI76" s="81" t="s">
        <v>389</v>
      </c>
      <c r="BQ76" s="81" t="s">
        <v>417</v>
      </c>
      <c r="BR76" s="167">
        <v>2.8500000000000001E-3</v>
      </c>
      <c r="BS76" s="167">
        <v>7.6799999999999997E-5</v>
      </c>
      <c r="BT76" s="81">
        <v>37.07</v>
      </c>
      <c r="BU76" s="81" t="s">
        <v>422</v>
      </c>
      <c r="BV76" s="167">
        <v>2E-16</v>
      </c>
      <c r="BW76" s="81" t="s">
        <v>389</v>
      </c>
      <c r="CU76" s="258" t="s">
        <v>442</v>
      </c>
      <c r="CV76" s="258" t="s">
        <v>450</v>
      </c>
      <c r="CW76" s="259">
        <v>0.253</v>
      </c>
      <c r="CX76" s="259">
        <v>0.158</v>
      </c>
      <c r="CY76" s="258">
        <v>1.6</v>
      </c>
      <c r="CZ76" s="258">
        <v>0.1087</v>
      </c>
      <c r="DC76" s="260" t="s">
        <v>467</v>
      </c>
      <c r="DD76" s="266" t="s">
        <v>364</v>
      </c>
      <c r="DE76" s="261" t="s">
        <v>323</v>
      </c>
      <c r="DF76" s="262">
        <f>CW117</f>
        <v>65100000</v>
      </c>
      <c r="DG76" s="260" t="s">
        <v>322</v>
      </c>
      <c r="DI76" s="170" t="s">
        <v>467</v>
      </c>
      <c r="DJ76" s="297" t="s">
        <v>364</v>
      </c>
      <c r="DK76" s="291" t="s">
        <v>323</v>
      </c>
      <c r="DL76" s="170">
        <f>$AP45</f>
        <v>20420677.500000004</v>
      </c>
      <c r="DM76" s="170" t="s">
        <v>322</v>
      </c>
    </row>
    <row r="77" spans="55:117" thickTop="1" thickBot="1" x14ac:dyDescent="0.3">
      <c r="BC77" s="81" t="s">
        <v>417</v>
      </c>
      <c r="BD77" s="167">
        <v>4.64E-3</v>
      </c>
      <c r="BE77" s="167">
        <v>2.4600000000000002E-5</v>
      </c>
      <c r="BF77" s="81">
        <v>188.79</v>
      </c>
      <c r="BG77" s="81" t="s">
        <v>422</v>
      </c>
      <c r="BH77" s="167">
        <v>2E-16</v>
      </c>
      <c r="BI77" s="81" t="s">
        <v>389</v>
      </c>
      <c r="BQ77" s="81" t="s">
        <v>418</v>
      </c>
      <c r="BR77" s="167">
        <v>170</v>
      </c>
      <c r="BS77" s="167">
        <v>1.77</v>
      </c>
      <c r="BT77" s="81">
        <v>96.07</v>
      </c>
      <c r="BU77" s="81" t="s">
        <v>422</v>
      </c>
      <c r="BV77" s="167">
        <v>2E-16</v>
      </c>
      <c r="BW77" s="81" t="s">
        <v>389</v>
      </c>
      <c r="CU77" s="258" t="s">
        <v>442</v>
      </c>
      <c r="CV77" s="258" t="s">
        <v>343</v>
      </c>
      <c r="CW77" s="259">
        <v>4.2300000000000004E-12</v>
      </c>
      <c r="CX77" s="259">
        <v>4.0999999999999998E-10</v>
      </c>
      <c r="CY77" s="258">
        <v>0.01</v>
      </c>
      <c r="CZ77" s="258">
        <v>0.99177999999999999</v>
      </c>
      <c r="DC77" s="260" t="s">
        <v>467</v>
      </c>
      <c r="DD77" s="266" t="s">
        <v>370</v>
      </c>
      <c r="DE77" s="261" t="s">
        <v>323</v>
      </c>
      <c r="DF77" s="262">
        <f>CW122</f>
        <v>198</v>
      </c>
      <c r="DG77" s="260" t="s">
        <v>322</v>
      </c>
      <c r="DI77" s="170" t="s">
        <v>467</v>
      </c>
      <c r="DJ77" s="297" t="s">
        <v>370</v>
      </c>
      <c r="DK77" s="291" t="s">
        <v>323</v>
      </c>
      <c r="DL77" s="170">
        <f>$AP48</f>
        <v>381.09398814563929</v>
      </c>
      <c r="DM77" s="170" t="s">
        <v>322</v>
      </c>
    </row>
    <row r="78" spans="55:117" thickTop="1" thickBot="1" x14ac:dyDescent="0.3">
      <c r="BC78" s="81" t="s">
        <v>418</v>
      </c>
      <c r="BD78" s="167">
        <v>492</v>
      </c>
      <c r="BE78" s="167">
        <v>2.67</v>
      </c>
      <c r="BF78" s="81">
        <v>184.53</v>
      </c>
      <c r="BG78" s="81" t="s">
        <v>422</v>
      </c>
      <c r="BH78" s="167">
        <v>2E-16</v>
      </c>
      <c r="BI78" s="81" t="s">
        <v>389</v>
      </c>
      <c r="BQ78" s="81" t="s">
        <v>419</v>
      </c>
      <c r="BR78" s="167">
        <v>1380</v>
      </c>
      <c r="BS78" s="167">
        <v>946</v>
      </c>
      <c r="BT78" s="81">
        <v>1.46</v>
      </c>
      <c r="BU78" s="81">
        <v>0.14507999999999999</v>
      </c>
      <c r="CU78" s="258" t="s">
        <v>442</v>
      </c>
      <c r="CV78" s="258" t="s">
        <v>451</v>
      </c>
      <c r="CW78" s="259">
        <v>2.4899999999999999E-2</v>
      </c>
      <c r="CX78" s="259">
        <v>8.9399999999999993E-2</v>
      </c>
      <c r="CY78" s="258">
        <v>0.28000000000000003</v>
      </c>
      <c r="CZ78" s="258">
        <v>0.78047</v>
      </c>
      <c r="DC78" s="260" t="s">
        <v>467</v>
      </c>
      <c r="DD78" s="266" t="s">
        <v>372</v>
      </c>
      <c r="DE78" s="261" t="s">
        <v>323</v>
      </c>
      <c r="DF78" s="262">
        <f>CW123</f>
        <v>3.48E-4</v>
      </c>
      <c r="DG78" s="260" t="s">
        <v>322</v>
      </c>
      <c r="DI78" s="170" t="s">
        <v>467</v>
      </c>
      <c r="DJ78" s="297" t="s">
        <v>372</v>
      </c>
      <c r="DK78" s="291" t="s">
        <v>323</v>
      </c>
      <c r="DL78" s="170">
        <f>$AP49</f>
        <v>190.54699407281964</v>
      </c>
      <c r="DM78" s="170" t="s">
        <v>322</v>
      </c>
    </row>
    <row r="79" spans="55:117" thickTop="1" thickBot="1" x14ac:dyDescent="0.3">
      <c r="BC79" s="81" t="s">
        <v>419</v>
      </c>
      <c r="BD79" s="167">
        <v>210</v>
      </c>
      <c r="BE79" s="167">
        <v>7.91</v>
      </c>
      <c r="BF79" s="81">
        <v>26.58</v>
      </c>
      <c r="BG79" s="81" t="s">
        <v>422</v>
      </c>
      <c r="BH79" s="167">
        <v>2E-16</v>
      </c>
      <c r="BI79" s="81" t="s">
        <v>389</v>
      </c>
      <c r="CU79" s="258" t="s">
        <v>442</v>
      </c>
      <c r="CV79" s="258" t="s">
        <v>452</v>
      </c>
      <c r="CW79" s="259">
        <v>0.114</v>
      </c>
      <c r="CX79" s="259">
        <v>0.14199999999999999</v>
      </c>
      <c r="CY79" s="258">
        <v>0.8</v>
      </c>
      <c r="CZ79" s="258">
        <v>0.42087999999999998</v>
      </c>
      <c r="DC79" s="260" t="s">
        <v>467</v>
      </c>
      <c r="DD79" s="266" t="s">
        <v>374</v>
      </c>
      <c r="DE79" s="261" t="s">
        <v>323</v>
      </c>
      <c r="DF79" s="262">
        <f>CW124</f>
        <v>221</v>
      </c>
      <c r="DG79" s="260" t="s">
        <v>322</v>
      </c>
      <c r="DI79" s="170" t="s">
        <v>467</v>
      </c>
      <c r="DJ79" s="297" t="s">
        <v>374</v>
      </c>
      <c r="DK79" s="291" t="s">
        <v>323</v>
      </c>
      <c r="DL79" s="170">
        <f>$AP50</f>
        <v>381.09398814563929</v>
      </c>
      <c r="DM79" s="170" t="s">
        <v>322</v>
      </c>
    </row>
    <row r="80" spans="55:117" thickTop="1" thickBot="1" x14ac:dyDescent="0.3">
      <c r="BQ80" s="81" t="s">
        <v>433</v>
      </c>
      <c r="BR80" s="81" t="s">
        <v>435</v>
      </c>
      <c r="CU80" s="258" t="s">
        <v>442</v>
      </c>
      <c r="CV80" s="258" t="s">
        <v>453</v>
      </c>
      <c r="CW80" s="259">
        <v>0.52500000000000002</v>
      </c>
      <c r="CX80" s="259">
        <v>3.5099999999999999E-2</v>
      </c>
      <c r="CY80" s="258">
        <v>14.97</v>
      </c>
      <c r="CZ80" s="258" t="s">
        <v>422</v>
      </c>
      <c r="DA80" s="167">
        <v>2E-16</v>
      </c>
      <c r="DB80" s="81" t="s">
        <v>389</v>
      </c>
    </row>
    <row r="81" spans="55:106" thickTop="1" thickBot="1" x14ac:dyDescent="0.3">
      <c r="BQ81" s="81" t="s">
        <v>380</v>
      </c>
      <c r="CU81" s="258" t="s">
        <v>442</v>
      </c>
      <c r="CV81" s="258" t="s">
        <v>454</v>
      </c>
      <c r="CW81" s="259">
        <v>1</v>
      </c>
      <c r="CX81" s="259">
        <v>0.114</v>
      </c>
      <c r="CY81" s="258">
        <v>8.81</v>
      </c>
      <c r="CZ81" s="258" t="s">
        <v>422</v>
      </c>
      <c r="DA81" s="167">
        <v>2E-16</v>
      </c>
      <c r="DB81" s="81" t="s">
        <v>389</v>
      </c>
    </row>
    <row r="82" spans="55:106" thickTop="1" thickBot="1" x14ac:dyDescent="0.3">
      <c r="BD82" s="81" t="s">
        <v>431</v>
      </c>
      <c r="BQ82" s="81" t="s">
        <v>381</v>
      </c>
      <c r="BR82" s="81" t="s">
        <v>382</v>
      </c>
      <c r="BS82" s="81" t="s">
        <v>383</v>
      </c>
      <c r="BT82" s="81" t="s">
        <v>384</v>
      </c>
      <c r="BU82" s="81" t="s">
        <v>385</v>
      </c>
      <c r="BV82" s="81" t="s">
        <v>386</v>
      </c>
      <c r="CU82" s="258" t="s">
        <v>442</v>
      </c>
      <c r="CV82" s="258" t="s">
        <v>455</v>
      </c>
      <c r="CW82" s="259">
        <v>0.309</v>
      </c>
      <c r="CX82" s="259">
        <v>1.9800000000000002E-2</v>
      </c>
      <c r="CY82" s="258">
        <v>15.65</v>
      </c>
      <c r="CZ82" s="258" t="s">
        <v>422</v>
      </c>
      <c r="DA82" s="167">
        <v>2E-16</v>
      </c>
      <c r="DB82" s="81" t="s">
        <v>389</v>
      </c>
    </row>
    <row r="83" spans="55:106" thickTop="1" thickBot="1" x14ac:dyDescent="0.3">
      <c r="BD83" s="167">
        <v>297</v>
      </c>
      <c r="BE83" s="167">
        <v>8.0100000000000005E-2</v>
      </c>
      <c r="BF83" s="81">
        <v>3708.09</v>
      </c>
      <c r="BG83" s="81" t="s">
        <v>388</v>
      </c>
      <c r="BH83" s="81" t="s">
        <v>389</v>
      </c>
      <c r="BQ83" s="81" t="s">
        <v>436</v>
      </c>
      <c r="BR83" s="167">
        <v>290</v>
      </c>
      <c r="BS83" s="167">
        <v>0.36799999999999999</v>
      </c>
      <c r="BT83" s="81">
        <v>790.07</v>
      </c>
      <c r="BU83" s="81" t="s">
        <v>422</v>
      </c>
      <c r="BV83" s="167">
        <v>2E-16</v>
      </c>
      <c r="BW83" s="81" t="s">
        <v>389</v>
      </c>
      <c r="CU83" s="258" t="s">
        <v>442</v>
      </c>
      <c r="CV83" s="258" t="s">
        <v>456</v>
      </c>
      <c r="CW83" s="259">
        <v>0.25900000000000001</v>
      </c>
      <c r="CX83" s="259">
        <v>3.2300000000000002E-2</v>
      </c>
      <c r="CY83" s="258">
        <v>8.02</v>
      </c>
      <c r="CZ83" s="259">
        <v>1.3E-15</v>
      </c>
      <c r="DA83" s="81" t="s">
        <v>389</v>
      </c>
    </row>
    <row r="84" spans="55:106" thickTop="1" thickBot="1" x14ac:dyDescent="0.3">
      <c r="BC84" s="81" t="s">
        <v>423</v>
      </c>
      <c r="BD84" s="167">
        <v>294</v>
      </c>
      <c r="BE84" s="167">
        <v>4.2999999999999997E-2</v>
      </c>
      <c r="BF84" s="81">
        <v>6835.63</v>
      </c>
      <c r="BG84" s="81" t="s">
        <v>388</v>
      </c>
      <c r="BH84" s="81" t="s">
        <v>389</v>
      </c>
      <c r="BQ84" s="81" t="s">
        <v>423</v>
      </c>
      <c r="BR84" s="167">
        <v>292</v>
      </c>
      <c r="BS84" s="167">
        <v>0.36699999999999999</v>
      </c>
      <c r="BT84" s="81">
        <v>796.23</v>
      </c>
      <c r="BU84" s="81" t="s">
        <v>422</v>
      </c>
      <c r="BV84" s="167">
        <v>2E-16</v>
      </c>
      <c r="BW84" s="81" t="s">
        <v>389</v>
      </c>
      <c r="CU84" s="258" t="s">
        <v>442</v>
      </c>
      <c r="CV84" s="258" t="s">
        <v>308</v>
      </c>
      <c r="CW84" s="259">
        <v>990000000</v>
      </c>
      <c r="CX84" s="259">
        <v>160000000</v>
      </c>
      <c r="CY84" s="258">
        <v>6.19</v>
      </c>
      <c r="CZ84" s="259">
        <v>6.6E-10</v>
      </c>
      <c r="DA84" s="81" t="s">
        <v>389</v>
      </c>
    </row>
    <row r="85" spans="55:106" thickTop="1" thickBot="1" x14ac:dyDescent="0.3">
      <c r="BC85" s="81" t="s">
        <v>358</v>
      </c>
      <c r="BD85" s="167">
        <v>0.09</v>
      </c>
      <c r="BE85" s="167">
        <v>1.75E-3</v>
      </c>
      <c r="BF85" s="81">
        <v>51.34</v>
      </c>
      <c r="BG85" s="81" t="s">
        <v>388</v>
      </c>
      <c r="BH85" s="81" t="s">
        <v>389</v>
      </c>
      <c r="BQ85" s="81" t="s">
        <v>358</v>
      </c>
      <c r="BR85" s="167">
        <v>1.24E-7</v>
      </c>
      <c r="BS85" s="167">
        <v>2.21E-6</v>
      </c>
      <c r="BT85" s="81">
        <v>0.06</v>
      </c>
      <c r="BU85" s="81">
        <v>0.96</v>
      </c>
      <c r="CU85" s="258" t="s">
        <v>442</v>
      </c>
      <c r="CV85" s="258" t="s">
        <v>399</v>
      </c>
      <c r="CW85" s="259">
        <v>766000</v>
      </c>
      <c r="CX85" s="259">
        <v>21000</v>
      </c>
      <c r="CY85" s="258">
        <v>36.47</v>
      </c>
      <c r="CZ85" s="258" t="s">
        <v>422</v>
      </c>
      <c r="DA85" s="167">
        <v>2E-16</v>
      </c>
      <c r="DB85" s="81" t="s">
        <v>389</v>
      </c>
    </row>
    <row r="86" spans="55:106" thickTop="1" thickBot="1" x14ac:dyDescent="0.3">
      <c r="BC86" s="81" t="s">
        <v>360</v>
      </c>
      <c r="BD86" s="167">
        <v>0.192</v>
      </c>
      <c r="BE86" s="167">
        <v>3.5400000000000002E-3</v>
      </c>
      <c r="BF86" s="81">
        <v>54.37</v>
      </c>
      <c r="BG86" s="81" t="s">
        <v>388</v>
      </c>
      <c r="BH86" s="81" t="s">
        <v>389</v>
      </c>
      <c r="BQ86" s="81" t="s">
        <v>360</v>
      </c>
      <c r="BR86" s="167">
        <v>4.1799999999999997E-8</v>
      </c>
      <c r="BS86" s="167">
        <v>8.2999999999999999E-7</v>
      </c>
      <c r="BT86" s="81">
        <v>0.05</v>
      </c>
      <c r="BU86" s="81">
        <v>0.96</v>
      </c>
      <c r="CU86" s="258" t="s">
        <v>442</v>
      </c>
      <c r="CV86" s="258" t="s">
        <v>301</v>
      </c>
      <c r="CW86" s="259">
        <v>8780000</v>
      </c>
      <c r="CX86" s="259">
        <v>795000</v>
      </c>
      <c r="CY86" s="258">
        <v>11.04</v>
      </c>
      <c r="CZ86" s="258" t="s">
        <v>422</v>
      </c>
      <c r="DA86" s="167">
        <v>2E-16</v>
      </c>
      <c r="DB86" s="81" t="s">
        <v>389</v>
      </c>
    </row>
    <row r="87" spans="55:106" thickTop="1" thickBot="1" x14ac:dyDescent="0.3">
      <c r="BC87" s="81" t="s">
        <v>424</v>
      </c>
      <c r="BD87" s="167">
        <v>8270000</v>
      </c>
      <c r="BE87" s="167">
        <v>124000</v>
      </c>
      <c r="BF87" s="81">
        <v>66.77</v>
      </c>
      <c r="BG87" s="81" t="s">
        <v>388</v>
      </c>
      <c r="BH87" s="81" t="s">
        <v>389</v>
      </c>
      <c r="BQ87" s="81" t="s">
        <v>424</v>
      </c>
      <c r="BR87" s="167">
        <v>19200000</v>
      </c>
      <c r="BS87" s="167">
        <v>2600000</v>
      </c>
      <c r="BT87" s="81">
        <v>7.38</v>
      </c>
      <c r="BU87" s="167">
        <v>2.0999999999999999E-13</v>
      </c>
      <c r="BV87" s="81" t="s">
        <v>389</v>
      </c>
      <c r="CU87" s="258" t="s">
        <v>442</v>
      </c>
      <c r="CV87" s="258" t="s">
        <v>303</v>
      </c>
      <c r="CW87" s="259">
        <v>15100000</v>
      </c>
      <c r="CX87" s="259">
        <v>4420000</v>
      </c>
      <c r="CY87" s="258">
        <v>3.42</v>
      </c>
      <c r="CZ87" s="258">
        <v>6.3000000000000003E-4</v>
      </c>
      <c r="DA87" s="81" t="s">
        <v>389</v>
      </c>
    </row>
    <row r="88" spans="55:106" thickTop="1" thickBot="1" x14ac:dyDescent="0.3">
      <c r="BC88" s="81" t="s">
        <v>364</v>
      </c>
      <c r="BD88" s="167">
        <v>25000000</v>
      </c>
      <c r="BE88" s="167">
        <v>376000</v>
      </c>
      <c r="BF88" s="81">
        <v>66.52</v>
      </c>
      <c r="BG88" s="81" t="s">
        <v>388</v>
      </c>
      <c r="BH88" s="81" t="s">
        <v>389</v>
      </c>
      <c r="CU88" s="258" t="s">
        <v>442</v>
      </c>
      <c r="CV88" s="258" t="s">
        <v>400</v>
      </c>
      <c r="CW88" s="259">
        <v>-18</v>
      </c>
      <c r="CX88" s="259">
        <v>17.399999999999999</v>
      </c>
      <c r="CY88" s="258">
        <v>-1.03</v>
      </c>
      <c r="CZ88" s="258">
        <v>0.30201</v>
      </c>
    </row>
    <row r="89" spans="55:106" thickTop="1" thickBot="1" x14ac:dyDescent="0.3">
      <c r="BC89" s="81" t="s">
        <v>404</v>
      </c>
      <c r="BD89" s="167">
        <v>3.73</v>
      </c>
      <c r="BE89" s="167">
        <v>1.42</v>
      </c>
      <c r="BF89" s="81">
        <v>2.62</v>
      </c>
      <c r="BG89" s="81">
        <v>8.6999999999999994E-3</v>
      </c>
      <c r="BH89" s="81" t="s">
        <v>425</v>
      </c>
      <c r="BQ89" s="81" t="s">
        <v>364</v>
      </c>
      <c r="BR89" s="167">
        <v>65100000</v>
      </c>
      <c r="BS89" s="167">
        <v>33200000</v>
      </c>
      <c r="BT89" s="81">
        <v>1.96</v>
      </c>
      <c r="BU89" s="81">
        <v>0.05</v>
      </c>
      <c r="BV89" s="81" t="s">
        <v>434</v>
      </c>
      <c r="CU89" s="258" t="s">
        <v>442</v>
      </c>
      <c r="CV89" s="258" t="s">
        <v>401</v>
      </c>
      <c r="CW89" s="259">
        <v>-12.5</v>
      </c>
      <c r="CX89" s="259">
        <v>439</v>
      </c>
      <c r="CY89" s="258">
        <v>-0.03</v>
      </c>
      <c r="CZ89" s="258">
        <v>0.97736000000000001</v>
      </c>
    </row>
    <row r="90" spans="55:106" thickTop="1" thickBot="1" x14ac:dyDescent="0.3">
      <c r="BC90" s="81" t="s">
        <v>426</v>
      </c>
      <c r="BD90" s="167">
        <v>-13.1</v>
      </c>
      <c r="BE90" s="167">
        <v>7.16</v>
      </c>
      <c r="BF90" s="81">
        <v>-1.83</v>
      </c>
      <c r="BG90" s="81">
        <v>6.7599999999999993E-2</v>
      </c>
      <c r="BH90" s="81" t="s">
        <v>427</v>
      </c>
      <c r="BQ90" s="81" t="s">
        <v>404</v>
      </c>
      <c r="BR90" s="167">
        <v>8.17</v>
      </c>
      <c r="BS90" s="167">
        <v>7.2700000000000001E-2</v>
      </c>
      <c r="BT90" s="81">
        <v>112.45</v>
      </c>
      <c r="BU90" s="81" t="s">
        <v>422</v>
      </c>
      <c r="BV90" s="167">
        <v>2E-16</v>
      </c>
      <c r="BW90" s="81" t="s">
        <v>389</v>
      </c>
      <c r="CU90" s="258" t="s">
        <v>442</v>
      </c>
      <c r="CV90" s="258" t="s">
        <v>402</v>
      </c>
      <c r="CW90" s="259">
        <v>-12.7</v>
      </c>
      <c r="CX90" s="259">
        <v>538</v>
      </c>
      <c r="CY90" s="258">
        <v>-0.02</v>
      </c>
      <c r="CZ90" s="258">
        <v>0.98109000000000002</v>
      </c>
    </row>
    <row r="91" spans="55:106" thickTop="1" thickBot="1" x14ac:dyDescent="0.3">
      <c r="BC91" s="81" t="s">
        <v>428</v>
      </c>
      <c r="BD91" s="167">
        <v>6.5799999999999997E-2</v>
      </c>
      <c r="BE91" s="167">
        <v>7.0699999999999995E-4</v>
      </c>
      <c r="BF91" s="81">
        <v>93.12</v>
      </c>
      <c r="BG91" s="81" t="s">
        <v>388</v>
      </c>
      <c r="BH91" s="81" t="s">
        <v>389</v>
      </c>
      <c r="BQ91" s="81" t="s">
        <v>426</v>
      </c>
      <c r="BR91" s="167">
        <v>7.12</v>
      </c>
      <c r="BS91" s="167">
        <v>0.13500000000000001</v>
      </c>
      <c r="BT91" s="81">
        <v>52.65</v>
      </c>
      <c r="BU91" s="81" t="s">
        <v>422</v>
      </c>
      <c r="BV91" s="167">
        <v>2E-16</v>
      </c>
      <c r="BW91" s="81" t="s">
        <v>389</v>
      </c>
      <c r="CU91" s="258" t="s">
        <v>442</v>
      </c>
      <c r="CV91" s="258" t="s">
        <v>403</v>
      </c>
      <c r="CW91" s="259">
        <v>-12.2</v>
      </c>
      <c r="CX91" s="259">
        <v>64.3</v>
      </c>
      <c r="CY91" s="258">
        <v>-0.19</v>
      </c>
      <c r="CZ91" s="258">
        <v>0.84916999999999998</v>
      </c>
    </row>
    <row r="92" spans="55:106" thickTop="1" thickBot="1" x14ac:dyDescent="0.3">
      <c r="BC92" s="81" t="s">
        <v>429</v>
      </c>
      <c r="BD92" s="167">
        <v>0.11799999999999999</v>
      </c>
      <c r="BE92" s="167">
        <v>1.1299999999999999E-3</v>
      </c>
      <c r="BF92" s="81">
        <v>104.59</v>
      </c>
      <c r="BG92" s="81" t="s">
        <v>388</v>
      </c>
      <c r="BH92" s="81" t="s">
        <v>389</v>
      </c>
      <c r="BQ92" s="81" t="s">
        <v>416</v>
      </c>
      <c r="BR92" s="167">
        <v>-5.0599999999999996</v>
      </c>
      <c r="BS92" s="167">
        <v>5.1200000000000002E-2</v>
      </c>
      <c r="BT92" s="81">
        <v>-98.95</v>
      </c>
      <c r="BU92" s="81" t="s">
        <v>422</v>
      </c>
      <c r="BV92" s="167">
        <v>2E-16</v>
      </c>
      <c r="BW92" s="81" t="s">
        <v>389</v>
      </c>
      <c r="CU92" s="258" t="s">
        <v>442</v>
      </c>
      <c r="CV92" s="258" t="s">
        <v>405</v>
      </c>
      <c r="CW92" s="259">
        <v>0.23100000000000001</v>
      </c>
      <c r="CX92" s="259">
        <v>2.3800000000000002E-3</v>
      </c>
      <c r="CY92" s="258">
        <v>97.12</v>
      </c>
      <c r="CZ92" s="258" t="s">
        <v>422</v>
      </c>
      <c r="DA92" s="167">
        <v>2E-16</v>
      </c>
      <c r="DB92" s="81" t="s">
        <v>389</v>
      </c>
    </row>
    <row r="93" spans="55:106" thickTop="1" thickBot="1" x14ac:dyDescent="0.3">
      <c r="BC93" s="81" t="s">
        <v>416</v>
      </c>
      <c r="BD93" s="167">
        <v>-6.92</v>
      </c>
      <c r="BE93" s="167">
        <v>2.1600000000000001E-2</v>
      </c>
      <c r="BF93" s="81">
        <v>-319.69</v>
      </c>
      <c r="BG93" s="81" t="s">
        <v>388</v>
      </c>
      <c r="BH93" s="81" t="s">
        <v>389</v>
      </c>
      <c r="BQ93" s="81" t="s">
        <v>430</v>
      </c>
      <c r="BR93" s="167">
        <v>-4.8899999999999997</v>
      </c>
      <c r="BS93" s="167">
        <v>3.73E-2</v>
      </c>
      <c r="BT93" s="81">
        <v>-131.12</v>
      </c>
      <c r="BU93" s="81" t="s">
        <v>422</v>
      </c>
      <c r="BV93" s="167">
        <v>2E-16</v>
      </c>
      <c r="BW93" s="81" t="s">
        <v>389</v>
      </c>
      <c r="CU93" s="258" t="s">
        <v>442</v>
      </c>
      <c r="CV93" s="258" t="s">
        <v>406</v>
      </c>
      <c r="CW93" s="259">
        <v>4.8500000000000001E-2</v>
      </c>
      <c r="CX93" s="259">
        <v>4.0299999999999998E-4</v>
      </c>
      <c r="CY93" s="258">
        <v>120.43</v>
      </c>
      <c r="CZ93" s="258" t="s">
        <v>422</v>
      </c>
      <c r="DA93" s="167">
        <v>2E-16</v>
      </c>
      <c r="DB93" s="81" t="s">
        <v>389</v>
      </c>
    </row>
    <row r="94" spans="55:106" thickTop="1" thickBot="1" x14ac:dyDescent="0.3">
      <c r="BC94" s="81" t="s">
        <v>430</v>
      </c>
      <c r="BD94" s="167">
        <v>-6.23</v>
      </c>
      <c r="BE94" s="167">
        <v>3.3000000000000002E-2</v>
      </c>
      <c r="BF94" s="81">
        <v>-188.82</v>
      </c>
      <c r="BG94" s="81" t="s">
        <v>388</v>
      </c>
      <c r="BH94" s="81" t="s">
        <v>389</v>
      </c>
      <c r="BQ94" s="81" t="s">
        <v>370</v>
      </c>
      <c r="BR94" s="167">
        <v>198</v>
      </c>
      <c r="BS94" s="167">
        <v>4.01</v>
      </c>
      <c r="BT94" s="81">
        <v>49.45</v>
      </c>
      <c r="BU94" s="81" t="s">
        <v>422</v>
      </c>
      <c r="BV94" s="167">
        <v>2E-16</v>
      </c>
      <c r="BW94" s="81" t="s">
        <v>389</v>
      </c>
      <c r="CU94" s="258" t="s">
        <v>442</v>
      </c>
      <c r="CV94" s="258" t="s">
        <v>407</v>
      </c>
      <c r="CW94" s="259">
        <v>0.64</v>
      </c>
      <c r="CX94" s="259">
        <v>1.04E-2</v>
      </c>
      <c r="CY94" s="258">
        <v>61.53</v>
      </c>
      <c r="CZ94" s="258" t="s">
        <v>422</v>
      </c>
      <c r="DA94" s="167">
        <v>2E-16</v>
      </c>
      <c r="DB94" s="81" t="s">
        <v>389</v>
      </c>
    </row>
    <row r="95" spans="55:106" thickTop="1" thickBot="1" x14ac:dyDescent="0.3">
      <c r="BC95" s="81" t="s">
        <v>370</v>
      </c>
      <c r="BD95" s="167">
        <v>502</v>
      </c>
      <c r="BE95" s="167">
        <v>7.41</v>
      </c>
      <c r="BF95" s="81">
        <v>67.760000000000005</v>
      </c>
      <c r="BG95" s="81" t="s">
        <v>388</v>
      </c>
      <c r="BH95" s="81" t="s">
        <v>389</v>
      </c>
      <c r="BQ95" s="81" t="s">
        <v>372</v>
      </c>
      <c r="BR95" s="167">
        <v>3.48E-4</v>
      </c>
      <c r="BS95" s="167">
        <v>3.0400000000000002E-3</v>
      </c>
      <c r="BT95" s="81">
        <v>0.11</v>
      </c>
      <c r="BU95" s="81">
        <v>0.91</v>
      </c>
      <c r="CU95" s="258" t="s">
        <v>442</v>
      </c>
      <c r="CV95" s="258" t="s">
        <v>408</v>
      </c>
      <c r="CW95" s="259">
        <v>7.3200000000000001E-2</v>
      </c>
      <c r="CX95" s="259">
        <v>1.07E-3</v>
      </c>
      <c r="CY95" s="258">
        <v>68.22</v>
      </c>
      <c r="CZ95" s="258" t="s">
        <v>422</v>
      </c>
      <c r="DA95" s="167">
        <v>2E-16</v>
      </c>
      <c r="DB95" s="81" t="s">
        <v>389</v>
      </c>
    </row>
    <row r="96" spans="55:106" thickTop="1" thickBot="1" x14ac:dyDescent="0.3">
      <c r="BC96" s="81" t="s">
        <v>372</v>
      </c>
      <c r="BD96" s="167">
        <v>393</v>
      </c>
      <c r="BE96" s="167">
        <v>5.6</v>
      </c>
      <c r="BF96" s="81">
        <v>70.16</v>
      </c>
      <c r="BG96" s="81" t="s">
        <v>388</v>
      </c>
      <c r="BH96" s="81" t="s">
        <v>389</v>
      </c>
      <c r="BQ96" s="81" t="s">
        <v>374</v>
      </c>
      <c r="BR96" s="167">
        <v>221</v>
      </c>
      <c r="BS96" s="167">
        <v>3.53</v>
      </c>
      <c r="BT96" s="81">
        <v>62.76</v>
      </c>
      <c r="BU96" s="81" t="s">
        <v>422</v>
      </c>
      <c r="BV96" s="167">
        <v>2E-16</v>
      </c>
      <c r="BW96" s="81" t="s">
        <v>389</v>
      </c>
      <c r="CU96" s="258" t="s">
        <v>442</v>
      </c>
      <c r="CV96" s="258" t="s">
        <v>410</v>
      </c>
      <c r="CW96" s="259">
        <v>218</v>
      </c>
      <c r="CX96" s="259">
        <v>4.38</v>
      </c>
      <c r="CY96" s="258">
        <v>49.69</v>
      </c>
      <c r="CZ96" s="258" t="s">
        <v>422</v>
      </c>
      <c r="DA96" s="167">
        <v>2E-16</v>
      </c>
      <c r="DB96" s="81" t="s">
        <v>389</v>
      </c>
    </row>
    <row r="97" spans="55:106" thickTop="1" thickBot="1" x14ac:dyDescent="0.3">
      <c r="BC97" s="81" t="s">
        <v>374</v>
      </c>
      <c r="BD97" s="167">
        <v>506</v>
      </c>
      <c r="BE97" s="167">
        <v>2.4900000000000002</v>
      </c>
      <c r="BF97" s="81">
        <v>203.18</v>
      </c>
      <c r="BG97" s="81" t="s">
        <v>388</v>
      </c>
      <c r="BH97" s="81" t="s">
        <v>389</v>
      </c>
      <c r="CU97" s="258" t="s">
        <v>442</v>
      </c>
      <c r="CV97" s="258" t="s">
        <v>295</v>
      </c>
      <c r="CW97" s="259">
        <v>86.2</v>
      </c>
      <c r="CX97" s="259">
        <v>0.67900000000000005</v>
      </c>
      <c r="CY97" s="258">
        <v>127.06</v>
      </c>
      <c r="CZ97" s="258" t="s">
        <v>422</v>
      </c>
      <c r="DA97" s="167">
        <v>2E-16</v>
      </c>
      <c r="DB97" s="81" t="s">
        <v>389</v>
      </c>
    </row>
    <row r="98" spans="55:106" thickTop="1" thickBot="1" x14ac:dyDescent="0.3">
      <c r="CU98" s="258" t="s">
        <v>442</v>
      </c>
      <c r="CV98" s="258" t="s">
        <v>120</v>
      </c>
      <c r="CW98" s="259">
        <v>51.1</v>
      </c>
      <c r="CX98" s="259">
        <v>1.81</v>
      </c>
      <c r="CY98" s="258">
        <v>28.28</v>
      </c>
      <c r="CZ98" s="258" t="s">
        <v>422</v>
      </c>
      <c r="DA98" s="167">
        <v>2E-16</v>
      </c>
      <c r="DB98" s="81" t="s">
        <v>389</v>
      </c>
    </row>
    <row r="99" spans="55:106" thickTop="1" thickBot="1" x14ac:dyDescent="0.3">
      <c r="CU99" s="258" t="s">
        <v>442</v>
      </c>
      <c r="CV99" s="258" t="s">
        <v>412</v>
      </c>
      <c r="CW99" s="259">
        <v>-4.6100000000000003</v>
      </c>
      <c r="CX99" s="259">
        <v>2.1999999999999999E-2</v>
      </c>
      <c r="CY99" s="258">
        <v>-209.33</v>
      </c>
      <c r="CZ99" s="258" t="s">
        <v>422</v>
      </c>
      <c r="DA99" s="167">
        <v>2E-16</v>
      </c>
      <c r="DB99" s="81" t="s">
        <v>389</v>
      </c>
    </row>
    <row r="100" spans="55:106" thickTop="1" thickBot="1" x14ac:dyDescent="0.3">
      <c r="CU100" s="258" t="s">
        <v>442</v>
      </c>
      <c r="CV100" s="258" t="s">
        <v>413</v>
      </c>
      <c r="CW100" s="259">
        <v>-4.8600000000000003</v>
      </c>
      <c r="CX100" s="259">
        <v>2.4500000000000001E-2</v>
      </c>
      <c r="CY100" s="258">
        <v>-198.18</v>
      </c>
      <c r="CZ100" s="258" t="s">
        <v>422</v>
      </c>
      <c r="DA100" s="167">
        <v>2E-16</v>
      </c>
      <c r="DB100" s="81" t="s">
        <v>389</v>
      </c>
    </row>
    <row r="101" spans="55:106" thickTop="1" thickBot="1" x14ac:dyDescent="0.3">
      <c r="CU101" s="258" t="s">
        <v>442</v>
      </c>
      <c r="CV101" s="258" t="s">
        <v>414</v>
      </c>
      <c r="CW101" s="259">
        <v>-5.72</v>
      </c>
      <c r="CX101" s="259">
        <v>2.2599999999999999E-2</v>
      </c>
      <c r="CY101" s="258">
        <v>-252.62</v>
      </c>
      <c r="CZ101" s="258" t="s">
        <v>422</v>
      </c>
      <c r="DA101" s="167">
        <v>2E-16</v>
      </c>
      <c r="DB101" s="81" t="s">
        <v>389</v>
      </c>
    </row>
    <row r="102" spans="55:106" thickTop="1" thickBot="1" x14ac:dyDescent="0.3">
      <c r="CU102" s="258" t="s">
        <v>442</v>
      </c>
      <c r="CV102" s="258" t="s">
        <v>415</v>
      </c>
      <c r="CW102" s="259">
        <v>-5.35</v>
      </c>
      <c r="CX102" s="259">
        <v>2.4400000000000002E-2</v>
      </c>
      <c r="CY102" s="258">
        <v>-219.12</v>
      </c>
      <c r="CZ102" s="258" t="s">
        <v>422</v>
      </c>
      <c r="DA102" s="167">
        <v>2E-16</v>
      </c>
      <c r="DB102" s="81" t="s">
        <v>389</v>
      </c>
    </row>
    <row r="103" spans="55:106" thickTop="1" thickBot="1" x14ac:dyDescent="0.3">
      <c r="CU103" s="258" t="s">
        <v>442</v>
      </c>
      <c r="CV103" s="258" t="s">
        <v>417</v>
      </c>
      <c r="CW103" s="259">
        <v>2.8300000000000001E-3</v>
      </c>
      <c r="CX103" s="259">
        <v>7.9200000000000001E-5</v>
      </c>
      <c r="CY103" s="258">
        <v>35.729999999999997</v>
      </c>
      <c r="CZ103" s="258" t="s">
        <v>422</v>
      </c>
      <c r="DA103" s="167">
        <v>2E-16</v>
      </c>
      <c r="DB103" s="81" t="s">
        <v>389</v>
      </c>
    </row>
    <row r="104" spans="55:106" thickTop="1" thickBot="1" x14ac:dyDescent="0.3">
      <c r="CU104" s="258" t="s">
        <v>442</v>
      </c>
      <c r="CV104" s="258" t="s">
        <v>418</v>
      </c>
      <c r="CW104" s="259">
        <v>171</v>
      </c>
      <c r="CX104" s="259">
        <v>1.87</v>
      </c>
      <c r="CY104" s="258">
        <v>91.34</v>
      </c>
      <c r="CZ104" s="258" t="s">
        <v>422</v>
      </c>
      <c r="DA104" s="167">
        <v>2E-16</v>
      </c>
      <c r="DB104" s="81" t="s">
        <v>389</v>
      </c>
    </row>
    <row r="105" spans="55:106" thickTop="1" thickBot="1" x14ac:dyDescent="0.3">
      <c r="CU105" s="258" t="s">
        <v>442</v>
      </c>
      <c r="CV105" s="258" t="s">
        <v>419</v>
      </c>
      <c r="CW105" s="259">
        <v>934</v>
      </c>
      <c r="CX105" s="259">
        <v>1030</v>
      </c>
      <c r="CY105" s="258">
        <v>0.91</v>
      </c>
      <c r="CZ105" s="258">
        <v>0.36307</v>
      </c>
    </row>
    <row r="106" spans="55:106" thickTop="1" thickBot="1" x14ac:dyDescent="0.3">
      <c r="CU106" s="258" t="s">
        <v>442</v>
      </c>
      <c r="CV106" s="258" t="s">
        <v>461</v>
      </c>
    </row>
    <row r="107" spans="55:106" thickTop="1" thickBot="1" x14ac:dyDescent="0.3">
      <c r="CU107" s="258" t="s">
        <v>442</v>
      </c>
      <c r="CV107" s="258" t="s">
        <v>462</v>
      </c>
      <c r="CW107" s="258" t="s">
        <v>463</v>
      </c>
      <c r="CX107" s="258">
        <v>0</v>
      </c>
      <c r="CY107" s="258" t="s">
        <v>464</v>
      </c>
      <c r="CZ107" s="258">
        <v>1E-3</v>
      </c>
      <c r="DA107" s="81" t="s">
        <v>465</v>
      </c>
      <c r="DB107" s="81">
        <v>0.01</v>
      </c>
    </row>
    <row r="109" spans="55:106" thickTop="1" thickBot="1" x14ac:dyDescent="0.3">
      <c r="CU109" s="258" t="s">
        <v>442</v>
      </c>
      <c r="CV109" s="258" t="s">
        <v>433</v>
      </c>
      <c r="CW109" s="258" t="s">
        <v>435</v>
      </c>
    </row>
    <row r="110" spans="55:106" thickTop="1" thickBot="1" x14ac:dyDescent="0.3">
      <c r="CU110" s="258" t="s">
        <v>442</v>
      </c>
      <c r="CV110" s="258" t="s">
        <v>380</v>
      </c>
    </row>
    <row r="111" spans="55:106" thickTop="1" thickBot="1" x14ac:dyDescent="0.3">
      <c r="CU111" s="258" t="s">
        <v>442</v>
      </c>
      <c r="CV111" s="258" t="s">
        <v>381</v>
      </c>
      <c r="CW111" s="258" t="s">
        <v>382</v>
      </c>
      <c r="CX111" s="258" t="s">
        <v>383</v>
      </c>
      <c r="CY111" s="258" t="s">
        <v>384</v>
      </c>
      <c r="CZ111" s="258" t="s">
        <v>385</v>
      </c>
      <c r="DA111" s="81" t="s">
        <v>386</v>
      </c>
    </row>
    <row r="112" spans="55:106" thickTop="1" thickBot="1" x14ac:dyDescent="0.3">
      <c r="CU112" s="258" t="s">
        <v>442</v>
      </c>
      <c r="CV112" s="258" t="s">
        <v>436</v>
      </c>
      <c r="CW112" s="259">
        <v>290</v>
      </c>
      <c r="CX112" s="259">
        <v>0.36799999999999999</v>
      </c>
      <c r="CY112" s="258">
        <v>790.07</v>
      </c>
      <c r="CZ112" s="258" t="s">
        <v>422</v>
      </c>
      <c r="DA112" s="167">
        <v>2E-16</v>
      </c>
      <c r="DB112" s="81" t="s">
        <v>389</v>
      </c>
    </row>
    <row r="113" spans="99:106" thickTop="1" thickBot="1" x14ac:dyDescent="0.3">
      <c r="CU113" s="258" t="s">
        <v>442</v>
      </c>
      <c r="CV113" s="258" t="s">
        <v>423</v>
      </c>
      <c r="CW113" s="259">
        <v>292</v>
      </c>
      <c r="CX113" s="259">
        <v>0.36699999999999999</v>
      </c>
      <c r="CY113" s="258">
        <v>796.23</v>
      </c>
      <c r="CZ113" s="258" t="s">
        <v>422</v>
      </c>
      <c r="DA113" s="167">
        <v>2E-16</v>
      </c>
      <c r="DB113" s="81" t="s">
        <v>389</v>
      </c>
    </row>
    <row r="114" spans="99:106" thickTop="1" thickBot="1" x14ac:dyDescent="0.3">
      <c r="CU114" s="258" t="s">
        <v>442</v>
      </c>
      <c r="CV114" s="258" t="s">
        <v>358</v>
      </c>
      <c r="CW114" s="259">
        <v>1.24E-7</v>
      </c>
      <c r="CX114" s="259">
        <v>2.21E-6</v>
      </c>
      <c r="CY114" s="258">
        <v>0.06</v>
      </c>
      <c r="CZ114" s="258">
        <v>0.96</v>
      </c>
    </row>
    <row r="115" spans="99:106" thickTop="1" thickBot="1" x14ac:dyDescent="0.3">
      <c r="CU115" s="258" t="s">
        <v>442</v>
      </c>
      <c r="CV115" s="258" t="s">
        <v>360</v>
      </c>
      <c r="CW115" s="259">
        <v>4.1799999999999997E-8</v>
      </c>
      <c r="CX115" s="259">
        <v>8.2999999999999999E-7</v>
      </c>
      <c r="CY115" s="258">
        <v>0.05</v>
      </c>
      <c r="CZ115" s="258">
        <v>0.96</v>
      </c>
    </row>
    <row r="116" spans="99:106" thickTop="1" thickBot="1" x14ac:dyDescent="0.3">
      <c r="CU116" s="258" t="s">
        <v>442</v>
      </c>
      <c r="CV116" s="258" t="s">
        <v>424</v>
      </c>
      <c r="CW116" s="259">
        <v>19200000</v>
      </c>
      <c r="CX116" s="259">
        <v>2600000</v>
      </c>
      <c r="CY116" s="258">
        <v>7.38</v>
      </c>
      <c r="CZ116" s="259">
        <v>2.0999999999999999E-13</v>
      </c>
      <c r="DA116" s="81" t="s">
        <v>389</v>
      </c>
    </row>
    <row r="117" spans="99:106" thickTop="1" thickBot="1" x14ac:dyDescent="0.3">
      <c r="CU117" s="258" t="s">
        <v>442</v>
      </c>
      <c r="CV117" s="258" t="s">
        <v>364</v>
      </c>
      <c r="CW117" s="259">
        <v>65100000</v>
      </c>
      <c r="CX117" s="259">
        <v>33200000</v>
      </c>
      <c r="CY117" s="258">
        <v>1.96</v>
      </c>
      <c r="CZ117" s="258">
        <v>0.05</v>
      </c>
      <c r="DA117" s="81" t="s">
        <v>434</v>
      </c>
    </row>
    <row r="118" spans="99:106" thickTop="1" thickBot="1" x14ac:dyDescent="0.3">
      <c r="CU118" s="258" t="s">
        <v>442</v>
      </c>
      <c r="CV118" s="258" t="s">
        <v>404</v>
      </c>
      <c r="CW118" s="259">
        <v>8.17</v>
      </c>
      <c r="CX118" s="259">
        <v>7.2700000000000001E-2</v>
      </c>
      <c r="CY118" s="258">
        <v>112.45</v>
      </c>
      <c r="CZ118" s="258" t="s">
        <v>422</v>
      </c>
      <c r="DA118" s="167">
        <v>2E-16</v>
      </c>
      <c r="DB118" s="81" t="s">
        <v>389</v>
      </c>
    </row>
    <row r="119" spans="99:106" thickTop="1" thickBot="1" x14ac:dyDescent="0.3">
      <c r="CU119" s="258" t="s">
        <v>442</v>
      </c>
      <c r="CV119" s="258" t="s">
        <v>426</v>
      </c>
      <c r="CW119" s="259">
        <v>7.12</v>
      </c>
      <c r="CX119" s="259">
        <v>0.13500000000000001</v>
      </c>
      <c r="CY119" s="258">
        <v>52.65</v>
      </c>
      <c r="CZ119" s="258" t="s">
        <v>422</v>
      </c>
      <c r="DA119" s="167">
        <v>2E-16</v>
      </c>
      <c r="DB119" s="81" t="s">
        <v>389</v>
      </c>
    </row>
    <row r="120" spans="99:106" thickTop="1" thickBot="1" x14ac:dyDescent="0.3">
      <c r="CU120" s="258" t="s">
        <v>442</v>
      </c>
      <c r="CV120" s="258" t="s">
        <v>416</v>
      </c>
      <c r="CW120" s="259">
        <v>-5.0599999999999996</v>
      </c>
      <c r="CX120" s="259">
        <v>5.1200000000000002E-2</v>
      </c>
      <c r="CY120" s="258">
        <v>-98.95</v>
      </c>
      <c r="CZ120" s="258" t="s">
        <v>422</v>
      </c>
      <c r="DA120" s="167">
        <v>2E-16</v>
      </c>
      <c r="DB120" s="81" t="s">
        <v>389</v>
      </c>
    </row>
    <row r="121" spans="99:106" thickTop="1" thickBot="1" x14ac:dyDescent="0.3">
      <c r="CU121" s="258" t="s">
        <v>442</v>
      </c>
      <c r="CV121" s="258" t="s">
        <v>430</v>
      </c>
      <c r="CW121" s="259">
        <v>-4.8899999999999997</v>
      </c>
      <c r="CX121" s="259">
        <v>3.73E-2</v>
      </c>
      <c r="CY121" s="258">
        <v>-131.12</v>
      </c>
      <c r="CZ121" s="258" t="s">
        <v>422</v>
      </c>
      <c r="DA121" s="167">
        <v>2E-16</v>
      </c>
      <c r="DB121" s="81" t="s">
        <v>389</v>
      </c>
    </row>
    <row r="122" spans="99:106" thickTop="1" thickBot="1" x14ac:dyDescent="0.3">
      <c r="CU122" s="258" t="s">
        <v>442</v>
      </c>
      <c r="CV122" s="258" t="s">
        <v>370</v>
      </c>
      <c r="CW122" s="259">
        <v>198</v>
      </c>
      <c r="CX122" s="259">
        <v>4.01</v>
      </c>
      <c r="CY122" s="258">
        <v>49.45</v>
      </c>
      <c r="CZ122" s="258" t="s">
        <v>422</v>
      </c>
      <c r="DA122" s="167">
        <v>2E-16</v>
      </c>
      <c r="DB122" s="81" t="s">
        <v>389</v>
      </c>
    </row>
    <row r="123" spans="99:106" thickTop="1" thickBot="1" x14ac:dyDescent="0.3">
      <c r="CU123" s="258" t="s">
        <v>442</v>
      </c>
      <c r="CV123" s="258" t="s">
        <v>372</v>
      </c>
      <c r="CW123" s="259">
        <v>3.48E-4</v>
      </c>
      <c r="CX123" s="259">
        <v>3.0400000000000002E-3</v>
      </c>
      <c r="CY123" s="258">
        <v>0.11</v>
      </c>
      <c r="CZ123" s="258">
        <v>0.91</v>
      </c>
    </row>
    <row r="124" spans="99:106" thickTop="1" thickBot="1" x14ac:dyDescent="0.3">
      <c r="CU124" s="258" t="s">
        <v>442</v>
      </c>
      <c r="CV124" s="258" t="s">
        <v>374</v>
      </c>
      <c r="CW124" s="259">
        <v>221</v>
      </c>
      <c r="CX124" s="259">
        <v>3.53</v>
      </c>
      <c r="CY124" s="258">
        <v>62.76</v>
      </c>
      <c r="CZ124" s="258" t="s">
        <v>422</v>
      </c>
      <c r="DA124" s="167">
        <v>2E-16</v>
      </c>
      <c r="DB124" s="81" t="s">
        <v>389</v>
      </c>
    </row>
  </sheetData>
  <mergeCells count="8">
    <mergeCell ref="E36:F36"/>
    <mergeCell ref="A1:G1"/>
    <mergeCell ref="A3:H3"/>
    <mergeCell ref="K3:U3"/>
    <mergeCell ref="W3:AH3"/>
    <mergeCell ref="L4:P4"/>
    <mergeCell ref="E33:F33"/>
    <mergeCell ref="E34:F3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208" workbookViewId="0">
      <selection activeCell="B60" sqref="B60"/>
    </sheetView>
  </sheetViews>
  <sheetFormatPr defaultRowHeight="15" x14ac:dyDescent="0.25"/>
  <cols>
    <col min="1" max="1" width="9.140625" style="3"/>
    <col min="2" max="2" width="16.7109375" style="3" bestFit="1" customWidth="1"/>
    <col min="3" max="3" width="9.140625" style="3"/>
    <col min="4" max="4" width="20" style="3"/>
    <col min="5" max="1025" width="9.140625" style="3"/>
  </cols>
  <sheetData>
    <row r="1" spans="1:25" ht="20.25" customHeight="1" x14ac:dyDescent="0.25">
      <c r="A1" s="310" t="s">
        <v>164</v>
      </c>
      <c r="B1" s="310"/>
      <c r="C1" s="310"/>
      <c r="D1" s="310"/>
      <c r="E1" s="310"/>
      <c r="F1" s="310"/>
      <c r="G1" s="310"/>
      <c r="H1" s="310"/>
      <c r="I1" s="310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x14ac:dyDescent="0.25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x14ac:dyDescent="0.25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75"/>
      <c r="W4" s="75"/>
      <c r="X4" s="75"/>
      <c r="Y4" s="95"/>
    </row>
    <row r="5" spans="1:25" ht="18" customHeight="1" x14ac:dyDescent="0.25">
      <c r="A5" s="9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5"/>
      <c r="U5" s="96"/>
      <c r="V5" s="307" t="s">
        <v>168</v>
      </c>
      <c r="W5" s="307"/>
      <c r="X5" s="307"/>
      <c r="Y5" s="97"/>
    </row>
    <row r="6" spans="1:25" ht="18.75" customHeight="1" x14ac:dyDescent="0.3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75"/>
      <c r="Y6" s="97"/>
    </row>
    <row r="7" spans="1:25" ht="16.5" customHeight="1" x14ac:dyDescent="0.25">
      <c r="A7" s="312" t="s">
        <v>171</v>
      </c>
      <c r="B7" s="312"/>
      <c r="C7" s="312"/>
      <c r="D7" s="312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5"/>
      <c r="U7" s="96"/>
      <c r="V7" s="102">
        <f>B6</f>
        <v>1</v>
      </c>
      <c r="W7" s="103">
        <f>B73</f>
        <v>9196.0032263962603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6585.3095535421808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x14ac:dyDescent="0.25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x14ac:dyDescent="0.25">
      <c r="A12" s="96"/>
      <c r="B12" s="107" t="str">
        <f>'Gebouwgegevens Tabula 2zone'!K6</f>
        <v>W1</v>
      </c>
      <c r="C12" s="108">
        <f>VLOOKUP(B12,'Gebouwgegevens Tabula 2zone'!$K$5:$R$83,3,0)</f>
        <v>1</v>
      </c>
      <c r="D12" s="108" t="str">
        <f>VLOOKUP(B12,'Gebouwgegevens Tabula 2zone'!$K$5:$R$83,4,0)</f>
        <v>Wall External</v>
      </c>
      <c r="E12" s="108">
        <f>VLOOKUP(B12,'Gebouwgegevens Tabula 2zone'!$K$5:$R$83,5,0)</f>
        <v>19.742421874491026</v>
      </c>
      <c r="F12" s="108" t="str">
        <f>VLOOKUP(B12,'Gebouwgegevens Tabula 2zone'!$K$5:$R$83,6,0)</f>
        <v>front</v>
      </c>
      <c r="G12" s="108">
        <f>VLOOKUP(B12,'Gebouwgegevens Tabula 2zone'!$K$5:$R$83,7,0)</f>
        <v>0.99033657090706906</v>
      </c>
      <c r="H12" s="109">
        <f>VLOOKUP(B12,'Gebouwgegevens Tabula 2zone'!$K$5:$R$83,8,0)</f>
        <v>19.551642380584152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x14ac:dyDescent="0.25">
      <c r="A13" s="96"/>
      <c r="B13" s="107" t="str">
        <f>'Gebouwgegevens Tabula 2zone'!K7</f>
        <v>W2</v>
      </c>
      <c r="C13" s="108">
        <f>VLOOKUP(B13,'Gebouwgegevens Tabula 2zone'!$K$5:$R$83,3,0)</f>
        <v>1</v>
      </c>
      <c r="D13" s="108" t="str">
        <f>VLOOKUP(B13,'Gebouwgegevens Tabula 2zone'!$K$5:$R$83,4,0)</f>
        <v>Wall External</v>
      </c>
      <c r="E13" s="108">
        <f>VLOOKUP(B13,'Gebouwgegevens Tabula 2zone'!$K$5:$R$83,5,0)</f>
        <v>34.704039143624534</v>
      </c>
      <c r="F13" s="108" t="str">
        <f>VLOOKUP(B13,'Gebouwgegevens Tabula 2zone'!$K$5:$R$83,6,0)</f>
        <v>right</v>
      </c>
      <c r="G13" s="108">
        <f>VLOOKUP(B13,'Gebouwgegevens Tabula 2zone'!$K$5:$R$83,7,0)</f>
        <v>0.99033657090706906</v>
      </c>
      <c r="H13" s="109">
        <f>VLOOKUP(B13,'Gebouwgegevens Tabula 2zone'!$K$5:$R$83,8,0)</f>
        <v>34.368679122121819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x14ac:dyDescent="0.25">
      <c r="A14" s="96"/>
      <c r="B14" s="107" t="str">
        <f>'Gebouwgegevens Tabula 2zone'!K8</f>
        <v>W3</v>
      </c>
      <c r="C14" s="108">
        <f>VLOOKUP(B14,'Gebouwgegevens Tabula 2zone'!$K$5:$R$83,3,0)</f>
        <v>1</v>
      </c>
      <c r="D14" s="108" t="str">
        <f>VLOOKUP(B14,'Gebouwgegevens Tabula 2zone'!$K$5:$R$83,4,0)</f>
        <v>Wall External</v>
      </c>
      <c r="E14" s="108">
        <f>VLOOKUP(B14,'Gebouwgegevens Tabula 2zone'!$K$5:$R$83,5,0)</f>
        <v>19.742421874491026</v>
      </c>
      <c r="F14" s="108" t="str">
        <f>VLOOKUP(B14,'Gebouwgegevens Tabula 2zone'!$K$5:$R$83,6,0)</f>
        <v>back</v>
      </c>
      <c r="G14" s="108">
        <f>VLOOKUP(B14,'Gebouwgegevens Tabula 2zone'!$K$5:$R$83,7,0)</f>
        <v>0.99033657090706906</v>
      </c>
      <c r="H14" s="109">
        <f>VLOOKUP(B14,'Gebouwgegevens Tabula 2zone'!$K$5:$R$83,8,0)</f>
        <v>19.551642380584152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x14ac:dyDescent="0.25">
      <c r="A15" s="96"/>
      <c r="B15" s="107" t="str">
        <f>'Gebouwgegevens Tabula 2zone'!K9</f>
        <v>W4</v>
      </c>
      <c r="C15" s="108">
        <f>VLOOKUP(B15,'Gebouwgegevens Tabula 2zone'!$K$5:$R$83,3,0)</f>
        <v>1</v>
      </c>
      <c r="D15" s="108" t="str">
        <f>VLOOKUP(B15,'Gebouwgegevens Tabula 2zone'!$K$5:$R$83,4,0)</f>
        <v>Wall External</v>
      </c>
      <c r="E15" s="108">
        <f>VLOOKUP(B15,'Gebouwgegevens Tabula 2zone'!$K$5:$R$83,5,0)</f>
        <v>0</v>
      </c>
      <c r="F15" s="108" t="str">
        <f>VLOOKUP(B15,'Gebouwgegevens Tabula 2zone'!$K$5:$R$83,6,0)</f>
        <v>left</v>
      </c>
      <c r="G15" s="108">
        <f>VLOOKUP(B15,'Gebouwgegevens Tabula 2zone'!$K$5:$R$83,7,0)</f>
        <v>0.99033657090706906</v>
      </c>
      <c r="H15" s="109">
        <f>VLOOKUP(B15,'Gebouwgegevens Tabula 2zone'!$K$5:$R$83,8,0)</f>
        <v>0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x14ac:dyDescent="0.25">
      <c r="A16" s="96"/>
      <c r="B16" s="107" t="str">
        <f>'Gebouwgegevens Tabula 2zone'!K10</f>
        <v>W5</v>
      </c>
      <c r="C16" s="108">
        <f>VLOOKUP(B16,'Gebouwgegevens Tabula 2zone'!$K$5:$R$83,3,0)</f>
        <v>1</v>
      </c>
      <c r="D16" s="108" t="str">
        <f>VLOOKUP(B16,'Gebouwgegevens Tabula 2zone'!$K$5:$R$83,4,0)</f>
        <v>Window</v>
      </c>
      <c r="E16" s="108">
        <f>VLOOKUP(B16,'Gebouwgegevens Tabula 2zone'!$K$5:$R$83,5,0)</f>
        <v>3.9</v>
      </c>
      <c r="F16" s="108" t="str">
        <f>VLOOKUP(B16,'Gebouwgegevens Tabula 2zone'!$K$5:$R$83,6,0)</f>
        <v>front</v>
      </c>
      <c r="G16" s="108">
        <f>VLOOKUP(B16,'Gebouwgegevens Tabula 2zone'!$K$5:$R$83,7,0)</f>
        <v>3.5</v>
      </c>
      <c r="H16" s="109">
        <f>VLOOKUP(B16,'Gebouwgegevens Tabula 2zone'!$K$5:$R$83,8,0)</f>
        <v>13.65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x14ac:dyDescent="0.25">
      <c r="A17" s="96"/>
      <c r="B17" s="107" t="str">
        <f>'Gebouwgegevens Tabula 2zone'!K11</f>
        <v>W6</v>
      </c>
      <c r="C17" s="108">
        <f>VLOOKUP(B17,'Gebouwgegevens Tabula 2zone'!$K$5:$R$83,3,0)</f>
        <v>1</v>
      </c>
      <c r="D17" s="108" t="str">
        <f>VLOOKUP(B17,'Gebouwgegevens Tabula 2zone'!$K$5:$R$83,4,0)</f>
        <v>Window</v>
      </c>
      <c r="E17" s="108">
        <f>VLOOKUP(B17,'Gebouwgegevens Tabula 2zone'!$K$5:$R$83,5,0)</f>
        <v>4</v>
      </c>
      <c r="F17" s="108" t="str">
        <f>VLOOKUP(B17,'Gebouwgegevens Tabula 2zone'!$K$5:$R$83,6,0)</f>
        <v>right</v>
      </c>
      <c r="G17" s="108">
        <f>VLOOKUP(B17,'Gebouwgegevens Tabula 2zone'!$K$5:$R$83,7,0)</f>
        <v>3.5</v>
      </c>
      <c r="H17" s="109">
        <f>VLOOKUP(B17,'Gebouwgegevens Tabula 2zone'!$K$5:$R$83,8,0)</f>
        <v>14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x14ac:dyDescent="0.25">
      <c r="A18" s="96"/>
      <c r="B18" s="107" t="str">
        <f>'Gebouwgegevens Tabula 2zone'!K12</f>
        <v>W7</v>
      </c>
      <c r="C18" s="108">
        <f>VLOOKUP(B18,'Gebouwgegevens Tabula 2zone'!$K$5:$R$83,3,0)</f>
        <v>1</v>
      </c>
      <c r="D18" s="108" t="str">
        <f>VLOOKUP(B18,'Gebouwgegevens Tabula 2zone'!$K$5:$R$83,4,0)</f>
        <v>Window</v>
      </c>
      <c r="E18" s="108">
        <f>VLOOKUP(B18,'Gebouwgegevens Tabula 2zone'!$K$5:$R$83,5,0)</f>
        <v>4.55</v>
      </c>
      <c r="F18" s="108" t="str">
        <f>VLOOKUP(B18,'Gebouwgegevens Tabula 2zone'!$K$5:$R$83,6,0)</f>
        <v>back</v>
      </c>
      <c r="G18" s="108">
        <f>VLOOKUP(B18,'Gebouwgegevens Tabula 2zone'!$K$5:$R$83,7,0)</f>
        <v>3.5</v>
      </c>
      <c r="H18" s="109">
        <f>VLOOKUP(B18,'Gebouwgegevens Tabula 2zone'!$K$5:$R$83,8,0)</f>
        <v>15.924999999999999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15781.312779938442</v>
      </c>
      <c r="X18" s="75" t="s">
        <v>172</v>
      </c>
      <c r="Y18" s="97"/>
    </row>
    <row r="19" spans="1:25" ht="16.5" customHeight="1" x14ac:dyDescent="0.25">
      <c r="A19" s="96"/>
      <c r="B19" s="107" t="str">
        <f>'Gebouwgegevens Tabula 2zone'!K13</f>
        <v>W8</v>
      </c>
      <c r="C19" s="108">
        <f>VLOOKUP(B19,'Gebouwgegevens Tabula 2zone'!$K$5:$R$83,3,0)</f>
        <v>1</v>
      </c>
      <c r="D19" s="108" t="str">
        <f>VLOOKUP(B19,'Gebouwgegevens Tabula 2zone'!$K$5:$R$83,4,0)</f>
        <v>Window</v>
      </c>
      <c r="E19" s="108">
        <f>VLOOKUP(B19,'Gebouwgegevens Tabula 2zone'!$K$5:$R$83,5,0)</f>
        <v>3.7</v>
      </c>
      <c r="F19" s="108" t="str">
        <f>VLOOKUP(B19,'Gebouwgegevens Tabula 2zone'!$K$5:$R$83,6,0)</f>
        <v>left</v>
      </c>
      <c r="G19" s="108">
        <f>VLOOKUP(B19,'Gebouwgegevens Tabula 2zone'!$K$5:$R$83,7,0)</f>
        <v>3.5</v>
      </c>
      <c r="H19" s="109">
        <f>VLOOKUP(B19,'Gebouwgegevens Tabula 2zone'!$K$5:$R$83,8,0)</f>
        <v>12.950000000000001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x14ac:dyDescent="0.25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x14ac:dyDescent="0.25">
      <c r="A21" s="96"/>
      <c r="B21" s="107" t="str">
        <f>'Gebouwgegevens Allacker'!J15</f>
        <v>W10</v>
      </c>
      <c r="C21" s="108">
        <f>VLOOKUP(B21,'Gebouwgegevens Tabula 2zone'!$K$5:$R$83,3,0)</f>
        <v>1</v>
      </c>
      <c r="D21" s="108" t="str">
        <f>VLOOKUP(B21,'Gebouwgegevens Tabula 2zone'!$K$5:$R$83,4,0)</f>
        <v>Roof</v>
      </c>
      <c r="E21" s="108">
        <f>VLOOKUP(B21,'Gebouwgegevens Tabula 2zone'!$K$5:$R$83,5,0)</f>
        <v>0</v>
      </c>
      <c r="F21" s="108">
        <f>VLOOKUP(B21,'Gebouwgegevens Tabula 2zone'!$K$5:$R$83,6,0)</f>
        <v>0</v>
      </c>
      <c r="G21" s="108">
        <f>VLOOKUP(B21,'Gebouwgegevens Tabula 2zone'!$K$5:$R$83,7,0)</f>
        <v>0.84975369458128069</v>
      </c>
      <c r="H21" s="109">
        <f>VLOOKUP(B21,'Gebouwgegevens Tabula 2zone'!$K$5:$R$83,8,0)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10115.603549035886</v>
      </c>
      <c r="X21" s="99"/>
      <c r="Y21" s="99"/>
    </row>
    <row r="22" spans="1:25" ht="16.5" customHeight="1" x14ac:dyDescent="0.25">
      <c r="A22" s="96"/>
      <c r="B22" s="107" t="str">
        <f>'Gebouwgegevens Allacker'!J16</f>
        <v>W11</v>
      </c>
      <c r="C22" s="108">
        <f>VLOOKUP(B22,'Gebouwgegevens Tabula 2zone'!$K$5:$R$83,3,0)</f>
        <v>1</v>
      </c>
      <c r="D22" s="108" t="str">
        <f>VLOOKUP(B22,'Gebouwgegevens Tabula 2zone'!$K$5:$R$83,4,0)</f>
        <v>Door</v>
      </c>
      <c r="E22" s="108">
        <f>VLOOKUP(B22,'Gebouwgegevens Tabula 2zone'!$K$5:$R$83,5,0)</f>
        <v>9.5</v>
      </c>
      <c r="F22" s="108">
        <f>VLOOKUP(B22,'Gebouwgegevens Tabula 2zone'!$K$5:$R$83,6,0)</f>
        <v>0</v>
      </c>
      <c r="G22" s="108">
        <f>VLOOKUP(B22,'Gebouwgegevens Tabula 2zone'!$K$5:$R$83,7,0)</f>
        <v>4</v>
      </c>
      <c r="H22" s="109">
        <f>VLOOKUP(B22,'Gebouwgegevens Tabula 2zone'!$K$5:$R$83,8,0)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x14ac:dyDescent="0.25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x14ac:dyDescent="0.25">
      <c r="A28" s="96"/>
      <c r="B28" s="117" t="s">
        <v>61</v>
      </c>
      <c r="C28" s="118">
        <f>VLOOKUP(B28,'Gebouwgegevens Tabula 2zone'!$K$5:$R$83,3,0)</f>
        <v>1</v>
      </c>
      <c r="D28" s="118" t="str">
        <f>VLOOKUP(B28,'Gebouwgegevens Tabula 2zone'!$K$5:$R$83,4,0)</f>
        <v>Floor</v>
      </c>
      <c r="E28" s="118">
        <f>VLOOKUP(B28,'Gebouwgegevens Tabula 2zone'!$K$5:$R$83,5,0)</f>
        <v>96</v>
      </c>
      <c r="F28" s="118">
        <f>VLOOKUP(B28,'Gebouwgegevens Tabula 2zone'!$K$5:$R$83,7,0)</f>
        <v>0.84168336673346678</v>
      </c>
      <c r="G28" s="119">
        <f>VLOOKUP(B28,'Gebouwgegevens Tabula 2zone'!$K$5:$R$83,8,0)</f>
        <v>80.801603206412807</v>
      </c>
      <c r="H28" s="119">
        <f>N28/F28/29*9*1.45</f>
        <v>0.22961705721968984</v>
      </c>
      <c r="I28" s="118">
        <f>'Gebouwgegevens Tabula 2zone'!O14</f>
        <v>96</v>
      </c>
      <c r="J28" s="117">
        <f>SQRT(I28)*4</f>
        <v>39.191835884530846</v>
      </c>
      <c r="K28" s="117">
        <f>SUM('Gebouwgegevens Tabula 2zone'!Z16:Z19)</f>
        <v>0.23</v>
      </c>
      <c r="L28" s="120">
        <f>I28/(0.5*J28)</f>
        <v>4.8989794855663567</v>
      </c>
      <c r="M28" s="120">
        <f>K28+2*(1/F28)</f>
        <v>2.6061904761904766</v>
      </c>
      <c r="N28" s="121">
        <f>IF(M28&lt;L28,2*2/(PI()*L28+M28)*LN(PI()*L28/M28+1),2/(0.457*L28+M28))</f>
        <v>0.42947746173355472</v>
      </c>
      <c r="O28" s="99"/>
      <c r="P28" s="97"/>
    </row>
    <row r="29" spans="1:25" ht="15.75" customHeight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3">
        <f>1.1*W18</f>
        <v>17359.444057932287</v>
      </c>
    </row>
    <row r="32" spans="1:25" ht="15.75" customHeight="1" x14ac:dyDescent="0.25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x14ac:dyDescent="0.25">
      <c r="A33" s="96"/>
      <c r="B33" s="122" t="s">
        <v>98</v>
      </c>
      <c r="C33" s="123">
        <f>IF(VLOOKUP(B33,'Gebouwgegevens Tabula 2zone'!$K$5:$R$83,2,0)=B$6,VLOOKUP(B33,'Gebouwgegevens Tabula 2zone'!$K$5:$R$83,2,0),VLOOKUP(B33,'Gebouwgegevens Tabula 2zone'!$K$5:$R$83,3,0))</f>
        <v>1</v>
      </c>
      <c r="D33" s="123">
        <f>IF(VLOOKUP(B33,'Gebouwgegevens Tabula 2zone'!$K$5:$R$83,2,0)=B$6,VLOOKUP(B33,'Gebouwgegevens Tabula 2zone'!$K$5:$R$83,3,0),VLOOKUP(B33,'Gebouwgegevens Tabula 2zone'!$K$5:$R$83,2,0))</f>
        <v>2</v>
      </c>
      <c r="E33" s="123" t="str">
        <f>VLOOKUP(B33,'Gebouwgegevens Tabula 2zone'!$K$5:$R$83,4,0)</f>
        <v>Floor internal</v>
      </c>
      <c r="F33" s="123">
        <f>VLOOKUP(B33,'Gebouwgegevens Tabula 2zone'!$K$5:$R$83,5,0)</f>
        <v>89.300000000000011</v>
      </c>
      <c r="G33" s="123">
        <f>VLOOKUP('Verwarming Tabula 2zone'!C33,'Gebouwgegevens Tabula 2zone'!$A$34:$F$45,5,0)</f>
        <v>21</v>
      </c>
      <c r="H33" s="123">
        <f>VLOOKUP('Verwarming Tabula 2zone'!D33,'Gebouwgegevens Tabula 2zone'!$A$34:$F$45,5,0)</f>
        <v>16</v>
      </c>
      <c r="I33" s="123">
        <f>VLOOKUP(B33,'Gebouwgegevens Tabula 2zone'!$K$5:$R$83,7,0)</f>
        <v>1.4911242603550294</v>
      </c>
      <c r="J33" s="119">
        <f>VLOOKUP(B33,'Gebouwgegevens Tabula 2zone'!$K$5:$R$83,8,0)</f>
        <v>133.15739644970415</v>
      </c>
      <c r="K33" s="119">
        <f>(G33-H33)/(G33-$B$4)</f>
        <v>0.17241379310344829</v>
      </c>
      <c r="L33" s="99"/>
      <c r="M33" s="99"/>
      <c r="N33" s="99"/>
      <c r="O33" s="99"/>
      <c r="P33" s="97"/>
    </row>
    <row r="34" spans="1:16" ht="16.5" customHeight="1" x14ac:dyDescent="0.25">
      <c r="A34" s="96"/>
      <c r="B34" s="122" t="s">
        <v>101</v>
      </c>
      <c r="C34" s="123">
        <f>IF(VLOOKUP(B34,'Gebouwgegevens Tabula 2zone'!$K$5:$R$83,2,0)=B$6,VLOOKUP(B34,'Gebouwgegevens Tabula 2zone'!$K$5:$R$83,2,0),VLOOKUP(B34,'Gebouwgegevens Tabula 2zone'!$K$5:$R$83,3,0))</f>
        <v>1</v>
      </c>
      <c r="D34" s="123">
        <f>IF(VLOOKUP(B34,'Gebouwgegevens Tabula 2zone'!$K$5:$R$83,2,0)=B$6,VLOOKUP(B34,'Gebouwgegevens Tabula 2zone'!$K$5:$R$83,3,0),VLOOKUP(B34,'Gebouwgegevens Tabula 2zone'!$K$5:$R$83,2,0))</f>
        <v>1</v>
      </c>
      <c r="E34" s="123" t="str">
        <f>VLOOKUP(B34,'Gebouwgegevens Tabula 2zone'!$K$5:$R$83,4,0)</f>
        <v>Wall internal</v>
      </c>
      <c r="F34" s="123">
        <f>VLOOKUP(B34,'Gebouwgegevens Tabula 2zone'!$K$5:$R$83,5,0)</f>
        <v>74.188882892606586</v>
      </c>
      <c r="G34" s="123">
        <f>VLOOKUP('Verwarming Tabula 2zone'!C34,'Gebouwgegevens Tabula 2zone'!$A$34:$F$45,5,0)</f>
        <v>21</v>
      </c>
      <c r="H34" s="123">
        <f>VLOOKUP('Verwarming Tabula 2zone'!D34,'Gebouwgegevens Tabula 2zone'!$A$34:$F$45,5,0)</f>
        <v>21</v>
      </c>
      <c r="I34" s="123">
        <f>VLOOKUP(B34,'Gebouwgegevens Tabula 2zone'!$K$5:$R$83,7,0)</f>
        <v>1.7363344051446945</v>
      </c>
      <c r="J34" s="119">
        <f>VLOOKUP(B34,'Gebouwgegevens Tabula 2zone'!$K$5:$R$83,8,0)</f>
        <v>128.81670984568345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x14ac:dyDescent="0.25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x14ac:dyDescent="0.25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x14ac:dyDescent="0.25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x14ac:dyDescent="0.25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SUMPRODUCT(H12:H22,I12:I22)+SUMPRODUCT(G28,H28)+SUMPRODUCT(J33:J38,K33:K38)</f>
        <v>209.50856203185282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6075.7482989237315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x14ac:dyDescent="0.25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x14ac:dyDescent="0.25">
      <c r="A45" s="312" t="s">
        <v>197</v>
      </c>
      <c r="B45" s="312"/>
      <c r="C45" s="312"/>
      <c r="D45" s="126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x14ac:dyDescent="0.25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x14ac:dyDescent="0.25">
      <c r="A48" s="128" t="s">
        <v>199</v>
      </c>
      <c r="B48" s="122">
        <f>'Tabula data'!B34</f>
        <v>12.461695447409735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x14ac:dyDescent="0.25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x14ac:dyDescent="0.25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x14ac:dyDescent="0.25">
      <c r="A51" s="125" t="s">
        <v>205</v>
      </c>
      <c r="B51" s="119">
        <f>B48/20*'Gebouwgegevens Tabula 2zone'!B34</f>
        <v>209.35648351648356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'Gebouwgegevens Tabula 2zone'!G34</f>
        <v>96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209.35648351648356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1.0088399471693776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71.181204395604411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2064.2549274725279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x14ac:dyDescent="0.25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x14ac:dyDescent="0.25">
      <c r="A63" s="312" t="s">
        <v>213</v>
      </c>
      <c r="B63" s="312"/>
      <c r="C63" s="312"/>
      <c r="D63" s="312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x14ac:dyDescent="0.25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x14ac:dyDescent="0.25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x14ac:dyDescent="0.25">
      <c r="A66" s="128" t="s">
        <v>113</v>
      </c>
      <c r="B66" s="122">
        <f>'Gebouwgegevens Tabula 2zone'!B7</f>
        <v>96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x14ac:dyDescent="0.25">
      <c r="A67" s="125" t="s">
        <v>216</v>
      </c>
      <c r="B67" s="119">
        <f>B68/('Gebouwgegevens Tabula'!E35-'Verwarming Tabula 2zone'!$B$4)</f>
        <v>36.413793103448278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1056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x14ac:dyDescent="0.25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x14ac:dyDescent="0.25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x14ac:dyDescent="0.25">
      <c r="A72" s="125" t="s">
        <v>218</v>
      </c>
      <c r="B72" s="119">
        <f>SUM(B42,B60,B67)</f>
        <v>317.1035595309055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9196.0032263962603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x14ac:dyDescent="0.25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x14ac:dyDescent="0.25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x14ac:dyDescent="0.25">
      <c r="A77" s="94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5"/>
    </row>
    <row r="78" spans="1:16" ht="17.25" customHeight="1" x14ac:dyDescent="0.3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x14ac:dyDescent="0.25">
      <c r="A79" s="312" t="s">
        <v>171</v>
      </c>
      <c r="B79" s="312"/>
      <c r="C79" s="312"/>
      <c r="D79" s="312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x14ac:dyDescent="0.25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x14ac:dyDescent="0.25">
      <c r="A84" s="96"/>
      <c r="B84" s="107" t="s">
        <v>71</v>
      </c>
      <c r="C84" s="108">
        <f>VLOOKUP(B84,'Gebouwgegevens Tabula 2zone'!$K$5:$R$83,3,0)</f>
        <v>2</v>
      </c>
      <c r="D84" s="108" t="str">
        <f>VLOOKUP(B84,'Gebouwgegevens Tabula 2zone'!$K$5:$R$83,4,0)</f>
        <v>Wall External</v>
      </c>
      <c r="E84" s="108">
        <f>VLOOKUP(B84,'Gebouwgegevens Tabula 2zone'!$K$5:$R$83,5,0)</f>
        <v>18.364565347833842</v>
      </c>
      <c r="F84" s="108" t="str">
        <f>VLOOKUP(B84,'Gebouwgegevens Tabula 2zone'!$K$5:$R$83,6,0)</f>
        <v>front</v>
      </c>
      <c r="G84" s="108">
        <f>VLOOKUP(B84,'Gebouwgegevens Tabula 2zone'!$K$5:$R$83,7,0)</f>
        <v>0.99033657090706906</v>
      </c>
      <c r="H84" s="109">
        <f>VLOOKUP(B84,'Gebouwgegevens Tabula 2zone'!$K$5:$R$83,8,0)</f>
        <v>18.187100672772555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x14ac:dyDescent="0.25">
      <c r="A85" s="96"/>
      <c r="B85" s="107" t="s">
        <v>75</v>
      </c>
      <c r="C85" s="108">
        <f>VLOOKUP(B85,'Gebouwgegevens Tabula 2zone'!$K$5:$R$83,3,0)</f>
        <v>2</v>
      </c>
      <c r="D85" s="108" t="str">
        <f>VLOOKUP(B85,'Gebouwgegevens Tabula 2zone'!$K$5:$R$83,4,0)</f>
        <v>Wall External</v>
      </c>
      <c r="E85" s="108">
        <f>VLOOKUP(B85,'Gebouwgegevens Tabula 2zone'!$K$5:$R$83,5,0)</f>
        <v>32.281986411725747</v>
      </c>
      <c r="F85" s="108" t="str">
        <f>VLOOKUP(B85,'Gebouwgegevens Tabula 2zone'!$K$5:$R$83,6,0)</f>
        <v>right</v>
      </c>
      <c r="G85" s="108">
        <f>VLOOKUP(B85,'Gebouwgegevens Tabula 2zone'!$K$5:$R$83,7,0)</f>
        <v>0.99033657090706906</v>
      </c>
      <c r="H85" s="109">
        <f>VLOOKUP(B85,'Gebouwgegevens Tabula 2zone'!$K$5:$R$83,8,0)</f>
        <v>31.970031725057076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x14ac:dyDescent="0.25">
      <c r="A86" s="96"/>
      <c r="B86" s="107" t="s">
        <v>79</v>
      </c>
      <c r="C86" s="108">
        <f>VLOOKUP(B86,'Gebouwgegevens Tabula 2zone'!$K$5:$R$83,3,0)</f>
        <v>2</v>
      </c>
      <c r="D86" s="108" t="str">
        <f>VLOOKUP(B86,'Gebouwgegevens Tabula 2zone'!$K$5:$R$83,4,0)</f>
        <v>Wall External</v>
      </c>
      <c r="E86" s="108">
        <f>VLOOKUP(B86,'Gebouwgegevens Tabula 2zone'!$K$5:$R$83,5,0)</f>
        <v>18.364565347833842</v>
      </c>
      <c r="F86" s="108" t="str">
        <f>VLOOKUP(B86,'Gebouwgegevens Tabula 2zone'!$K$5:$R$83,6,0)</f>
        <v>back</v>
      </c>
      <c r="G86" s="108">
        <f>VLOOKUP(B86,'Gebouwgegevens Tabula 2zone'!$K$5:$R$83,7,0)</f>
        <v>0.99033657090706906</v>
      </c>
      <c r="H86" s="109">
        <f>VLOOKUP(B86,'Gebouwgegevens Tabula 2zone'!$K$5:$R$83,8,0)</f>
        <v>18.187100672772555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x14ac:dyDescent="0.25">
      <c r="A87" s="96"/>
      <c r="B87" s="107" t="s">
        <v>82</v>
      </c>
      <c r="C87" s="108">
        <f>VLOOKUP(B87,'Gebouwgegevens Tabula 2zone'!$K$5:$R$83,3,0)</f>
        <v>2</v>
      </c>
      <c r="D87" s="108" t="str">
        <f>VLOOKUP(B87,'Gebouwgegevens Tabula 2zone'!$K$5:$R$83,4,0)</f>
        <v>Wall External</v>
      </c>
      <c r="E87" s="108">
        <f>VLOOKUP(B87,'Gebouwgegevens Tabula 2zone'!$K$5:$R$83,5,0)</f>
        <v>0</v>
      </c>
      <c r="F87" s="108" t="str">
        <f>VLOOKUP(B87,'Gebouwgegevens Tabula 2zone'!$K$5:$R$83,6,0)</f>
        <v>left</v>
      </c>
      <c r="G87" s="108">
        <f>VLOOKUP(B87,'Gebouwgegevens Tabula 2zone'!$K$5:$R$83,7,0)</f>
        <v>0.99033657090706906</v>
      </c>
      <c r="H87" s="109">
        <f>VLOOKUP(B87,'Gebouwgegevens Tabula 2zone'!$K$5:$R$83,8,0)</f>
        <v>0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x14ac:dyDescent="0.25">
      <c r="A88" s="96"/>
      <c r="B88" s="107" t="s">
        <v>84</v>
      </c>
      <c r="C88" s="108">
        <f>VLOOKUP(B88,'Gebouwgegevens Tabula 2zone'!$K$5:$R$83,3,0)</f>
        <v>2</v>
      </c>
      <c r="D88" s="108" t="str">
        <f>VLOOKUP(B88,'Gebouwgegevens Tabula 2zone'!$K$5:$R$83,4,0)</f>
        <v>Window</v>
      </c>
      <c r="E88" s="108">
        <f>VLOOKUP(B88,'Gebouwgegevens Tabula 2zone'!$K$5:$R$83,5,0)</f>
        <v>3.9</v>
      </c>
      <c r="F88" s="108" t="str">
        <f>VLOOKUP(B88,'Gebouwgegevens Tabula 2zone'!$K$5:$R$83,6,0)</f>
        <v>front</v>
      </c>
      <c r="G88" s="108">
        <f>VLOOKUP(B88,'Gebouwgegevens Tabula 2zone'!$K$5:$R$83,7,0)</f>
        <v>3.5</v>
      </c>
      <c r="H88" s="109">
        <f>VLOOKUP(B88,'Gebouwgegevens Tabula 2zone'!$K$5:$R$83,8,0)</f>
        <v>13.65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x14ac:dyDescent="0.25">
      <c r="A89" s="96"/>
      <c r="B89" s="107" t="s">
        <v>87</v>
      </c>
      <c r="C89" s="108">
        <f>VLOOKUP(B89,'Gebouwgegevens Tabula 2zone'!$K$5:$R$83,3,0)</f>
        <v>2</v>
      </c>
      <c r="D89" s="108" t="str">
        <f>VLOOKUP(B89,'Gebouwgegevens Tabula 2zone'!$K$5:$R$83,4,0)</f>
        <v>Window</v>
      </c>
      <c r="E89" s="108">
        <f>VLOOKUP(B89,'Gebouwgegevens Tabula 2zone'!$K$5:$R$83,5,0)</f>
        <v>4</v>
      </c>
      <c r="F89" s="108" t="str">
        <f>VLOOKUP(B89,'Gebouwgegevens Tabula 2zone'!$K$5:$R$83,6,0)</f>
        <v>right</v>
      </c>
      <c r="G89" s="108">
        <f>VLOOKUP(B89,'Gebouwgegevens Tabula 2zone'!$K$5:$R$83,7,0)</f>
        <v>3.5</v>
      </c>
      <c r="H89" s="109">
        <f>VLOOKUP(B89,'Gebouwgegevens Tabula 2zone'!$K$5:$R$83,8,0)</f>
        <v>14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x14ac:dyDescent="0.25">
      <c r="A90" s="96"/>
      <c r="B90" s="107" t="s">
        <v>89</v>
      </c>
      <c r="C90" s="108">
        <f>VLOOKUP(B90,'Gebouwgegevens Tabula 2zone'!$K$5:$R$83,3,0)</f>
        <v>2</v>
      </c>
      <c r="D90" s="108" t="str">
        <f>VLOOKUP(B90,'Gebouwgegevens Tabula 2zone'!$K$5:$R$83,4,0)</f>
        <v>Window</v>
      </c>
      <c r="E90" s="108">
        <f>VLOOKUP(B90,'Gebouwgegevens Tabula 2zone'!$K$5:$R$83,5,0)</f>
        <v>4.55</v>
      </c>
      <c r="F90" s="108" t="str">
        <f>VLOOKUP(B90,'Gebouwgegevens Tabula 2zone'!$K$5:$R$83,6,0)</f>
        <v>back</v>
      </c>
      <c r="G90" s="108">
        <f>VLOOKUP(B90,'Gebouwgegevens Tabula 2zone'!$K$5:$R$83,7,0)</f>
        <v>3.5</v>
      </c>
      <c r="H90" s="109">
        <f>VLOOKUP(B90,'Gebouwgegevens Tabula 2zone'!$K$5:$R$83,8,0)</f>
        <v>15.924999999999999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x14ac:dyDescent="0.25">
      <c r="A91" s="96"/>
      <c r="B91" s="107" t="s">
        <v>92</v>
      </c>
      <c r="C91" s="108">
        <f>VLOOKUP(B91,'Gebouwgegevens Tabula 2zone'!$K$5:$R$83,3,0)</f>
        <v>2</v>
      </c>
      <c r="D91" s="108" t="str">
        <f>VLOOKUP(B91,'Gebouwgegevens Tabula 2zone'!$K$5:$R$83,4,0)</f>
        <v>Window</v>
      </c>
      <c r="E91" s="108">
        <f>VLOOKUP(B91,'Gebouwgegevens Tabula 2zone'!$K$5:$R$83,5,0)</f>
        <v>3.7</v>
      </c>
      <c r="F91" s="108" t="str">
        <f>VLOOKUP(B91,'Gebouwgegevens Tabula 2zone'!$K$5:$R$83,6,0)</f>
        <v>left</v>
      </c>
      <c r="G91" s="108">
        <f>VLOOKUP(B91,'Gebouwgegevens Tabula 2zone'!$K$5:$R$83,7,0)</f>
        <v>3.5</v>
      </c>
      <c r="H91" s="109">
        <f>VLOOKUP(B91,'Gebouwgegevens Tabula 2zone'!$K$5:$R$83,8,0)</f>
        <v>12.950000000000001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x14ac:dyDescent="0.25">
      <c r="A92" s="96"/>
      <c r="B92" s="107" t="s">
        <v>96</v>
      </c>
      <c r="C92" s="108">
        <f>VLOOKUP(B92,'Gebouwgegevens Tabula 2zone'!$K$5:$R$83,3,0)</f>
        <v>2</v>
      </c>
      <c r="D92" s="108" t="str">
        <f>VLOOKUP(B92,'Gebouwgegevens Tabula 2zone'!$K$5:$R$83,4,0)</f>
        <v>Roof</v>
      </c>
      <c r="E92" s="108">
        <f>VLOOKUP(B92,'Gebouwgegevens Tabula 2zone'!$K$5:$R$83,5,0)</f>
        <v>108.5</v>
      </c>
      <c r="F92" s="108" t="str">
        <f>VLOOKUP(B92,'Gebouwgegevens Tabula 2zone'!$K$5:$R$83,6,0)</f>
        <v>front/back</v>
      </c>
      <c r="G92" s="108">
        <f>VLOOKUP(B92,'Gebouwgegevens Tabula 2zone'!$K$5:$R$83,7,0)</f>
        <v>0.84975369458128069</v>
      </c>
      <c r="H92" s="109">
        <f>VLOOKUP(B92,'Gebouwgegevens Tabula 2zone'!$K$5:$R$83,8,0)</f>
        <v>92.198275862068954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x14ac:dyDescent="0.25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x14ac:dyDescent="0.25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x14ac:dyDescent="0.25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x14ac:dyDescent="0.25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x14ac:dyDescent="0.25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x14ac:dyDescent="0.25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x14ac:dyDescent="0.25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x14ac:dyDescent="0.25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x14ac:dyDescent="0.25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x14ac:dyDescent="0.25">
      <c r="A108" s="96"/>
      <c r="B108" s="122" t="s">
        <v>98</v>
      </c>
      <c r="C108" s="123">
        <f>IF(VLOOKUP(B108,'Gebouwgegevens Tabula 2zone'!$K$5:$R$83,2,0)=$B$78,VLOOKUP(B108,'Gebouwgegevens Tabula 2zone'!$K$5:$R$83,2,0),VLOOKUP(B108,'Gebouwgegevens Tabula 2zone'!$K$5:$R$83,3,0))</f>
        <v>2</v>
      </c>
      <c r="D108" s="123">
        <f>IF(VLOOKUP(B108,'Gebouwgegevens Tabula 2zone'!$K$5:$R$83,2,0)=$B$78,VLOOKUP(B108,'Gebouwgegevens Tabula 2zone'!$K$5:$R$83,3,0),VLOOKUP(B108,'Gebouwgegevens Tabula 2zone'!$K$5:$R$83,2,0))</f>
        <v>1</v>
      </c>
      <c r="E108" s="123" t="str">
        <f>VLOOKUP(B108,'Gebouwgegevens Tabula 2zone'!$K$5:$R$83,4,0)</f>
        <v>Floor internal</v>
      </c>
      <c r="F108" s="123">
        <f>VLOOKUP(B108,'Gebouwgegevens Tabula 2zone'!$K$5:$R$83,5,0)</f>
        <v>89.300000000000011</v>
      </c>
      <c r="G108" s="123">
        <f>VLOOKUP('Verwarming Tabula 2zone'!C108,'Gebouwgegevens Tabula 2zone'!$A$34:$F$45,5,0)</f>
        <v>16</v>
      </c>
      <c r="H108" s="123">
        <f>VLOOKUP('Verwarming Tabula 2zone'!D108,'Gebouwgegevens Tabula 2zone'!$A$34:$F$45,5,0)</f>
        <v>21</v>
      </c>
      <c r="I108" s="123">
        <f>VLOOKUP(B108,'Gebouwgegevens Tabula 2zone'!$K$5:$R$83,7,0)</f>
        <v>1.4911242603550294</v>
      </c>
      <c r="J108" s="119">
        <f>VLOOKUP(B108,'Gebouwgegevens Tabula 2zone'!$K$5:$R$83,8,0)</f>
        <v>133.15739644970415</v>
      </c>
      <c r="K108" s="119">
        <f>(G108-H108)/(G108-$B$4)</f>
        <v>-0.20833333333333334</v>
      </c>
      <c r="L108" s="99"/>
      <c r="M108" s="99"/>
      <c r="N108" s="99"/>
      <c r="O108" s="99"/>
      <c r="P108" s="97"/>
    </row>
    <row r="109" spans="1:16" ht="16.5" customHeight="1" x14ac:dyDescent="0.25">
      <c r="A109" s="96"/>
      <c r="B109" s="122" t="s">
        <v>102</v>
      </c>
      <c r="C109" s="123">
        <f>IF(VLOOKUP(B109,'Gebouwgegevens Tabula 2zone'!$K$5:$R$83,2,0)=$B$78,VLOOKUP(B109,'Gebouwgegevens Tabula 2zone'!$K$5:$R$83,2,0),VLOOKUP(B109,'Gebouwgegevens Tabula 2zone'!$K$5:$R$83,3,0))</f>
        <v>2</v>
      </c>
      <c r="D109" s="123">
        <f>IF(VLOOKUP(B109,'Gebouwgegevens Tabula 2zone'!$K$5:$R$83,2,0)=$B$78,VLOOKUP(B109,'Gebouwgegevens Tabula 2zone'!$K$5:$R$83,3,0),VLOOKUP(B109,'Gebouwgegevens Tabula 2zone'!$K$5:$R$83,2,0))</f>
        <v>2</v>
      </c>
      <c r="E109" s="123" t="str">
        <f>VLOOKUP(B109,'Gebouwgegevens Tabula 2zone'!$K$5:$R$83,4,0)</f>
        <v>Wall internal</v>
      </c>
      <c r="F109" s="123">
        <f>VLOOKUP(B109,'Gebouwgegevens Tabula 2zone'!$K$5:$R$83,5,0)</f>
        <v>69.011117107393432</v>
      </c>
      <c r="G109" s="123">
        <f>VLOOKUP('Verwarming Tabula 2zone'!C109,'Gebouwgegevens Tabula 2zone'!$A$34:$F$45,5,0)</f>
        <v>16</v>
      </c>
      <c r="H109" s="123">
        <f>VLOOKUP('Verwarming Tabula 2zone'!D109,'Gebouwgegevens Tabula 2zone'!$A$34:$F$45,5,0)</f>
        <v>16</v>
      </c>
      <c r="I109" s="123">
        <f>VLOOKUP(B109,'Gebouwgegevens Tabula 2zone'!$K$5:$R$83,7,0)</f>
        <v>1.7363344051446945</v>
      </c>
      <c r="J109" s="119">
        <f>VLOOKUP(B109,'Gebouwgegevens Tabula 2zone'!$K$5:$R$83,8,0)</f>
        <v>119.82637697103682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x14ac:dyDescent="0.25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x14ac:dyDescent="0.25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x14ac:dyDescent="0.25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x14ac:dyDescent="0.25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x14ac:dyDescent="0.25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x14ac:dyDescent="0.25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x14ac:dyDescent="0.25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x14ac:dyDescent="0.25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>
        <f>SUMPRODUCT(H84:H95,I84:I95)+SUMPRODUCT(G100:G104,H100:H104)+SUMPRODUCT(J108:J117,K108:K117)</f>
        <v>189.32638467231612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>
        <f>B121*(G109-$B$4)</f>
        <v>4543.8332321355865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x14ac:dyDescent="0.25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x14ac:dyDescent="0.25">
      <c r="A124" s="312" t="s">
        <v>197</v>
      </c>
      <c r="B124" s="312"/>
      <c r="C124" s="312"/>
      <c r="D124" s="126" t="s">
        <v>225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x14ac:dyDescent="0.25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x14ac:dyDescent="0.25">
      <c r="A127" s="128" t="s">
        <v>199</v>
      </c>
      <c r="B127" s="122">
        <f>'Tabula data'!B34</f>
        <v>12.461695447409735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x14ac:dyDescent="0.25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x14ac:dyDescent="0.25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x14ac:dyDescent="0.25">
      <c r="A130" s="125" t="s">
        <v>205</v>
      </c>
      <c r="B130" s="119">
        <f>2*VLOOKUP(B78,'Gebouwgegevens Tabula 2zone'!$A$34:$F$45,2,0)*B127*B128*B129</f>
        <v>129.8010197802198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'Gebouwgegevens Tabula 2zone'!G35</f>
        <v>89.300000000000011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SUM(B130,B134)</f>
        <v>129.8010197802198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0.81386072795583231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0.34*(B136+B130)</f>
        <v>44.132346725274736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B139*(G109-$B$4)</f>
        <v>1059.1763214065936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x14ac:dyDescent="0.25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x14ac:dyDescent="0.25">
      <c r="A142" s="312" t="s">
        <v>213</v>
      </c>
      <c r="B142" s="312"/>
      <c r="C142" s="312"/>
      <c r="D142" s="312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x14ac:dyDescent="0.25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x14ac:dyDescent="0.25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x14ac:dyDescent="0.25">
      <c r="A145" s="128" t="s">
        <v>113</v>
      </c>
      <c r="B145" s="122">
        <f>B133</f>
        <v>89.300000000000011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x14ac:dyDescent="0.25">
      <c r="A146" s="125" t="s">
        <v>216</v>
      </c>
      <c r="B146" s="119">
        <f>B147/('Gebouwgegevens Allacker'!E100-'Verwarming Tabula 2zone'!$B$4)</f>
        <v>122.78750000000002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982.30000000000018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x14ac:dyDescent="0.25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x14ac:dyDescent="0.25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x14ac:dyDescent="0.25">
      <c r="A151" s="125" t="s">
        <v>218</v>
      </c>
      <c r="B151" s="119">
        <f>SUM(B121,B139,B146)</f>
        <v>356.24623139759092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>
        <f>SUM(B122,B140,B147)</f>
        <v>6585.3095535421808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x14ac:dyDescent="0.25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x14ac:dyDescent="0.25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x14ac:dyDescent="0.25">
      <c r="A157" s="9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5"/>
    </row>
    <row r="158" spans="1:16" ht="17.25" customHeight="1" x14ac:dyDescent="0.3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x14ac:dyDescent="0.25">
      <c r="A159" s="312" t="s">
        <v>171</v>
      </c>
      <c r="B159" s="312"/>
      <c r="C159" s="312"/>
      <c r="D159" s="312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x14ac:dyDescent="0.25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x14ac:dyDescent="0.25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x14ac:dyDescent="0.25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x14ac:dyDescent="0.25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x14ac:dyDescent="0.25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x14ac:dyDescent="0.25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x14ac:dyDescent="0.25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x14ac:dyDescent="0.25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x14ac:dyDescent="0.25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x14ac:dyDescent="0.25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x14ac:dyDescent="0.25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x14ac:dyDescent="0.25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x14ac:dyDescent="0.25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x14ac:dyDescent="0.25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x14ac:dyDescent="0.25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x14ac:dyDescent="0.25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x14ac:dyDescent="0.25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x14ac:dyDescent="0.25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x14ac:dyDescent="0.25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x14ac:dyDescent="0.25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2zone'!C188,'Gebouwgegevens Allacker'!$A$35:$F$46,5,0)</f>
        <v>#N/A</v>
      </c>
      <c r="H188" s="123" t="e">
        <f>VLOOKUP('Verwarming Tabula 2zone'!D188,'Gebouwgegevens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x14ac:dyDescent="0.25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2zone'!C189,'Gebouwgegevens Allacker'!$A$35:$F$46,5,0)</f>
        <v>#N/A</v>
      </c>
      <c r="H189" s="123" t="e">
        <f>VLOOKUP('Verwarming Tabula 2zone'!D189,'Gebouwgegevens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x14ac:dyDescent="0.25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2zone'!C190,'Gebouwgegevens Allacker'!$A$35:$F$46,5,0)</f>
        <v>#N/A</v>
      </c>
      <c r="H190" s="123" t="e">
        <f>VLOOKUP('Verwarming Tabula 2zone'!D190,'Gebouwgegevens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x14ac:dyDescent="0.25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x14ac:dyDescent="0.25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x14ac:dyDescent="0.25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x14ac:dyDescent="0.25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x14ac:dyDescent="0.25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x14ac:dyDescent="0.25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x14ac:dyDescent="0.25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x14ac:dyDescent="0.25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x14ac:dyDescent="0.25">
      <c r="A204" s="312" t="s">
        <v>197</v>
      </c>
      <c r="B204" s="312"/>
      <c r="C204" s="312"/>
      <c r="D204" s="126" t="s">
        <v>225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x14ac:dyDescent="0.25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x14ac:dyDescent="0.25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x14ac:dyDescent="0.25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x14ac:dyDescent="0.25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x14ac:dyDescent="0.25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x14ac:dyDescent="0.25">
      <c r="A222" s="312" t="s">
        <v>213</v>
      </c>
      <c r="B222" s="312"/>
      <c r="C222" s="312"/>
      <c r="D222" s="312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x14ac:dyDescent="0.25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x14ac:dyDescent="0.25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x14ac:dyDescent="0.25">
      <c r="A225" s="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 2zone'!$B$4)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x14ac:dyDescent="0.25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x14ac:dyDescent="0.25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x14ac:dyDescent="0.25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x14ac:dyDescent="0.2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x14ac:dyDescent="0.25">
      <c r="A236" s="94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5"/>
    </row>
    <row r="237" spans="1:16" ht="17.25" customHeight="1" x14ac:dyDescent="0.3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x14ac:dyDescent="0.25">
      <c r="A238" s="312" t="s">
        <v>171</v>
      </c>
      <c r="B238" s="312"/>
      <c r="C238" s="312"/>
      <c r="D238" s="312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x14ac:dyDescent="0.25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x14ac:dyDescent="0.25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x14ac:dyDescent="0.25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x14ac:dyDescent="0.25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x14ac:dyDescent="0.25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x14ac:dyDescent="0.25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x14ac:dyDescent="0.25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x14ac:dyDescent="0.25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x14ac:dyDescent="0.25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x14ac:dyDescent="0.25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x14ac:dyDescent="0.25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x14ac:dyDescent="0.25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x14ac:dyDescent="0.25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x14ac:dyDescent="0.25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x14ac:dyDescent="0.25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x14ac:dyDescent="0.25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x14ac:dyDescent="0.25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x14ac:dyDescent="0.25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x14ac:dyDescent="0.25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x14ac:dyDescent="0.25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2zone'!C267,'Gebouwgegevens Allacker'!$A$35:$F$46,5,0)</f>
        <v>#N/A</v>
      </c>
      <c r="H267" s="123" t="e">
        <f>VLOOKUP('Verwarming Tabula 2zone'!D267,'Gebouwgegevens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x14ac:dyDescent="0.25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2zone'!C268,'Gebouwgegevens Allacker'!$A$35:$F$46,5,0)</f>
        <v>#N/A</v>
      </c>
      <c r="H268" s="123" t="e">
        <f>VLOOKUP('Verwarming Tabula 2zone'!D268,'Gebouwgegevens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x14ac:dyDescent="0.25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2zone'!C269,'Gebouwgegevens Allacker'!$A$35:$F$46,5,0)</f>
        <v>#N/A</v>
      </c>
      <c r="H269" s="123" t="e">
        <f>VLOOKUP('Verwarming Tabula 2zone'!D269,'Gebouwgegevens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x14ac:dyDescent="0.25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2zone'!C270,'Gebouwgegevens Allacker'!$A$35:$F$46,5,0)</f>
        <v>#N/A</v>
      </c>
      <c r="H270" s="123" t="e">
        <f>VLOOKUP('Verwarming Tabula 2zone'!D270,'Gebouwgegevens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x14ac:dyDescent="0.25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x14ac:dyDescent="0.25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x14ac:dyDescent="0.25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x14ac:dyDescent="0.25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x14ac:dyDescent="0.25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x14ac:dyDescent="0.25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x14ac:dyDescent="0.25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x14ac:dyDescent="0.25">
      <c r="A283" s="312" t="s">
        <v>197</v>
      </c>
      <c r="B283" s="312"/>
      <c r="C283" s="312"/>
      <c r="D283" s="126" t="s">
        <v>225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x14ac:dyDescent="0.25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x14ac:dyDescent="0.25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x14ac:dyDescent="0.25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x14ac:dyDescent="0.25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x14ac:dyDescent="0.25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x14ac:dyDescent="0.25">
      <c r="A301" s="312" t="s">
        <v>213</v>
      </c>
      <c r="B301" s="312"/>
      <c r="C301" s="312"/>
      <c r="D301" s="312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x14ac:dyDescent="0.25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x14ac:dyDescent="0.25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x14ac:dyDescent="0.25">
      <c r="A304" s="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 2zone'!$B$4)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x14ac:dyDescent="0.25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x14ac:dyDescent="0.25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x14ac:dyDescent="0.25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x14ac:dyDescent="0.25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x14ac:dyDescent="0.25">
      <c r="A315" s="94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5"/>
    </row>
    <row r="316" spans="1:16" ht="17.25" customHeight="1" x14ac:dyDescent="0.3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x14ac:dyDescent="0.25">
      <c r="A317" s="312" t="s">
        <v>171</v>
      </c>
      <c r="B317" s="312"/>
      <c r="C317" s="312"/>
      <c r="D317" s="312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x14ac:dyDescent="0.25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x14ac:dyDescent="0.25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x14ac:dyDescent="0.25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x14ac:dyDescent="0.25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x14ac:dyDescent="0.25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x14ac:dyDescent="0.25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x14ac:dyDescent="0.25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x14ac:dyDescent="0.25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x14ac:dyDescent="0.25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x14ac:dyDescent="0.25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x14ac:dyDescent="0.25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x14ac:dyDescent="0.25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x14ac:dyDescent="0.25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x14ac:dyDescent="0.25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x14ac:dyDescent="0.25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x14ac:dyDescent="0.25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x14ac:dyDescent="0.25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x14ac:dyDescent="0.25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x14ac:dyDescent="0.25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x14ac:dyDescent="0.25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2zone'!C346,'Gebouwgegevens Allacker'!$A$35:$F$46,5,0)</f>
        <v>#N/A</v>
      </c>
      <c r="H346" s="123" t="e">
        <f>VLOOKUP('Verwarming Tabula 2zone'!D346,'Gebouwgegevens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x14ac:dyDescent="0.25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2zone'!C347,'Gebouwgegevens Allacker'!$A$35:$F$46,5,0)</f>
        <v>#N/A</v>
      </c>
      <c r="H347" s="123" t="e">
        <f>VLOOKUP('Verwarming Tabula 2zone'!D347,'Gebouwgegevens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x14ac:dyDescent="0.25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2zone'!C348,'Gebouwgegevens Allacker'!$A$35:$F$46,5,0)</f>
        <v>#N/A</v>
      </c>
      <c r="H348" s="123" t="e">
        <f>VLOOKUP('Verwarming Tabula 2zone'!D348,'Gebouwgegevens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x14ac:dyDescent="0.25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2zone'!C349,'Gebouwgegevens Allacker'!$A$35:$F$46,5,0)</f>
        <v>#N/A</v>
      </c>
      <c r="H349" s="123" t="e">
        <f>VLOOKUP('Verwarming Tabula 2zone'!D349,'Gebouwgegevens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x14ac:dyDescent="0.25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2zone'!C350,'Gebouwgegevens Allacker'!$A$35:$F$46,5,0)</f>
        <v>#N/A</v>
      </c>
      <c r="H350" s="123" t="e">
        <f>VLOOKUP('Verwarming Tabula 2zone'!D350,'Gebouwgegevens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x14ac:dyDescent="0.25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x14ac:dyDescent="0.25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x14ac:dyDescent="0.25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x14ac:dyDescent="0.25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x14ac:dyDescent="0.25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x14ac:dyDescent="0.25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x14ac:dyDescent="0.25">
      <c r="A362" s="312" t="s">
        <v>197</v>
      </c>
      <c r="B362" s="312"/>
      <c r="C362" s="312"/>
      <c r="D362" s="126" t="s">
        <v>225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x14ac:dyDescent="0.25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x14ac:dyDescent="0.25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x14ac:dyDescent="0.25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x14ac:dyDescent="0.25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x14ac:dyDescent="0.25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x14ac:dyDescent="0.25">
      <c r="A380" s="312" t="s">
        <v>213</v>
      </c>
      <c r="B380" s="312"/>
      <c r="C380" s="312"/>
      <c r="D380" s="312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x14ac:dyDescent="0.25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x14ac:dyDescent="0.25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x14ac:dyDescent="0.25">
      <c r="A383" s="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 2zone'!$B$4)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x14ac:dyDescent="0.25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x14ac:dyDescent="0.25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x14ac:dyDescent="0.25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x14ac:dyDescent="0.2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x14ac:dyDescent="0.25">
      <c r="A393" s="94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5"/>
    </row>
    <row r="394" spans="1:16" ht="17.25" customHeight="1" x14ac:dyDescent="0.3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x14ac:dyDescent="0.25">
      <c r="A395" s="312" t="s">
        <v>171</v>
      </c>
      <c r="B395" s="312"/>
      <c r="C395" s="312"/>
      <c r="D395" s="312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x14ac:dyDescent="0.25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x14ac:dyDescent="0.25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x14ac:dyDescent="0.25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x14ac:dyDescent="0.25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x14ac:dyDescent="0.25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x14ac:dyDescent="0.25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x14ac:dyDescent="0.25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x14ac:dyDescent="0.25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x14ac:dyDescent="0.25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x14ac:dyDescent="0.25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x14ac:dyDescent="0.25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x14ac:dyDescent="0.25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x14ac:dyDescent="0.25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x14ac:dyDescent="0.25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x14ac:dyDescent="0.25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x14ac:dyDescent="0.25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x14ac:dyDescent="0.25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x14ac:dyDescent="0.25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x14ac:dyDescent="0.25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x14ac:dyDescent="0.25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2zone'!C424,'Gebouwgegevens Allacker'!$A$35:$F$46,5,0)</f>
        <v>#N/A</v>
      </c>
      <c r="H424" s="123" t="e">
        <f>VLOOKUP('Verwarming Tabula 2zone'!D424,'Gebouwgegevens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x14ac:dyDescent="0.25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2zone'!C425,'Gebouwgegevens Allacker'!$A$35:$F$46,5,0)</f>
        <v>#N/A</v>
      </c>
      <c r="H425" s="123" t="e">
        <f>VLOOKUP('Verwarming Tabula 2zone'!D425,'Gebouwgegevens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x14ac:dyDescent="0.25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2zone'!C426,'Gebouwgegevens Allacker'!$A$35:$F$46,5,0)</f>
        <v>#N/A</v>
      </c>
      <c r="H426" s="123" t="e">
        <f>VLOOKUP('Verwarming Tabula 2zone'!D426,'Gebouwgegevens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x14ac:dyDescent="0.25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2zone'!C427,'Gebouwgegevens Allacker'!$A$35:$F$46,5,0)</f>
        <v>#N/A</v>
      </c>
      <c r="H427" s="123" t="e">
        <f>VLOOKUP('Verwarming Tabula 2zone'!D427,'Gebouwgegevens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x14ac:dyDescent="0.25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2zone'!C428,'Gebouwgegevens Allacker'!$A$35:$F$46,5,0)</f>
        <v>#N/A</v>
      </c>
      <c r="H428" s="123" t="e">
        <f>VLOOKUP('Verwarming Tabula 2zone'!D428,'Gebouwgegevens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x14ac:dyDescent="0.25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x14ac:dyDescent="0.25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x14ac:dyDescent="0.25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x14ac:dyDescent="0.25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x14ac:dyDescent="0.25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x14ac:dyDescent="0.25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x14ac:dyDescent="0.25">
      <c r="A440" s="312" t="s">
        <v>197</v>
      </c>
      <c r="B440" s="312"/>
      <c r="C440" s="312"/>
      <c r="D440" s="126" t="s">
        <v>225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x14ac:dyDescent="0.25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x14ac:dyDescent="0.25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x14ac:dyDescent="0.25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x14ac:dyDescent="0.25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x14ac:dyDescent="0.25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x14ac:dyDescent="0.25">
      <c r="A458" s="312" t="s">
        <v>213</v>
      </c>
      <c r="B458" s="312"/>
      <c r="C458" s="312"/>
      <c r="D458" s="312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x14ac:dyDescent="0.25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x14ac:dyDescent="0.25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x14ac:dyDescent="0.25">
      <c r="A461" s="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 2zone'!$B$4)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x14ac:dyDescent="0.25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x14ac:dyDescent="0.25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x14ac:dyDescent="0.25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x14ac:dyDescent="0.2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x14ac:dyDescent="0.25">
      <c r="A471" s="94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5"/>
    </row>
    <row r="472" spans="1:16" ht="17.25" customHeight="1" x14ac:dyDescent="0.3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x14ac:dyDescent="0.25">
      <c r="A473" s="312" t="s">
        <v>171</v>
      </c>
      <c r="B473" s="312"/>
      <c r="C473" s="312"/>
      <c r="D473" s="312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x14ac:dyDescent="0.25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x14ac:dyDescent="0.25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x14ac:dyDescent="0.25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x14ac:dyDescent="0.25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x14ac:dyDescent="0.25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x14ac:dyDescent="0.25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x14ac:dyDescent="0.25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x14ac:dyDescent="0.25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x14ac:dyDescent="0.25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x14ac:dyDescent="0.25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x14ac:dyDescent="0.25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x14ac:dyDescent="0.25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x14ac:dyDescent="0.25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x14ac:dyDescent="0.25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x14ac:dyDescent="0.25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x14ac:dyDescent="0.25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x14ac:dyDescent="0.25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x14ac:dyDescent="0.25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x14ac:dyDescent="0.25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x14ac:dyDescent="0.25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2zone'!C502,'Gebouwgegevens Allacker'!$A$35:$F$46,5,0)</f>
        <v>#N/A</v>
      </c>
      <c r="H502" s="123" t="e">
        <f>VLOOKUP('Verwarming Tabula 2zone'!D502,'Gebouwgegevens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x14ac:dyDescent="0.25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2zone'!C503,'Gebouwgegevens Allacker'!$A$35:$F$46,5,0)</f>
        <v>#N/A</v>
      </c>
      <c r="H503" s="123" t="e">
        <f>VLOOKUP('Verwarming Tabula 2zone'!D503,'Gebouwgegevens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x14ac:dyDescent="0.25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2zone'!C504,'Gebouwgegevens Allacker'!$A$35:$F$46,5,0)</f>
        <v>#N/A</v>
      </c>
      <c r="H504" s="123" t="e">
        <f>VLOOKUP('Verwarming Tabula 2zone'!D504,'Gebouwgegevens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x14ac:dyDescent="0.25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x14ac:dyDescent="0.25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x14ac:dyDescent="0.25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x14ac:dyDescent="0.25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x14ac:dyDescent="0.25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x14ac:dyDescent="0.25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x14ac:dyDescent="0.25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x14ac:dyDescent="0.25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x14ac:dyDescent="0.25">
      <c r="A518" s="312" t="s">
        <v>197</v>
      </c>
      <c r="B518" s="312"/>
      <c r="C518" s="312"/>
      <c r="D518" s="126" t="s">
        <v>225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x14ac:dyDescent="0.25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x14ac:dyDescent="0.25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x14ac:dyDescent="0.25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x14ac:dyDescent="0.25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x14ac:dyDescent="0.25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x14ac:dyDescent="0.25">
      <c r="A536" s="312" t="s">
        <v>213</v>
      </c>
      <c r="B536" s="312"/>
      <c r="C536" s="312"/>
      <c r="D536" s="312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x14ac:dyDescent="0.25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x14ac:dyDescent="0.25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 2zone'!$B$4)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x14ac:dyDescent="0.25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x14ac:dyDescent="0.25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x14ac:dyDescent="0.25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x14ac:dyDescent="0.2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x14ac:dyDescent="0.25">
      <c r="A550" s="94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5"/>
    </row>
    <row r="551" spans="1:16" ht="17.25" customHeight="1" x14ac:dyDescent="0.3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x14ac:dyDescent="0.25">
      <c r="A552" s="312" t="s">
        <v>171</v>
      </c>
      <c r="B552" s="312"/>
      <c r="C552" s="312"/>
      <c r="D552" s="312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x14ac:dyDescent="0.25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x14ac:dyDescent="0.25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x14ac:dyDescent="0.25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x14ac:dyDescent="0.25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x14ac:dyDescent="0.25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x14ac:dyDescent="0.25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x14ac:dyDescent="0.25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x14ac:dyDescent="0.25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x14ac:dyDescent="0.25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x14ac:dyDescent="0.25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x14ac:dyDescent="0.25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x14ac:dyDescent="0.25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x14ac:dyDescent="0.25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x14ac:dyDescent="0.25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x14ac:dyDescent="0.25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x14ac:dyDescent="0.25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x14ac:dyDescent="0.25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x14ac:dyDescent="0.25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x14ac:dyDescent="0.25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x14ac:dyDescent="0.25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2zone'!C581,'Gebouwgegevens Allacker'!$A$35:$F$46,5,0)</f>
        <v>#N/A</v>
      </c>
      <c r="H581" s="123" t="e">
        <f>VLOOKUP('Verwarming Tabula 2zone'!D581,'Gebouwgegevens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x14ac:dyDescent="0.25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2zone'!C582,'Gebouwgegevens Allacker'!$A$35:$F$46,5,0)</f>
        <v>#N/A</v>
      </c>
      <c r="H582" s="123" t="e">
        <f>VLOOKUP('Verwarming Tabula 2zone'!D582,'Gebouwgegevens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x14ac:dyDescent="0.25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2zone'!C583,'Gebouwgegevens Allacker'!$A$35:$F$46,5,0)</f>
        <v>#N/A</v>
      </c>
      <c r="H583" s="123" t="e">
        <f>VLOOKUP('Verwarming Tabula 2zone'!D583,'Gebouwgegevens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x14ac:dyDescent="0.25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x14ac:dyDescent="0.25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x14ac:dyDescent="0.25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x14ac:dyDescent="0.25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x14ac:dyDescent="0.25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x14ac:dyDescent="0.25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x14ac:dyDescent="0.25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x14ac:dyDescent="0.25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x14ac:dyDescent="0.25">
      <c r="A597" s="312" t="s">
        <v>197</v>
      </c>
      <c r="B597" s="312"/>
      <c r="C597" s="312"/>
      <c r="D597" s="126" t="s">
        <v>225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x14ac:dyDescent="0.25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x14ac:dyDescent="0.25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x14ac:dyDescent="0.25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x14ac:dyDescent="0.25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x14ac:dyDescent="0.25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x14ac:dyDescent="0.25">
      <c r="A615" s="312" t="s">
        <v>213</v>
      </c>
      <c r="B615" s="312"/>
      <c r="C615" s="312"/>
      <c r="D615" s="312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x14ac:dyDescent="0.25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x14ac:dyDescent="0.25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x14ac:dyDescent="0.25">
      <c r="A618" s="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 2zone'!$B$4)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x14ac:dyDescent="0.25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x14ac:dyDescent="0.25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x14ac:dyDescent="0.25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x14ac:dyDescent="0.2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x14ac:dyDescent="0.25">
      <c r="A629" s="94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5"/>
    </row>
    <row r="630" spans="1:16" ht="17.25" customHeight="1" x14ac:dyDescent="0.3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x14ac:dyDescent="0.25">
      <c r="A631" s="312" t="s">
        <v>171</v>
      </c>
      <c r="B631" s="312"/>
      <c r="C631" s="312"/>
      <c r="D631" s="312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x14ac:dyDescent="0.25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x14ac:dyDescent="0.25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x14ac:dyDescent="0.25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x14ac:dyDescent="0.25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x14ac:dyDescent="0.25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x14ac:dyDescent="0.25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x14ac:dyDescent="0.25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x14ac:dyDescent="0.25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x14ac:dyDescent="0.25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x14ac:dyDescent="0.25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x14ac:dyDescent="0.25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x14ac:dyDescent="0.25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x14ac:dyDescent="0.25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x14ac:dyDescent="0.25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x14ac:dyDescent="0.25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x14ac:dyDescent="0.25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x14ac:dyDescent="0.25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x14ac:dyDescent="0.25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x14ac:dyDescent="0.25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x14ac:dyDescent="0.25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2zone'!C660,'Gebouwgegevens Allacker'!$A$35:$F$46,5,0)</f>
        <v>#N/A</v>
      </c>
      <c r="H660" s="123" t="e">
        <f>VLOOKUP('Verwarming Tabula 2zone'!D660,'Gebouwgegevens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x14ac:dyDescent="0.25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2zone'!C661,'Gebouwgegevens Allacker'!$A$35:$F$46,5,0)</f>
        <v>#N/A</v>
      </c>
      <c r="H661" s="123" t="e">
        <f>VLOOKUP('Verwarming Tabula 2zone'!D661,'Gebouwgegevens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x14ac:dyDescent="0.25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x14ac:dyDescent="0.25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x14ac:dyDescent="0.25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x14ac:dyDescent="0.25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x14ac:dyDescent="0.25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x14ac:dyDescent="0.25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x14ac:dyDescent="0.25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x14ac:dyDescent="0.25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x14ac:dyDescent="0.25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x14ac:dyDescent="0.25">
      <c r="A676" s="312" t="s">
        <v>197</v>
      </c>
      <c r="B676" s="312"/>
      <c r="C676" s="312"/>
      <c r="D676" s="126" t="s">
        <v>225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x14ac:dyDescent="0.25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x14ac:dyDescent="0.25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x14ac:dyDescent="0.25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x14ac:dyDescent="0.25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x14ac:dyDescent="0.25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x14ac:dyDescent="0.25">
      <c r="A694" s="312" t="s">
        <v>213</v>
      </c>
      <c r="B694" s="312"/>
      <c r="C694" s="312"/>
      <c r="D694" s="312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x14ac:dyDescent="0.25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x14ac:dyDescent="0.25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x14ac:dyDescent="0.25">
      <c r="A697" s="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 2zone'!$B$4)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x14ac:dyDescent="0.25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x14ac:dyDescent="0.25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x14ac:dyDescent="0.25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x14ac:dyDescent="0.2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x14ac:dyDescent="0.25">
      <c r="A708" s="94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5"/>
    </row>
    <row r="709" spans="1:16" ht="17.25" customHeight="1" x14ac:dyDescent="0.3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x14ac:dyDescent="0.25">
      <c r="A710" s="312" t="s">
        <v>171</v>
      </c>
      <c r="B710" s="312"/>
      <c r="C710" s="312"/>
      <c r="D710" s="312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x14ac:dyDescent="0.25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x14ac:dyDescent="0.25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x14ac:dyDescent="0.25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x14ac:dyDescent="0.25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x14ac:dyDescent="0.25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x14ac:dyDescent="0.25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x14ac:dyDescent="0.25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x14ac:dyDescent="0.25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x14ac:dyDescent="0.25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x14ac:dyDescent="0.25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x14ac:dyDescent="0.25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x14ac:dyDescent="0.25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x14ac:dyDescent="0.25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x14ac:dyDescent="0.25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x14ac:dyDescent="0.25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x14ac:dyDescent="0.25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x14ac:dyDescent="0.25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x14ac:dyDescent="0.25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x14ac:dyDescent="0.25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x14ac:dyDescent="0.25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2zone'!C739,'Gebouwgegevens Allacker'!$A$35:$F$46,5,0)</f>
        <v>#N/A</v>
      </c>
      <c r="H739" s="123" t="e">
        <f>VLOOKUP('Verwarming Tabula 2zone'!D739,'Gebouwgegevens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x14ac:dyDescent="0.25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2zone'!C740,'Gebouwgegevens Allacker'!$A$35:$F$46,5,0)</f>
        <v>#N/A</v>
      </c>
      <c r="H740" s="123" t="e">
        <f>VLOOKUP('Verwarming Tabula 2zone'!D740,'Gebouwgegevens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x14ac:dyDescent="0.25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2zone'!C741,'Gebouwgegevens Allacker'!$A$35:$F$46,5,0)</f>
        <v>#N/A</v>
      </c>
      <c r="H741" s="123" t="e">
        <f>VLOOKUP('Verwarming Tabula 2zone'!D741,'Gebouwgegevens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x14ac:dyDescent="0.25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2zone'!C742,'Gebouwgegevens Allacker'!$A$35:$F$46,5,0)</f>
        <v>#N/A</v>
      </c>
      <c r="H742" s="123" t="e">
        <f>VLOOKUP('Verwarming Tabula 2zone'!D742,'Gebouwgegevens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x14ac:dyDescent="0.25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2zone'!C743,'Gebouwgegevens Allacker'!$A$35:$F$46,5,0)</f>
        <v>#N/A</v>
      </c>
      <c r="H743" s="123" t="e">
        <f>VLOOKUP('Verwarming Tabula 2zone'!D743,'Gebouwgegevens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x14ac:dyDescent="0.25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2zone'!C744,'Gebouwgegevens Allacker'!$A$35:$F$46,5,0)</f>
        <v>#N/A</v>
      </c>
      <c r="H744" s="123" t="e">
        <f>VLOOKUP('Verwarming Tabula 2zone'!D744,'Gebouwgegevens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x14ac:dyDescent="0.25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2zone'!C745,'Gebouwgegevens Allacker'!$A$35:$F$46,5,0)</f>
        <v>#N/A</v>
      </c>
      <c r="H745" s="123" t="e">
        <f>VLOOKUP('Verwarming Tabula 2zone'!D745,'Gebouwgegevens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x14ac:dyDescent="0.25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2zone'!C746,'Gebouwgegevens Allacker'!$A$35:$F$46,5,0)</f>
        <v>#N/A</v>
      </c>
      <c r="H746" s="123" t="e">
        <f>VLOOKUP('Verwarming Tabula 2zone'!D746,'Gebouwgegevens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x14ac:dyDescent="0.25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2zone'!C747,'Gebouwgegevens Allacker'!$A$35:$F$46,5,0)</f>
        <v>#N/A</v>
      </c>
      <c r="H747" s="123" t="e">
        <f>VLOOKUP('Verwarming Tabula 2zone'!D747,'Gebouwgegevens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x14ac:dyDescent="0.25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2zone'!C748,'Gebouwgegevens Allacker'!$A$35:$F$46,5,0)</f>
        <v>#N/A</v>
      </c>
      <c r="H748" s="123" t="e">
        <f>VLOOKUP('Verwarming Tabula 2zone'!D748,'Gebouwgegevens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x14ac:dyDescent="0.25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2zone'!C749,'Gebouwgegevens Allacker'!$A$35:$F$46,5,0)</f>
        <v>#N/A</v>
      </c>
      <c r="H749" s="123" t="e">
        <f>VLOOKUP('Verwarming Tabula 2zone'!D749,'Gebouwgegevens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x14ac:dyDescent="0.25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2zone'!C750,'Gebouwgegevens Allacker'!$A$35:$F$46,5,0)</f>
        <v>#N/A</v>
      </c>
      <c r="H750" s="123" t="e">
        <f>VLOOKUP('Verwarming Tabula 2zone'!D750,'Gebouwgegevens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x14ac:dyDescent="0.25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x14ac:dyDescent="0.25">
      <c r="A755" s="312" t="s">
        <v>197</v>
      </c>
      <c r="B755" s="312"/>
      <c r="C755" s="312"/>
      <c r="D755" s="126" t="s">
        <v>225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x14ac:dyDescent="0.25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x14ac:dyDescent="0.25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x14ac:dyDescent="0.25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x14ac:dyDescent="0.25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x14ac:dyDescent="0.25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x14ac:dyDescent="0.25">
      <c r="A773" s="312" t="s">
        <v>213</v>
      </c>
      <c r="B773" s="312"/>
      <c r="C773" s="312"/>
      <c r="D773" s="312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x14ac:dyDescent="0.25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x14ac:dyDescent="0.25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x14ac:dyDescent="0.25">
      <c r="A776" s="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 2zone'!$B$4)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x14ac:dyDescent="0.25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x14ac:dyDescent="0.25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x14ac:dyDescent="0.25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="85" zoomScaleNormal="85" workbookViewId="0">
      <selection sqref="A1:I1"/>
    </sheetView>
  </sheetViews>
  <sheetFormatPr defaultRowHeight="15" x14ac:dyDescent="0.25"/>
  <cols>
    <col min="1" max="1" width="9.140625" style="153"/>
    <col min="2" max="2" width="16.7109375" style="153" bestFit="1" customWidth="1"/>
    <col min="3" max="1025" width="9.140625" style="153"/>
    <col min="1026" max="16384" width="9.140625" style="81"/>
  </cols>
  <sheetData>
    <row r="1" spans="1:25" ht="20.25" customHeight="1" x14ac:dyDescent="0.25">
      <c r="A1" s="310" t="s">
        <v>164</v>
      </c>
      <c r="B1" s="310"/>
      <c r="C1" s="310"/>
      <c r="D1" s="310"/>
      <c r="E1" s="310"/>
      <c r="F1" s="310"/>
      <c r="G1" s="310"/>
      <c r="H1" s="310"/>
      <c r="I1" s="310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68"/>
      <c r="W4" s="268"/>
      <c r="X4" s="268"/>
      <c r="Y4" s="95"/>
    </row>
    <row r="5" spans="1:25" ht="18" customHeight="1" thickTop="1" thickBot="1" x14ac:dyDescent="0.3">
      <c r="A5" s="94"/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95"/>
      <c r="U5" s="96"/>
      <c r="V5" s="307" t="s">
        <v>168</v>
      </c>
      <c r="W5" s="307"/>
      <c r="X5" s="307"/>
      <c r="Y5" s="97"/>
    </row>
    <row r="6" spans="1:25" ht="18.75" customHeight="1" thickTop="1" thickBo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68"/>
      <c r="Y6" s="97"/>
    </row>
    <row r="7" spans="1:25" ht="16.5" customHeight="1" thickTop="1" x14ac:dyDescent="0.25">
      <c r="A7" s="312" t="s">
        <v>171</v>
      </c>
      <c r="B7" s="312"/>
      <c r="C7" s="312"/>
      <c r="D7" s="312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95"/>
      <c r="U7" s="96"/>
      <c r="V7" s="102">
        <f>B6</f>
        <v>1</v>
      </c>
      <c r="W7" s="103">
        <f>B73</f>
        <v>5480.2844479428586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2820.7181922793056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thickBo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thickTop="1" thickBot="1" x14ac:dyDescent="0.3">
      <c r="A12" s="96"/>
      <c r="B12" s="107" t="str">
        <f>'Tabula 2zone Ref 1'!J6</f>
        <v>W1</v>
      </c>
      <c r="C12" s="108">
        <f>VLOOKUP(B12,'Tabula 2zone Ref 1'!$J$5:$Q$83,3,0)</f>
        <v>1</v>
      </c>
      <c r="D12" s="108" t="str">
        <f>VLOOKUP(B12,'Tabula 2zone Ref 1'!$J$5:$Q$83,4,0)</f>
        <v>Wall External</v>
      </c>
      <c r="E12" s="108">
        <f>VLOOKUP(B12,'Tabula 2zone Ref 1'!$J$5:$Q$83,5,0)</f>
        <v>19.742421874491026</v>
      </c>
      <c r="F12" s="108" t="str">
        <f>VLOOKUP(B12,'Tabula 2zone Ref 1'!$J$5:$Q$83,6,0)</f>
        <v>front</v>
      </c>
      <c r="G12" s="108">
        <f>VLOOKUP(B12,'Tabula 2zone Ref 1'!$J$5:$Q$83,7,0)</f>
        <v>0.31684206193169995</v>
      </c>
      <c r="H12" s="109">
        <f>VLOOKUP(B12,'Tabula 2zone Ref 1'!$J$5:$Q$83,8,0)</f>
        <v>6.2552296542392334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thickTop="1" thickBot="1" x14ac:dyDescent="0.3">
      <c r="A13" s="96"/>
      <c r="B13" s="107" t="str">
        <f>'Tabula 2zone Ref 1'!J7</f>
        <v>W2</v>
      </c>
      <c r="C13" s="108">
        <f>VLOOKUP(B13,'Tabula 2zone Ref 1'!$J$5:$Q$83,3,0)</f>
        <v>1</v>
      </c>
      <c r="D13" s="108" t="str">
        <f>VLOOKUP(B13,'Tabula 2zone Ref 1'!$J$5:$Q$83,4,0)</f>
        <v>Wall External</v>
      </c>
      <c r="E13" s="108">
        <f>VLOOKUP(B13,'Tabula 2zone Ref 1'!$J$5:$Q$83,5,0)</f>
        <v>34.704039143624534</v>
      </c>
      <c r="F13" s="108" t="str">
        <f>VLOOKUP(B13,'Tabula 2zone Ref 1'!$J$5:$Q$83,6,0)</f>
        <v>right</v>
      </c>
      <c r="G13" s="108">
        <f>VLOOKUP(B13,'Tabula 2zone Ref 1'!$J$5:$Q$83,7,0)</f>
        <v>0.31684206193169995</v>
      </c>
      <c r="H13" s="109">
        <f>VLOOKUP(B13,'Tabula 2zone Ref 1'!$J$5:$Q$83,8,0)</f>
        <v>10.995699319624423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thickTop="1" thickBot="1" x14ac:dyDescent="0.3">
      <c r="A14" s="96"/>
      <c r="B14" s="107" t="str">
        <f>'Tabula 2zone Ref 1'!J8</f>
        <v>W3</v>
      </c>
      <c r="C14" s="108">
        <f>VLOOKUP(B14,'Tabula 2zone Ref 1'!$J$5:$Q$83,3,0)</f>
        <v>1</v>
      </c>
      <c r="D14" s="108" t="str">
        <f>VLOOKUP(B14,'Tabula 2zone Ref 1'!$J$5:$Q$83,4,0)</f>
        <v>Wall External</v>
      </c>
      <c r="E14" s="108">
        <f>VLOOKUP(B14,'Tabula 2zone Ref 1'!$J$5:$Q$83,5,0)</f>
        <v>19.742421874491026</v>
      </c>
      <c r="F14" s="108" t="str">
        <f>VLOOKUP(B14,'Tabula 2zone Ref 1'!$J$5:$Q$83,6,0)</f>
        <v>back</v>
      </c>
      <c r="G14" s="108">
        <f>VLOOKUP(B14,'Tabula 2zone Ref 1'!$J$5:$Q$83,7,0)</f>
        <v>0.31684206193169995</v>
      </c>
      <c r="H14" s="109">
        <f>VLOOKUP(B14,'Tabula 2zone Ref 1'!$J$5:$Q$83,8,0)</f>
        <v>6.2552296542392334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thickTop="1" thickBot="1" x14ac:dyDescent="0.3">
      <c r="A15" s="96"/>
      <c r="B15" s="107" t="str">
        <f>'Tabula 2zone Ref 1'!J9</f>
        <v>W4</v>
      </c>
      <c r="C15" s="108">
        <f>VLOOKUP(B15,'Tabula 2zone Ref 1'!$J$5:$Q$83,3,0)</f>
        <v>1</v>
      </c>
      <c r="D15" s="108" t="str">
        <f>VLOOKUP(B15,'Tabula 2zone Ref 1'!$J$5:$Q$83,4,0)</f>
        <v>Wall External</v>
      </c>
      <c r="E15" s="108">
        <f>VLOOKUP(B15,'Tabula 2zone Ref 1'!$J$5:$Q$83,5,0)</f>
        <v>0</v>
      </c>
      <c r="F15" s="108" t="str">
        <f>VLOOKUP(B15,'Tabula 2zone Ref 1'!$J$5:$Q$83,6,0)</f>
        <v>left</v>
      </c>
      <c r="G15" s="108">
        <f>VLOOKUP(B15,'Tabula 2zone Ref 1'!$J$5:$Q$83,7,0)</f>
        <v>0.31684206193169995</v>
      </c>
      <c r="H15" s="109">
        <f>VLOOKUP(B15,'Tabula 2zone Ref 1'!$J$5:$Q$83,8,0)</f>
        <v>0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thickTop="1" thickBot="1" x14ac:dyDescent="0.3">
      <c r="A16" s="96"/>
      <c r="B16" s="107" t="str">
        <f>'Tabula 2zone Ref 1'!J10</f>
        <v>W5</v>
      </c>
      <c r="C16" s="108">
        <f>VLOOKUP(B16,'Tabula 2zone Ref 1'!$J$5:$Q$83,3,0)</f>
        <v>1</v>
      </c>
      <c r="D16" s="108" t="str">
        <f>VLOOKUP(B16,'Tabula 2zone Ref 1'!$J$5:$Q$83,4,0)</f>
        <v>Window</v>
      </c>
      <c r="E16" s="108">
        <f>VLOOKUP(B16,'Tabula 2zone Ref 1'!$J$5:$Q$83,5,0)</f>
        <v>3.9</v>
      </c>
      <c r="F16" s="108" t="str">
        <f>VLOOKUP(B16,'Tabula 2zone Ref 1'!$J$5:$Q$83,6,0)</f>
        <v>front</v>
      </c>
      <c r="G16" s="108">
        <f>VLOOKUP(B16,'Tabula 2zone Ref 1'!$J$5:$Q$83,7,0)</f>
        <v>2</v>
      </c>
      <c r="H16" s="109">
        <f>VLOOKUP(B16,'Tabula 2zone Ref 1'!$J$5:$Q$83,8,0)</f>
        <v>7.8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thickTop="1" thickBot="1" x14ac:dyDescent="0.3">
      <c r="A17" s="96"/>
      <c r="B17" s="107" t="str">
        <f>'Tabula 2zone Ref 1'!J11</f>
        <v>W6</v>
      </c>
      <c r="C17" s="108">
        <f>VLOOKUP(B17,'Tabula 2zone Ref 1'!$J$5:$Q$83,3,0)</f>
        <v>1</v>
      </c>
      <c r="D17" s="108" t="str">
        <f>VLOOKUP(B17,'Tabula 2zone Ref 1'!$J$5:$Q$83,4,0)</f>
        <v>Window</v>
      </c>
      <c r="E17" s="108">
        <f>VLOOKUP(B17,'Tabula 2zone Ref 1'!$J$5:$Q$83,5,0)</f>
        <v>4</v>
      </c>
      <c r="F17" s="108" t="str">
        <f>VLOOKUP(B17,'Tabula 2zone Ref 1'!$J$5:$Q$83,6,0)</f>
        <v>right</v>
      </c>
      <c r="G17" s="108">
        <f>VLOOKUP(B17,'Tabula 2zone Ref 1'!$J$5:$Q$83,7,0)</f>
        <v>2</v>
      </c>
      <c r="H17" s="109">
        <f>VLOOKUP(B17,'Tabula 2zone Ref 1'!$J$5:$Q$83,8,0)</f>
        <v>8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">
      <c r="A18" s="96"/>
      <c r="B18" s="107" t="str">
        <f>'Tabula 2zone Ref 1'!J12</f>
        <v>W7</v>
      </c>
      <c r="C18" s="108">
        <f>VLOOKUP(B18,'Tabula 2zone Ref 1'!$J$5:$Q$83,3,0)</f>
        <v>1</v>
      </c>
      <c r="D18" s="108" t="str">
        <f>VLOOKUP(B18,'Tabula 2zone Ref 1'!$J$5:$Q$83,4,0)</f>
        <v>Window</v>
      </c>
      <c r="E18" s="108">
        <f>VLOOKUP(B18,'Tabula 2zone Ref 1'!$J$5:$Q$83,5,0)</f>
        <v>4.55</v>
      </c>
      <c r="F18" s="108" t="str">
        <f>VLOOKUP(B18,'Tabula 2zone Ref 1'!$J$5:$Q$83,6,0)</f>
        <v>back</v>
      </c>
      <c r="G18" s="108">
        <f>VLOOKUP(B18,'Tabula 2zone Ref 1'!$J$5:$Q$83,7,0)</f>
        <v>2</v>
      </c>
      <c r="H18" s="109">
        <f>VLOOKUP(B18,'Tabula 2zone Ref 1'!$J$5:$Q$83,8,0)</f>
        <v>9.1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268" t="s">
        <v>172</v>
      </c>
      <c r="Y18" s="97"/>
    </row>
    <row r="19" spans="1:25" ht="16.5" customHeight="1" thickTop="1" thickBot="1" x14ac:dyDescent="0.3">
      <c r="A19" s="96"/>
      <c r="B19" s="107" t="str">
        <f>'Tabula 2zone Ref 1'!J13</f>
        <v>W8</v>
      </c>
      <c r="C19" s="108">
        <f>VLOOKUP(B19,'Tabula 2zone Ref 1'!$J$5:$Q$83,3,0)</f>
        <v>1</v>
      </c>
      <c r="D19" s="108" t="str">
        <f>VLOOKUP(B19,'Tabula 2zone Ref 1'!$J$5:$Q$83,4,0)</f>
        <v>Window</v>
      </c>
      <c r="E19" s="108">
        <f>VLOOKUP(B19,'Tabula 2zone Ref 1'!$J$5:$Q$83,5,0)</f>
        <v>3.7</v>
      </c>
      <c r="F19" s="108" t="str">
        <f>VLOOKUP(B19,'Tabula 2zone Ref 1'!$J$5:$Q$83,6,0)</f>
        <v>left</v>
      </c>
      <c r="G19" s="108">
        <f>VLOOKUP(B19,'Tabula 2zone Ref 1'!$J$5:$Q$83,7,0)</f>
        <v>2</v>
      </c>
      <c r="H19" s="109">
        <f>VLOOKUP(B19,'Tabula 2zone Ref 1'!$J$5:$Q$83,8,0)</f>
        <v>7.4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">
      <c r="A21" s="96"/>
      <c r="B21" s="107" t="str">
        <f>'Gebouwgegevens Allacker'!J15</f>
        <v>W10</v>
      </c>
      <c r="C21" s="108">
        <f>VLOOKUP(B21,'Tabula 2zone Ref 1'!$J$5:$Q$83,3,0)</f>
        <v>1</v>
      </c>
      <c r="D21" s="108" t="str">
        <f>VLOOKUP(B21,'Tabula 2zone Ref 1'!$J$5:$Q$83,4,0)</f>
        <v>Roof</v>
      </c>
      <c r="E21" s="108">
        <f>VLOOKUP(B21,'Tabula 2zone Ref 1'!$J$5:$Q$83,5,0)</f>
        <v>0</v>
      </c>
      <c r="F21" s="108">
        <f>VLOOKUP(B21,'Tabula 2zone Ref 1'!$J$5:$Q$83,6,0)</f>
        <v>0</v>
      </c>
      <c r="G21" s="108">
        <f>VLOOKUP(B21,'Tabula 2zone Ref 1'!$J$5:$Q$83,7,0)</f>
        <v>0.3127301569316186</v>
      </c>
      <c r="H21" s="109">
        <f>VLOOKUP(B21,'Tabula 2zone Ref 1'!$J$5:$Q$83,8,0)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6028.3128927371454</v>
      </c>
      <c r="X21" s="99"/>
      <c r="Y21" s="99"/>
    </row>
    <row r="22" spans="1:25" ht="16.5" customHeight="1" thickTop="1" thickBot="1" x14ac:dyDescent="0.3">
      <c r="A22" s="96"/>
      <c r="B22" s="107" t="str">
        <f>'Gebouwgegevens Allacker'!J16</f>
        <v>W11</v>
      </c>
      <c r="C22" s="108">
        <f>VLOOKUP(B22,'Tabula 2zone Ref 1'!$J$5:$Q$83,3,0)</f>
        <v>1</v>
      </c>
      <c r="D22" s="108" t="str">
        <f>VLOOKUP(B22,'Tabula 2zone Ref 1'!$J$5:$Q$83,4,0)</f>
        <v>Door</v>
      </c>
      <c r="E22" s="108">
        <f>VLOOKUP(B22,'Tabula 2zone Ref 1'!$J$5:$Q$83,5,0)</f>
        <v>9.5</v>
      </c>
      <c r="F22" s="108">
        <f>VLOOKUP(B22,'Tabula 2zone Ref 1'!$J$5:$Q$83,6,0)</f>
        <v>0</v>
      </c>
      <c r="G22" s="108">
        <f>VLOOKUP(B22,'Tabula 2zone Ref 1'!$J$5:$Q$83,7,0)</f>
        <v>4</v>
      </c>
      <c r="H22" s="109">
        <f>VLOOKUP(B22,'Tabula 2zone Ref 1'!$J$5:$Q$83,8,0)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">
      <c r="A28" s="96"/>
      <c r="B28" s="117" t="s">
        <v>61</v>
      </c>
      <c r="C28" s="118">
        <f>VLOOKUP(B28,'Tabula 2zone Ref 1'!$J$5:$Q$83,3,0)</f>
        <v>1</v>
      </c>
      <c r="D28" s="118" t="str">
        <f>VLOOKUP(B28,'Tabula 2zone Ref 1'!$J$5:$Q$83,4,0)</f>
        <v>Floor</v>
      </c>
      <c r="E28" s="118">
        <f>VLOOKUP(B28,'Tabula 2zone Ref 1'!$J$5:$Q$83,5,0)</f>
        <v>96</v>
      </c>
      <c r="F28" s="118">
        <f>VLOOKUP(B28,'Tabula 2zone Ref 1'!$J$5:$Q$83,7,0)</f>
        <v>0.3056768558951965</v>
      </c>
      <c r="G28" s="119">
        <f>VLOOKUP(B28,'Tabula 2zone Ref 1'!$J$5:$Q$83,8,0)</f>
        <v>29.344978165938862</v>
      </c>
      <c r="H28" s="119">
        <f>N28/F28/29*9*1.45</f>
        <v>0.32699059695931532</v>
      </c>
      <c r="I28" s="118">
        <f>'Tabula 2zone Ref 1'!N14</f>
        <v>96</v>
      </c>
      <c r="J28" s="117">
        <f>SQRT(I28)*4</f>
        <v>39.191835884530846</v>
      </c>
      <c r="K28" s="117">
        <f>SUM('Tabula 2zone Ref 1'!Y16:Y19)</f>
        <v>0.2225</v>
      </c>
      <c r="L28" s="120">
        <f>I28/(0.5*J28)</f>
        <v>4.8989794855663567</v>
      </c>
      <c r="M28" s="120">
        <f>K28+2*(1/F28)</f>
        <v>6.7653571428571428</v>
      </c>
      <c r="N28" s="121">
        <f>IF(M28&lt;L28,2*2/(PI()*L28+M28)*LN(PI()*L28/M28+1),2/(0.457*L28+M28))</f>
        <v>0.22211879463514869</v>
      </c>
      <c r="O28" s="99"/>
      <c r="P28" s="97"/>
    </row>
    <row r="29" spans="1:25" ht="15.75" customHeight="1" thickTop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 t="e">
        <f>1.1*W18</f>
        <v>#N/A</v>
      </c>
    </row>
    <row r="32" spans="1:25" ht="15.75" customHeight="1" thickBo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">
      <c r="A33" s="96"/>
      <c r="B33" s="122" t="s">
        <v>98</v>
      </c>
      <c r="C33" s="123">
        <f>IF(VLOOKUP(B33,'Tabula 2zone Ref 1'!$J$5:$Q$83,2,0)=B$6,VLOOKUP(B33,'Tabula 2zone Ref 1'!$J$5:$Q$83,2,0),VLOOKUP(B33,'Tabula 2zone Ref 1'!$J$5:$Q$83,3,0))</f>
        <v>1</v>
      </c>
      <c r="D33" s="123">
        <f>IF(VLOOKUP(B33,'Tabula 2zone Ref 1'!$J$5:$Q$83,2,0)=B$6,VLOOKUP(B33,'Tabula 2zone Ref 1'!$J$5:$Q$83,3,0),VLOOKUP(B33,'Tabula 2zone Ref 1'!$J$5:$Q$83,2,0))</f>
        <v>2</v>
      </c>
      <c r="E33" s="123" t="str">
        <f>VLOOKUP(B33,'Tabula 2zone Ref 1'!$J$5:$Q$83,4,0)</f>
        <v>Floor internal</v>
      </c>
      <c r="F33" s="123">
        <f>VLOOKUP(B33,'Tabula 2zone Ref 1'!$J$5:$Q$83,5,0)</f>
        <v>89.300000000000011</v>
      </c>
      <c r="G33" s="123">
        <f>VLOOKUP('Verwarming Tabula 2zone Ref 1'!C33,'Tabula 2zone Ref 1'!$A$34:$F$45,5,0)</f>
        <v>21</v>
      </c>
      <c r="H33" s="123">
        <f>VLOOKUP('Verwarming Tabula 2zone Ref 1'!D33,'Tabula 2zone Ref 1'!$A$34:$F$45,5,0)</f>
        <v>16</v>
      </c>
      <c r="I33" s="123">
        <f>VLOOKUP(B33,'Tabula 2zone Ref 1'!$J$5:$Q$83,7,0)</f>
        <v>1.4911242603550294</v>
      </c>
      <c r="J33" s="119">
        <f>VLOOKUP(B33,'Tabula 2zone Ref 1'!$J$5:$Q$83,8,0)</f>
        <v>133.15739644970415</v>
      </c>
      <c r="K33" s="119">
        <f>(G33-H33)/(G33-$B$4)</f>
        <v>0.17241379310344829</v>
      </c>
      <c r="L33" s="99"/>
      <c r="M33" s="99"/>
      <c r="N33" s="99"/>
      <c r="O33" s="99"/>
      <c r="P33" s="97"/>
    </row>
    <row r="34" spans="1:16" ht="16.5" customHeight="1" thickTop="1" thickBot="1" x14ac:dyDescent="0.3">
      <c r="A34" s="96"/>
      <c r="B34" s="122" t="s">
        <v>101</v>
      </c>
      <c r="C34" s="123">
        <f>IF(VLOOKUP(B34,'Tabula 2zone Ref 1'!$J$5:$Q$83,2,0)=B$6,VLOOKUP(B34,'Tabula 2zone Ref 1'!$J$5:$Q$83,2,0),VLOOKUP(B34,'Tabula 2zone Ref 1'!$J$5:$Q$83,3,0))</f>
        <v>1</v>
      </c>
      <c r="D34" s="123">
        <f>IF(VLOOKUP(B34,'Tabula 2zone Ref 1'!$J$5:$Q$83,2,0)=B$6,VLOOKUP(B34,'Tabula 2zone Ref 1'!$J$5:$Q$83,3,0),VLOOKUP(B34,'Tabula 2zone Ref 1'!$J$5:$Q$83,2,0))</f>
        <v>1</v>
      </c>
      <c r="E34" s="123" t="str">
        <f>VLOOKUP(B34,'Tabula 2zone Ref 1'!$J$5:$Q$83,4,0)</f>
        <v>Wall internal</v>
      </c>
      <c r="F34" s="123">
        <f>VLOOKUP(B34,'Tabula 2zone Ref 1'!$J$5:$Q$83,5,0)</f>
        <v>74.188882892606586</v>
      </c>
      <c r="G34" s="123">
        <f>VLOOKUP('Verwarming Tabula 2zone Ref 1'!C34,'Tabula 2zone Ref 1'!$A$34:$F$45,5,0)</f>
        <v>21</v>
      </c>
      <c r="H34" s="123">
        <f>VLOOKUP('Verwarming Tabula 2zone Ref 1'!D34,'Tabula 2zone Ref 1'!$A$34:$F$45,5,0)</f>
        <v>21</v>
      </c>
      <c r="I34" s="123">
        <f>VLOOKUP(B34,'Tabula 2zone Ref 1'!$J$5:$Q$83,7,0)</f>
        <v>1.7363344051446945</v>
      </c>
      <c r="J34" s="119">
        <f>VLOOKUP(B34,'Tabula 2zone Ref 1'!$J$5:$Q$83,8,0)</f>
        <v>128.81670984568345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SUMPRODUCT(H12:H22,I12:I22)+SUMPRODUCT(G28,H28)+SUMPRODUCT(J33:J38,K33:K38)</f>
        <v>126.35986235801445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3664.436008382419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25">
      <c r="A45" s="312" t="s">
        <v>197</v>
      </c>
      <c r="B45" s="312"/>
      <c r="C45" s="312"/>
      <c r="D45" s="126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">
      <c r="A48" s="128" t="s">
        <v>199</v>
      </c>
      <c r="B48" s="122">
        <f>'Tabula data'!E34</f>
        <v>4.5871271585557301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25">
      <c r="A51" s="125" t="s">
        <v>205</v>
      </c>
      <c r="B51" s="119">
        <f>B48/20*'Tabula 2zone Ref 1'!B34</f>
        <v>77.06373626373626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'Tabula 2zone Ref 1'!G34</f>
        <v>96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77.06373626373626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0.37135212779240884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26.201670329670332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759.8484395604396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25">
      <c r="A63" s="312" t="s">
        <v>213</v>
      </c>
      <c r="B63" s="312"/>
      <c r="C63" s="312"/>
      <c r="D63" s="312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">
      <c r="A66" s="128" t="s">
        <v>113</v>
      </c>
      <c r="B66" s="122">
        <f>'Tabula 2zone Ref 1'!B7</f>
        <v>96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25">
      <c r="A67" s="125" t="s">
        <v>216</v>
      </c>
      <c r="B67" s="119">
        <f>B68/('Gebouwgegevens Tabula'!E35-'Verwarming Tabula 2zone Ref 1'!$B$4)</f>
        <v>36.413793103448278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1056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25">
      <c r="A72" s="125" t="s">
        <v>218</v>
      </c>
      <c r="B72" s="119">
        <f>SUM(B42,B60,B67)</f>
        <v>188.97532579113306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5480.2844479428586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">
      <c r="A77" s="94"/>
      <c r="B77" s="268"/>
      <c r="C77" s="268"/>
      <c r="D77" s="268"/>
      <c r="E77" s="268"/>
      <c r="F77" s="268"/>
      <c r="G77" s="268"/>
      <c r="H77" s="268"/>
      <c r="I77" s="268"/>
      <c r="J77" s="268"/>
      <c r="K77" s="268"/>
      <c r="L77" s="268"/>
      <c r="M77" s="268"/>
      <c r="N77" s="268"/>
      <c r="O77" s="268"/>
      <c r="P77" s="95"/>
    </row>
    <row r="78" spans="1:16" ht="17.25" customHeight="1" thickTop="1" thickBo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25">
      <c r="A79" s="312" t="s">
        <v>171</v>
      </c>
      <c r="B79" s="312"/>
      <c r="C79" s="312"/>
      <c r="D79" s="312"/>
      <c r="E79" s="268"/>
      <c r="F79" s="268"/>
      <c r="G79" s="268"/>
      <c r="H79" s="268"/>
      <c r="I79" s="268"/>
      <c r="J79" s="268"/>
      <c r="K79" s="268"/>
      <c r="L79" s="268"/>
      <c r="M79" s="268"/>
      <c r="N79" s="268"/>
      <c r="O79" s="268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">
      <c r="A84" s="96"/>
      <c r="B84" s="107" t="s">
        <v>71</v>
      </c>
      <c r="C84" s="108">
        <f>VLOOKUP(B84,'Tabula 2zone Ref 1'!$J$5:$Q$83,3,0)</f>
        <v>2</v>
      </c>
      <c r="D84" s="108" t="str">
        <f>VLOOKUP(B84,'Tabula 2zone Ref 1'!$J$5:$Q$83,4,0)</f>
        <v>Wall External</v>
      </c>
      <c r="E84" s="108">
        <f>VLOOKUP(B84,'Tabula 2zone Ref 1'!$J$5:$Q$83,5,0)</f>
        <v>18.364565347833842</v>
      </c>
      <c r="F84" s="108" t="str">
        <f>VLOOKUP(B84,'Tabula 2zone Ref 1'!$J$5:$Q$83,6,0)</f>
        <v>front</v>
      </c>
      <c r="G84" s="108">
        <f>VLOOKUP(B84,'Tabula 2zone Ref 1'!$J$5:$Q$83,7,0)</f>
        <v>0.31684206193169995</v>
      </c>
      <c r="H84" s="109">
        <f>VLOOKUP(B84,'Tabula 2zone Ref 1'!$J$5:$Q$83,8,0)</f>
        <v>5.8186667512871209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">
      <c r="A85" s="96"/>
      <c r="B85" s="107" t="s">
        <v>75</v>
      </c>
      <c r="C85" s="108">
        <f>VLOOKUP(B85,'Tabula 2zone Ref 1'!$J$5:$Q$83,3,0)</f>
        <v>2</v>
      </c>
      <c r="D85" s="108" t="str">
        <f>VLOOKUP(B85,'Tabula 2zone Ref 1'!$J$5:$Q$83,4,0)</f>
        <v>Wall External</v>
      </c>
      <c r="E85" s="108">
        <f>VLOOKUP(B85,'Tabula 2zone Ref 1'!$J$5:$Q$83,5,0)</f>
        <v>32.281986411725747</v>
      </c>
      <c r="F85" s="108" t="str">
        <f>VLOOKUP(B85,'Tabula 2zone Ref 1'!$J$5:$Q$83,6,0)</f>
        <v>right</v>
      </c>
      <c r="G85" s="108">
        <f>VLOOKUP(B85,'Tabula 2zone Ref 1'!$J$5:$Q$83,7,0)</f>
        <v>0.31684206193169995</v>
      </c>
      <c r="H85" s="109">
        <f>VLOOKUP(B85,'Tabula 2zone Ref 1'!$J$5:$Q$83,8,0)</f>
        <v>10.228291137942305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">
      <c r="A86" s="96"/>
      <c r="B86" s="107" t="s">
        <v>79</v>
      </c>
      <c r="C86" s="108">
        <f>VLOOKUP(B86,'Tabula 2zone Ref 1'!$J$5:$Q$83,3,0)</f>
        <v>2</v>
      </c>
      <c r="D86" s="108" t="str">
        <f>VLOOKUP(B86,'Tabula 2zone Ref 1'!$J$5:$Q$83,4,0)</f>
        <v>Wall External</v>
      </c>
      <c r="E86" s="108">
        <f>VLOOKUP(B86,'Tabula 2zone Ref 1'!$J$5:$Q$83,5,0)</f>
        <v>18.364565347833842</v>
      </c>
      <c r="F86" s="108" t="str">
        <f>VLOOKUP(B86,'Tabula 2zone Ref 1'!$J$5:$Q$83,6,0)</f>
        <v>back</v>
      </c>
      <c r="G86" s="108">
        <f>VLOOKUP(B86,'Tabula 2zone Ref 1'!$J$5:$Q$83,7,0)</f>
        <v>0.31684206193169995</v>
      </c>
      <c r="H86" s="109">
        <f>VLOOKUP(B86,'Tabula 2zone Ref 1'!$J$5:$Q$83,8,0)</f>
        <v>5.8186667512871209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">
      <c r="A87" s="96"/>
      <c r="B87" s="107" t="s">
        <v>82</v>
      </c>
      <c r="C87" s="108">
        <f>VLOOKUP(B87,'Tabula 2zone Ref 1'!$J$5:$Q$83,3,0)</f>
        <v>2</v>
      </c>
      <c r="D87" s="108" t="str">
        <f>VLOOKUP(B87,'Tabula 2zone Ref 1'!$J$5:$Q$83,4,0)</f>
        <v>Wall External</v>
      </c>
      <c r="E87" s="108">
        <f>VLOOKUP(B87,'Tabula 2zone Ref 1'!$J$5:$Q$83,5,0)</f>
        <v>0</v>
      </c>
      <c r="F87" s="108" t="str">
        <f>VLOOKUP(B87,'Tabula 2zone Ref 1'!$J$5:$Q$83,6,0)</f>
        <v>left</v>
      </c>
      <c r="G87" s="108">
        <f>VLOOKUP(B87,'Tabula 2zone Ref 1'!$J$5:$Q$83,7,0)</f>
        <v>0.31684206193169995</v>
      </c>
      <c r="H87" s="109">
        <f>VLOOKUP(B87,'Tabula 2zone Ref 1'!$J$5:$Q$83,8,0)</f>
        <v>0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">
      <c r="A88" s="96"/>
      <c r="B88" s="107" t="s">
        <v>84</v>
      </c>
      <c r="C88" s="108">
        <f>VLOOKUP(B88,'Tabula 2zone Ref 1'!$J$5:$Q$83,3,0)</f>
        <v>2</v>
      </c>
      <c r="D88" s="108" t="str">
        <f>VLOOKUP(B88,'Tabula 2zone Ref 1'!$J$5:$Q$83,4,0)</f>
        <v>Window</v>
      </c>
      <c r="E88" s="108">
        <f>VLOOKUP(B88,'Tabula 2zone Ref 1'!$J$5:$Q$83,5,0)</f>
        <v>3.9</v>
      </c>
      <c r="F88" s="108" t="str">
        <f>VLOOKUP(B88,'Tabula 2zone Ref 1'!$J$5:$Q$83,6,0)</f>
        <v>front</v>
      </c>
      <c r="G88" s="108">
        <f>VLOOKUP(B88,'Tabula 2zone Ref 1'!$J$5:$Q$83,7,0)</f>
        <v>2</v>
      </c>
      <c r="H88" s="109">
        <f>VLOOKUP(B88,'Tabula 2zone Ref 1'!$J$5:$Q$83,8,0)</f>
        <v>7.8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">
      <c r="A89" s="96"/>
      <c r="B89" s="107" t="s">
        <v>87</v>
      </c>
      <c r="C89" s="108">
        <f>VLOOKUP(B89,'Tabula 2zone Ref 1'!$J$5:$Q$83,3,0)</f>
        <v>2</v>
      </c>
      <c r="D89" s="108" t="str">
        <f>VLOOKUP(B89,'Tabula 2zone Ref 1'!$J$5:$Q$83,4,0)</f>
        <v>Window</v>
      </c>
      <c r="E89" s="108">
        <f>VLOOKUP(B89,'Tabula 2zone Ref 1'!$J$5:$Q$83,5,0)</f>
        <v>4</v>
      </c>
      <c r="F89" s="108" t="str">
        <f>VLOOKUP(B89,'Tabula 2zone Ref 1'!$J$5:$Q$83,6,0)</f>
        <v>right</v>
      </c>
      <c r="G89" s="108">
        <f>VLOOKUP(B89,'Tabula 2zone Ref 1'!$J$5:$Q$83,7,0)</f>
        <v>2</v>
      </c>
      <c r="H89" s="109">
        <f>VLOOKUP(B89,'Tabula 2zone Ref 1'!$J$5:$Q$83,8,0)</f>
        <v>8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">
      <c r="A90" s="96"/>
      <c r="B90" s="107" t="s">
        <v>89</v>
      </c>
      <c r="C90" s="108">
        <f>VLOOKUP(B90,'Tabula 2zone Ref 1'!$J$5:$Q$83,3,0)</f>
        <v>2</v>
      </c>
      <c r="D90" s="108" t="str">
        <f>VLOOKUP(B90,'Tabula 2zone Ref 1'!$J$5:$Q$83,4,0)</f>
        <v>Window</v>
      </c>
      <c r="E90" s="108">
        <f>VLOOKUP(B90,'Tabula 2zone Ref 1'!$J$5:$Q$83,5,0)</f>
        <v>4.55</v>
      </c>
      <c r="F90" s="108" t="str">
        <f>VLOOKUP(B90,'Tabula 2zone Ref 1'!$J$5:$Q$83,6,0)</f>
        <v>back</v>
      </c>
      <c r="G90" s="108">
        <f>VLOOKUP(B90,'Tabula 2zone Ref 1'!$J$5:$Q$83,7,0)</f>
        <v>2</v>
      </c>
      <c r="H90" s="109">
        <f>VLOOKUP(B90,'Tabula 2zone Ref 1'!$J$5:$Q$83,8,0)</f>
        <v>9.1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">
      <c r="A91" s="96"/>
      <c r="B91" s="107" t="s">
        <v>92</v>
      </c>
      <c r="C91" s="108">
        <f>VLOOKUP(B91,'Tabula 2zone Ref 1'!$J$5:$Q$83,3,0)</f>
        <v>2</v>
      </c>
      <c r="D91" s="108" t="str">
        <f>VLOOKUP(B91,'Tabula 2zone Ref 1'!$J$5:$Q$83,4,0)</f>
        <v>Window</v>
      </c>
      <c r="E91" s="108">
        <f>VLOOKUP(B91,'Tabula 2zone Ref 1'!$J$5:$Q$83,5,0)</f>
        <v>3.7</v>
      </c>
      <c r="F91" s="108" t="str">
        <f>VLOOKUP(B91,'Tabula 2zone Ref 1'!$J$5:$Q$83,6,0)</f>
        <v>left</v>
      </c>
      <c r="G91" s="108">
        <f>VLOOKUP(B91,'Tabula 2zone Ref 1'!$J$5:$Q$83,7,0)</f>
        <v>2</v>
      </c>
      <c r="H91" s="109">
        <f>VLOOKUP(B91,'Tabula 2zone Ref 1'!$J$5:$Q$83,8,0)</f>
        <v>7.4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">
      <c r="A92" s="96"/>
      <c r="B92" s="107" t="s">
        <v>96</v>
      </c>
      <c r="C92" s="108">
        <f>VLOOKUP(B92,'Tabula 2zone Ref 1'!$J$5:$Q$83,3,0)</f>
        <v>2</v>
      </c>
      <c r="D92" s="108" t="str">
        <f>VLOOKUP(B92,'Tabula 2zone Ref 1'!$J$5:$Q$83,4,0)</f>
        <v>Roof</v>
      </c>
      <c r="E92" s="108">
        <f>VLOOKUP(B92,'Tabula 2zone Ref 1'!$J$5:$Q$83,5,0)</f>
        <v>108.5</v>
      </c>
      <c r="F92" s="108" t="str">
        <f>VLOOKUP(B92,'Tabula 2zone Ref 1'!$J$5:$Q$83,6,0)</f>
        <v>front/back</v>
      </c>
      <c r="G92" s="108">
        <f>VLOOKUP(B92,'Tabula 2zone Ref 1'!$J$5:$Q$83,7,0)</f>
        <v>0.3127301569316186</v>
      </c>
      <c r="H92" s="109">
        <f>VLOOKUP(B92,'Tabula 2zone Ref 1'!$J$5:$Q$83,8,0)</f>
        <v>33.931222027080615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">
      <c r="A108" s="96"/>
      <c r="B108" s="122" t="s">
        <v>98</v>
      </c>
      <c r="C108" s="123">
        <f>IF(VLOOKUP(B108,'Tabula 2zone Ref 1'!$J$5:$Q$83,2,0)=$B$78,VLOOKUP(B108,'Tabula 2zone Ref 1'!$J$5:$Q$83,2,0),VLOOKUP(B108,'Tabula 2zone Ref 1'!$J$5:$Q$83,3,0))</f>
        <v>2</v>
      </c>
      <c r="D108" s="123">
        <f>IF(VLOOKUP(B108,'Tabula 2zone Ref 1'!$J$5:$Q$83,2,0)=$B$78,VLOOKUP(B108,'Tabula 2zone Ref 1'!$J$5:$Q$83,3,0),VLOOKUP(B108,'Tabula 2zone Ref 1'!$J$5:$Q$83,2,0))</f>
        <v>1</v>
      </c>
      <c r="E108" s="123" t="str">
        <f>VLOOKUP(B108,'Tabula 2zone Ref 1'!$J$5:$Q$83,4,0)</f>
        <v>Floor internal</v>
      </c>
      <c r="F108" s="123">
        <f>VLOOKUP(B108,'Tabula 2zone Ref 1'!$J$5:$Q$83,5,0)</f>
        <v>89.300000000000011</v>
      </c>
      <c r="G108" s="123">
        <f>VLOOKUP('Verwarming Tabula 2zone Ref 1'!C108,'Tabula 2zone Ref 1'!$A$34:$F$45,5,0)</f>
        <v>16</v>
      </c>
      <c r="H108" s="123">
        <f>VLOOKUP('Verwarming Tabula 2zone Ref 1'!D108,'Tabula 2zone Ref 1'!$A$34:$F$45,5,0)</f>
        <v>21</v>
      </c>
      <c r="I108" s="123">
        <f>VLOOKUP(B108,'Tabula 2zone Ref 1'!$J$5:$Q$83,7,0)</f>
        <v>1.4911242603550294</v>
      </c>
      <c r="J108" s="119">
        <f>VLOOKUP(B108,'Tabula 2zone Ref 1'!$J$5:$Q$83,8,0)</f>
        <v>133.15739644970415</v>
      </c>
      <c r="K108" s="119">
        <f>(G108-H108)/(G108-$B$4)</f>
        <v>-0.20833333333333334</v>
      </c>
      <c r="L108" s="99"/>
      <c r="M108" s="99"/>
      <c r="N108" s="99"/>
      <c r="O108" s="99"/>
      <c r="P108" s="97"/>
    </row>
    <row r="109" spans="1:16" ht="16.5" customHeight="1" thickTop="1" thickBot="1" x14ac:dyDescent="0.3">
      <c r="A109" s="96"/>
      <c r="B109" s="122" t="s">
        <v>102</v>
      </c>
      <c r="C109" s="123">
        <f>IF(VLOOKUP(B109,'Tabula 2zone Ref 1'!$J$5:$Q$83,2,0)=$B$78,VLOOKUP(B109,'Tabula 2zone Ref 1'!$J$5:$Q$83,2,0),VLOOKUP(B109,'Tabula 2zone Ref 1'!$J$5:$Q$83,3,0))</f>
        <v>2</v>
      </c>
      <c r="D109" s="123">
        <f>IF(VLOOKUP(B109,'Tabula 2zone Ref 1'!$J$5:$Q$83,2,0)=$B$78,VLOOKUP(B109,'Tabula 2zone Ref 1'!$J$5:$Q$83,3,0),VLOOKUP(B109,'Tabula 2zone Ref 1'!$J$5:$Q$83,2,0))</f>
        <v>2</v>
      </c>
      <c r="E109" s="123" t="str">
        <f>VLOOKUP(B109,'Tabula 2zone Ref 1'!$J$5:$Q$83,4,0)</f>
        <v>Wall internal</v>
      </c>
      <c r="F109" s="123">
        <f>VLOOKUP(B109,'Tabula 2zone Ref 1'!$J$5:$Q$83,5,0)</f>
        <v>69.011117107393432</v>
      </c>
      <c r="G109" s="123">
        <f>VLOOKUP('Verwarming Tabula 2zone Ref 1'!C109,'Tabula 2zone Ref 1'!$A$34:$F$45,5,0)</f>
        <v>16</v>
      </c>
      <c r="H109" s="123">
        <f>VLOOKUP('Verwarming Tabula 2zone Ref 1'!D109,'Tabula 2zone Ref 1'!$A$34:$F$45,5,0)</f>
        <v>16</v>
      </c>
      <c r="I109" s="123">
        <f>VLOOKUP(B109,'Tabula 2zone Ref 1'!$J$5:$Q$83,7,0)</f>
        <v>1.7363344051446945</v>
      </c>
      <c r="J109" s="119">
        <f>VLOOKUP(B109,'Tabula 2zone Ref 1'!$J$5:$Q$83,8,0)</f>
        <v>119.82637697103682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>
        <f>SUMPRODUCT(H84:H95,I84:I95)+SUMPRODUCT(G100:G104,H100:H104)+SUMPRODUCT(J108:J117,K108:K117)</f>
        <v>60.355722407242126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>
        <f>B121*(G109-$B$4)</f>
        <v>1448.537337773811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25">
      <c r="A124" s="312" t="s">
        <v>197</v>
      </c>
      <c r="B124" s="312"/>
      <c r="C124" s="312"/>
      <c r="D124" s="126" t="s">
        <v>225</v>
      </c>
      <c r="E124" s="268"/>
      <c r="F124" s="268"/>
      <c r="G124" s="268"/>
      <c r="H124" s="268"/>
      <c r="I124" s="268"/>
      <c r="J124" s="268"/>
      <c r="K124" s="268"/>
      <c r="L124" s="268"/>
      <c r="M124" s="268"/>
      <c r="N124" s="268"/>
      <c r="O124" s="268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">
      <c r="A127" s="128" t="s">
        <v>199</v>
      </c>
      <c r="B127" s="122">
        <f>B48</f>
        <v>4.5871271585557301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25">
      <c r="A130" s="125" t="s">
        <v>205</v>
      </c>
      <c r="B130" s="119">
        <f>2*VLOOKUP(B78,'Tabula 2zone Ref 1'!$A$34:$F$45,2,0)*B127*B128*B129</f>
        <v>47.779516483516488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'Tabula 2zone Ref 1'!G35</f>
        <v>89.300000000000011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SUM(B130,B134)</f>
        <v>47.779516483516488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0.29958063605736157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0.34*(B137)</f>
        <v>16.245035604395607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B139*(G109-$B$4)</f>
        <v>389.88085450549454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25">
      <c r="A142" s="312" t="s">
        <v>213</v>
      </c>
      <c r="B142" s="312"/>
      <c r="C142" s="312"/>
      <c r="D142" s="312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">
      <c r="A145" s="128" t="s">
        <v>113</v>
      </c>
      <c r="B145" s="122">
        <f>B133</f>
        <v>89.300000000000011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25">
      <c r="A146" s="125" t="s">
        <v>216</v>
      </c>
      <c r="B146" s="119">
        <f>B147/('Gebouwgegevens Allacker'!E100-'Verwarming Tabula 2zone Ref 1'!$B$4)</f>
        <v>122.78750000000002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982.30000000000018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25">
      <c r="A151" s="125" t="s">
        <v>218</v>
      </c>
      <c r="B151" s="119">
        <f>SUM(B121,B139,B146)</f>
        <v>199.38825801163776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>
        <f>SUM(B122,B140,B147)</f>
        <v>2820.7181922793056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">
      <c r="A157" s="94"/>
      <c r="B157" s="268"/>
      <c r="C157" s="268"/>
      <c r="D157" s="268"/>
      <c r="E157" s="268"/>
      <c r="F157" s="268"/>
      <c r="G157" s="268"/>
      <c r="H157" s="268"/>
      <c r="I157" s="268"/>
      <c r="J157" s="268"/>
      <c r="K157" s="268"/>
      <c r="L157" s="268"/>
      <c r="M157" s="268"/>
      <c r="N157" s="268"/>
      <c r="O157" s="268"/>
      <c r="P157" s="95"/>
    </row>
    <row r="158" spans="1:16" ht="17.25" customHeight="1" thickTop="1" thickBo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25">
      <c r="A159" s="312" t="s">
        <v>171</v>
      </c>
      <c r="B159" s="312"/>
      <c r="C159" s="312"/>
      <c r="D159" s="312"/>
      <c r="E159" s="268"/>
      <c r="F159" s="268"/>
      <c r="G159" s="268"/>
      <c r="H159" s="268"/>
      <c r="I159" s="268"/>
      <c r="J159" s="268"/>
      <c r="K159" s="268"/>
      <c r="L159" s="268"/>
      <c r="M159" s="268"/>
      <c r="N159" s="268"/>
      <c r="O159" s="268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 1'!C188,'Gebouwgegevens Allacker'!$A$35:$F$46,5,0)</f>
        <v>#N/A</v>
      </c>
      <c r="H188" s="123" t="e">
        <f>VLOOKUP('Verwarming Tabula 2zone Ref 1'!D188,'Gebouwgegevens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 1'!C189,'Gebouwgegevens Allacker'!$A$35:$F$46,5,0)</f>
        <v>#N/A</v>
      </c>
      <c r="H189" s="123" t="e">
        <f>VLOOKUP('Verwarming Tabula 2zone Ref 1'!D189,'Gebouwgegevens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 1'!C190,'Gebouwgegevens Allacker'!$A$35:$F$46,5,0)</f>
        <v>#N/A</v>
      </c>
      <c r="H190" s="123" t="e">
        <f>VLOOKUP('Verwarming Tabula 2zone Ref 1'!D190,'Gebouwgegevens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25">
      <c r="A204" s="312" t="s">
        <v>197</v>
      </c>
      <c r="B204" s="312"/>
      <c r="C204" s="312"/>
      <c r="D204" s="126" t="s">
        <v>225</v>
      </c>
      <c r="E204" s="268"/>
      <c r="F204" s="268"/>
      <c r="G204" s="268"/>
      <c r="H204" s="268"/>
      <c r="I204" s="268"/>
      <c r="J204" s="268"/>
      <c r="K204" s="268"/>
      <c r="L204" s="268"/>
      <c r="M204" s="268"/>
      <c r="N204" s="268"/>
      <c r="O204" s="268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25">
      <c r="A222" s="312" t="s">
        <v>213</v>
      </c>
      <c r="B222" s="312"/>
      <c r="C222" s="312"/>
      <c r="D222" s="312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25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 2zone Ref 1'!$B$4)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">
      <c r="A236" s="94"/>
      <c r="B236" s="268"/>
      <c r="C236" s="268"/>
      <c r="D236" s="268"/>
      <c r="E236" s="268"/>
      <c r="F236" s="268"/>
      <c r="G236" s="268"/>
      <c r="H236" s="268"/>
      <c r="I236" s="268"/>
      <c r="J236" s="268"/>
      <c r="K236" s="268"/>
      <c r="L236" s="268"/>
      <c r="M236" s="268"/>
      <c r="N236" s="268"/>
      <c r="O236" s="268"/>
      <c r="P236" s="95"/>
    </row>
    <row r="237" spans="1:16" ht="17.25" customHeight="1" thickTop="1" thickBo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25">
      <c r="A238" s="312" t="s">
        <v>171</v>
      </c>
      <c r="B238" s="312"/>
      <c r="C238" s="312"/>
      <c r="D238" s="312"/>
      <c r="E238" s="268"/>
      <c r="F238" s="268"/>
      <c r="G238" s="268"/>
      <c r="H238" s="268"/>
      <c r="I238" s="268"/>
      <c r="J238" s="268"/>
      <c r="K238" s="268"/>
      <c r="L238" s="268"/>
      <c r="M238" s="268"/>
      <c r="N238" s="268"/>
      <c r="O238" s="268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 1'!C267,'Gebouwgegevens Allacker'!$A$35:$F$46,5,0)</f>
        <v>#N/A</v>
      </c>
      <c r="H267" s="123" t="e">
        <f>VLOOKUP('Verwarming Tabula 2zone Ref 1'!D267,'Gebouwgegevens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 1'!C268,'Gebouwgegevens Allacker'!$A$35:$F$46,5,0)</f>
        <v>#N/A</v>
      </c>
      <c r="H268" s="123" t="e">
        <f>VLOOKUP('Verwarming Tabula 2zone Ref 1'!D268,'Gebouwgegevens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 1'!C269,'Gebouwgegevens Allacker'!$A$35:$F$46,5,0)</f>
        <v>#N/A</v>
      </c>
      <c r="H269" s="123" t="e">
        <f>VLOOKUP('Verwarming Tabula 2zone Ref 1'!D269,'Gebouwgegevens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 1'!C270,'Gebouwgegevens Allacker'!$A$35:$F$46,5,0)</f>
        <v>#N/A</v>
      </c>
      <c r="H270" s="123" t="e">
        <f>VLOOKUP('Verwarming Tabula 2zone Ref 1'!D270,'Gebouwgegevens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25">
      <c r="A283" s="312" t="s">
        <v>197</v>
      </c>
      <c r="B283" s="312"/>
      <c r="C283" s="312"/>
      <c r="D283" s="126" t="s">
        <v>225</v>
      </c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25">
      <c r="A301" s="312" t="s">
        <v>213</v>
      </c>
      <c r="B301" s="312"/>
      <c r="C301" s="312"/>
      <c r="D301" s="312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25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 2zone Ref 1'!$B$4)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">
      <c r="A315" s="94"/>
      <c r="B315" s="268"/>
      <c r="C315" s="268"/>
      <c r="D315" s="268"/>
      <c r="E315" s="268"/>
      <c r="F315" s="268"/>
      <c r="G315" s="268"/>
      <c r="H315" s="268"/>
      <c r="I315" s="268"/>
      <c r="J315" s="268"/>
      <c r="K315" s="268"/>
      <c r="L315" s="268"/>
      <c r="M315" s="268"/>
      <c r="N315" s="268"/>
      <c r="O315" s="268"/>
      <c r="P315" s="95"/>
    </row>
    <row r="316" spans="1:16" ht="17.25" customHeight="1" thickTop="1" thickBo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25">
      <c r="A317" s="312" t="s">
        <v>171</v>
      </c>
      <c r="B317" s="312"/>
      <c r="C317" s="312"/>
      <c r="D317" s="312"/>
      <c r="E317" s="268"/>
      <c r="F317" s="268"/>
      <c r="G317" s="268"/>
      <c r="H317" s="268"/>
      <c r="I317" s="268"/>
      <c r="J317" s="268"/>
      <c r="K317" s="268"/>
      <c r="L317" s="268"/>
      <c r="M317" s="268"/>
      <c r="N317" s="268"/>
      <c r="O317" s="268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 1'!C346,'Gebouwgegevens Allacker'!$A$35:$F$46,5,0)</f>
        <v>#N/A</v>
      </c>
      <c r="H346" s="123" t="e">
        <f>VLOOKUP('Verwarming Tabula 2zone Ref 1'!D346,'Gebouwgegevens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 1'!C347,'Gebouwgegevens Allacker'!$A$35:$F$46,5,0)</f>
        <v>#N/A</v>
      </c>
      <c r="H347" s="123" t="e">
        <f>VLOOKUP('Verwarming Tabula 2zone Ref 1'!D347,'Gebouwgegevens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 1'!C348,'Gebouwgegevens Allacker'!$A$35:$F$46,5,0)</f>
        <v>#N/A</v>
      </c>
      <c r="H348" s="123" t="e">
        <f>VLOOKUP('Verwarming Tabula 2zone Ref 1'!D348,'Gebouwgegevens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 1'!C349,'Gebouwgegevens Allacker'!$A$35:$F$46,5,0)</f>
        <v>#N/A</v>
      </c>
      <c r="H349" s="123" t="e">
        <f>VLOOKUP('Verwarming Tabula 2zone Ref 1'!D349,'Gebouwgegevens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 1'!C350,'Gebouwgegevens Allacker'!$A$35:$F$46,5,0)</f>
        <v>#N/A</v>
      </c>
      <c r="H350" s="123" t="e">
        <f>VLOOKUP('Verwarming Tabula 2zone Ref 1'!D350,'Gebouwgegevens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25">
      <c r="A362" s="312" t="s">
        <v>197</v>
      </c>
      <c r="B362" s="312"/>
      <c r="C362" s="312"/>
      <c r="D362" s="126" t="s">
        <v>225</v>
      </c>
      <c r="E362" s="268"/>
      <c r="F362" s="268"/>
      <c r="G362" s="268"/>
      <c r="H362" s="268"/>
      <c r="I362" s="268"/>
      <c r="J362" s="268"/>
      <c r="K362" s="268"/>
      <c r="L362" s="268"/>
      <c r="M362" s="268"/>
      <c r="N362" s="268"/>
      <c r="O362" s="268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25">
      <c r="A380" s="312" t="s">
        <v>213</v>
      </c>
      <c r="B380" s="312"/>
      <c r="C380" s="312"/>
      <c r="D380" s="312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25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 2zone Ref 1'!$B$4)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">
      <c r="A393" s="94"/>
      <c r="B393" s="268"/>
      <c r="C393" s="268"/>
      <c r="D393" s="268"/>
      <c r="E393" s="268"/>
      <c r="F393" s="268"/>
      <c r="G393" s="268"/>
      <c r="H393" s="268"/>
      <c r="I393" s="268"/>
      <c r="J393" s="268"/>
      <c r="K393" s="268"/>
      <c r="L393" s="268"/>
      <c r="M393" s="268"/>
      <c r="N393" s="268"/>
      <c r="O393" s="268"/>
      <c r="P393" s="95"/>
    </row>
    <row r="394" spans="1:16" ht="17.25" customHeight="1" thickTop="1" thickBo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25">
      <c r="A395" s="312" t="s">
        <v>171</v>
      </c>
      <c r="B395" s="312"/>
      <c r="C395" s="312"/>
      <c r="D395" s="312"/>
      <c r="E395" s="268"/>
      <c r="F395" s="268"/>
      <c r="G395" s="268"/>
      <c r="H395" s="268"/>
      <c r="I395" s="268"/>
      <c r="J395" s="268"/>
      <c r="K395" s="268"/>
      <c r="L395" s="268"/>
      <c r="M395" s="268"/>
      <c r="N395" s="268"/>
      <c r="O395" s="268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 1'!C424,'Gebouwgegevens Allacker'!$A$35:$F$46,5,0)</f>
        <v>#N/A</v>
      </c>
      <c r="H424" s="123" t="e">
        <f>VLOOKUP('Verwarming Tabula 2zone Ref 1'!D424,'Gebouwgegevens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 1'!C425,'Gebouwgegevens Allacker'!$A$35:$F$46,5,0)</f>
        <v>#N/A</v>
      </c>
      <c r="H425" s="123" t="e">
        <f>VLOOKUP('Verwarming Tabula 2zone Ref 1'!D425,'Gebouwgegevens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 1'!C426,'Gebouwgegevens Allacker'!$A$35:$F$46,5,0)</f>
        <v>#N/A</v>
      </c>
      <c r="H426" s="123" t="e">
        <f>VLOOKUP('Verwarming Tabula 2zone Ref 1'!D426,'Gebouwgegevens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 1'!C427,'Gebouwgegevens Allacker'!$A$35:$F$46,5,0)</f>
        <v>#N/A</v>
      </c>
      <c r="H427" s="123" t="e">
        <f>VLOOKUP('Verwarming Tabula 2zone Ref 1'!D427,'Gebouwgegevens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 1'!C428,'Gebouwgegevens Allacker'!$A$35:$F$46,5,0)</f>
        <v>#N/A</v>
      </c>
      <c r="H428" s="123" t="e">
        <f>VLOOKUP('Verwarming Tabula 2zone Ref 1'!D428,'Gebouwgegevens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25">
      <c r="A440" s="312" t="s">
        <v>197</v>
      </c>
      <c r="B440" s="312"/>
      <c r="C440" s="312"/>
      <c r="D440" s="126" t="s">
        <v>225</v>
      </c>
      <c r="E440" s="268"/>
      <c r="F440" s="268"/>
      <c r="G440" s="268"/>
      <c r="H440" s="268"/>
      <c r="I440" s="268"/>
      <c r="J440" s="268"/>
      <c r="K440" s="268"/>
      <c r="L440" s="268"/>
      <c r="M440" s="268"/>
      <c r="N440" s="268"/>
      <c r="O440" s="268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25">
      <c r="A458" s="312" t="s">
        <v>213</v>
      </c>
      <c r="B458" s="312"/>
      <c r="C458" s="312"/>
      <c r="D458" s="312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25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 2zone Ref 1'!$B$4)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">
      <c r="A471" s="94"/>
      <c r="B471" s="268"/>
      <c r="C471" s="268"/>
      <c r="D471" s="268"/>
      <c r="E471" s="268"/>
      <c r="F471" s="268"/>
      <c r="G471" s="268"/>
      <c r="H471" s="268"/>
      <c r="I471" s="268"/>
      <c r="J471" s="268"/>
      <c r="K471" s="268"/>
      <c r="L471" s="268"/>
      <c r="M471" s="268"/>
      <c r="N471" s="268"/>
      <c r="O471" s="268"/>
      <c r="P471" s="95"/>
    </row>
    <row r="472" spans="1:16" ht="17.25" customHeight="1" thickTop="1" thickBo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25">
      <c r="A473" s="312" t="s">
        <v>171</v>
      </c>
      <c r="B473" s="312"/>
      <c r="C473" s="312"/>
      <c r="D473" s="312"/>
      <c r="E473" s="268"/>
      <c r="F473" s="268"/>
      <c r="G473" s="268"/>
      <c r="H473" s="268"/>
      <c r="I473" s="268"/>
      <c r="J473" s="268"/>
      <c r="K473" s="268"/>
      <c r="L473" s="268"/>
      <c r="M473" s="268"/>
      <c r="N473" s="268"/>
      <c r="O473" s="268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 1'!C502,'Gebouwgegevens Allacker'!$A$35:$F$46,5,0)</f>
        <v>#N/A</v>
      </c>
      <c r="H502" s="123" t="e">
        <f>VLOOKUP('Verwarming Tabula 2zone Ref 1'!D502,'Gebouwgegevens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 1'!C503,'Gebouwgegevens Allacker'!$A$35:$F$46,5,0)</f>
        <v>#N/A</v>
      </c>
      <c r="H503" s="123" t="e">
        <f>VLOOKUP('Verwarming Tabula 2zone Ref 1'!D503,'Gebouwgegevens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 1'!C504,'Gebouwgegevens Allacker'!$A$35:$F$46,5,0)</f>
        <v>#N/A</v>
      </c>
      <c r="H504" s="123" t="e">
        <f>VLOOKUP('Verwarming Tabula 2zone Ref 1'!D504,'Gebouwgegevens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25">
      <c r="A518" s="312" t="s">
        <v>197</v>
      </c>
      <c r="B518" s="312"/>
      <c r="C518" s="312"/>
      <c r="D518" s="126" t="s">
        <v>225</v>
      </c>
      <c r="E518" s="268"/>
      <c r="F518" s="268"/>
      <c r="G518" s="268"/>
      <c r="H518" s="268"/>
      <c r="I518" s="268"/>
      <c r="J518" s="268"/>
      <c r="K518" s="268"/>
      <c r="L518" s="268"/>
      <c r="M518" s="268"/>
      <c r="N518" s="268"/>
      <c r="O518" s="268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25">
      <c r="A536" s="312" t="s">
        <v>213</v>
      </c>
      <c r="B536" s="312"/>
      <c r="C536" s="312"/>
      <c r="D536" s="312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 2zone Ref 1'!$B$4)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">
      <c r="A550" s="94"/>
      <c r="B550" s="268"/>
      <c r="C550" s="268"/>
      <c r="D550" s="268"/>
      <c r="E550" s="268"/>
      <c r="F550" s="268"/>
      <c r="G550" s="268"/>
      <c r="H550" s="268"/>
      <c r="I550" s="268"/>
      <c r="J550" s="268"/>
      <c r="K550" s="268"/>
      <c r="L550" s="268"/>
      <c r="M550" s="268"/>
      <c r="N550" s="268"/>
      <c r="O550" s="268"/>
      <c r="P550" s="95"/>
    </row>
    <row r="551" spans="1:16" ht="17.25" customHeight="1" thickTop="1" thickBo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25">
      <c r="A552" s="312" t="s">
        <v>171</v>
      </c>
      <c r="B552" s="312"/>
      <c r="C552" s="312"/>
      <c r="D552" s="312"/>
      <c r="E552" s="268"/>
      <c r="F552" s="268"/>
      <c r="G552" s="268"/>
      <c r="H552" s="268"/>
      <c r="I552" s="268"/>
      <c r="J552" s="268"/>
      <c r="K552" s="268"/>
      <c r="L552" s="268"/>
      <c r="M552" s="268"/>
      <c r="N552" s="268"/>
      <c r="O552" s="268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 1'!C581,'Gebouwgegevens Allacker'!$A$35:$F$46,5,0)</f>
        <v>#N/A</v>
      </c>
      <c r="H581" s="123" t="e">
        <f>VLOOKUP('Verwarming Tabula 2zone Ref 1'!D581,'Gebouwgegevens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 1'!C582,'Gebouwgegevens Allacker'!$A$35:$F$46,5,0)</f>
        <v>#N/A</v>
      </c>
      <c r="H582" s="123" t="e">
        <f>VLOOKUP('Verwarming Tabula 2zone Ref 1'!D582,'Gebouwgegevens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 1'!C583,'Gebouwgegevens Allacker'!$A$35:$F$46,5,0)</f>
        <v>#N/A</v>
      </c>
      <c r="H583" s="123" t="e">
        <f>VLOOKUP('Verwarming Tabula 2zone Ref 1'!D583,'Gebouwgegevens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25">
      <c r="A597" s="312" t="s">
        <v>197</v>
      </c>
      <c r="B597" s="312"/>
      <c r="C597" s="312"/>
      <c r="D597" s="126" t="s">
        <v>225</v>
      </c>
      <c r="E597" s="268"/>
      <c r="F597" s="268"/>
      <c r="G597" s="268"/>
      <c r="H597" s="268"/>
      <c r="I597" s="268"/>
      <c r="J597" s="268"/>
      <c r="K597" s="268"/>
      <c r="L597" s="268"/>
      <c r="M597" s="268"/>
      <c r="N597" s="268"/>
      <c r="O597" s="268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25">
      <c r="A615" s="312" t="s">
        <v>213</v>
      </c>
      <c r="B615" s="312"/>
      <c r="C615" s="312"/>
      <c r="D615" s="312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25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 2zone Ref 1'!$B$4)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">
      <c r="A629" s="94"/>
      <c r="B629" s="268"/>
      <c r="C629" s="268"/>
      <c r="D629" s="268"/>
      <c r="E629" s="268"/>
      <c r="F629" s="268"/>
      <c r="G629" s="268"/>
      <c r="H629" s="268"/>
      <c r="I629" s="268"/>
      <c r="J629" s="268"/>
      <c r="K629" s="268"/>
      <c r="L629" s="268"/>
      <c r="M629" s="268"/>
      <c r="N629" s="268"/>
      <c r="O629" s="268"/>
      <c r="P629" s="95"/>
    </row>
    <row r="630" spans="1:16" ht="17.25" customHeight="1" thickTop="1" thickBo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25">
      <c r="A631" s="312" t="s">
        <v>171</v>
      </c>
      <c r="B631" s="312"/>
      <c r="C631" s="312"/>
      <c r="D631" s="312"/>
      <c r="E631" s="268"/>
      <c r="F631" s="268"/>
      <c r="G631" s="268"/>
      <c r="H631" s="268"/>
      <c r="I631" s="268"/>
      <c r="J631" s="268"/>
      <c r="K631" s="268"/>
      <c r="L631" s="268"/>
      <c r="M631" s="268"/>
      <c r="N631" s="268"/>
      <c r="O631" s="268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 1'!C660,'Gebouwgegevens Allacker'!$A$35:$F$46,5,0)</f>
        <v>#N/A</v>
      </c>
      <c r="H660" s="123" t="e">
        <f>VLOOKUP('Verwarming Tabula 2zone Ref 1'!D660,'Gebouwgegevens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 1'!C661,'Gebouwgegevens Allacker'!$A$35:$F$46,5,0)</f>
        <v>#N/A</v>
      </c>
      <c r="H661" s="123" t="e">
        <f>VLOOKUP('Verwarming Tabula 2zone Ref 1'!D661,'Gebouwgegevens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25">
      <c r="A676" s="312" t="s">
        <v>197</v>
      </c>
      <c r="B676" s="312"/>
      <c r="C676" s="312"/>
      <c r="D676" s="126" t="s">
        <v>225</v>
      </c>
      <c r="E676" s="268"/>
      <c r="F676" s="268"/>
      <c r="G676" s="268"/>
      <c r="H676" s="268"/>
      <c r="I676" s="268"/>
      <c r="J676" s="268"/>
      <c r="K676" s="268"/>
      <c r="L676" s="268"/>
      <c r="M676" s="268"/>
      <c r="N676" s="268"/>
      <c r="O676" s="268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25">
      <c r="A694" s="312" t="s">
        <v>213</v>
      </c>
      <c r="B694" s="312"/>
      <c r="C694" s="312"/>
      <c r="D694" s="312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25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 2zone Ref 1'!$B$4)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">
      <c r="A708" s="94"/>
      <c r="B708" s="268"/>
      <c r="C708" s="268"/>
      <c r="D708" s="268"/>
      <c r="E708" s="268"/>
      <c r="F708" s="268"/>
      <c r="G708" s="268"/>
      <c r="H708" s="268"/>
      <c r="I708" s="268"/>
      <c r="J708" s="268"/>
      <c r="K708" s="268"/>
      <c r="L708" s="268"/>
      <c r="M708" s="268"/>
      <c r="N708" s="268"/>
      <c r="O708" s="268"/>
      <c r="P708" s="95"/>
    </row>
    <row r="709" spans="1:16" ht="17.25" customHeight="1" thickTop="1" thickBo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25">
      <c r="A710" s="312" t="s">
        <v>171</v>
      </c>
      <c r="B710" s="312"/>
      <c r="C710" s="312"/>
      <c r="D710" s="312"/>
      <c r="E710" s="268"/>
      <c r="F710" s="268"/>
      <c r="G710" s="268"/>
      <c r="H710" s="268"/>
      <c r="I710" s="268"/>
      <c r="J710" s="268"/>
      <c r="K710" s="268"/>
      <c r="L710" s="268"/>
      <c r="M710" s="268"/>
      <c r="N710" s="268"/>
      <c r="O710" s="268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 1'!C739,'Gebouwgegevens Allacker'!$A$35:$F$46,5,0)</f>
        <v>#N/A</v>
      </c>
      <c r="H739" s="123" t="e">
        <f>VLOOKUP('Verwarming Tabula 2zone Ref 1'!D739,'Gebouwgegevens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 1'!C740,'Gebouwgegevens Allacker'!$A$35:$F$46,5,0)</f>
        <v>#N/A</v>
      </c>
      <c r="H740" s="123" t="e">
        <f>VLOOKUP('Verwarming Tabula 2zone Ref 1'!D740,'Gebouwgegevens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 1'!C741,'Gebouwgegevens Allacker'!$A$35:$F$46,5,0)</f>
        <v>#N/A</v>
      </c>
      <c r="H741" s="123" t="e">
        <f>VLOOKUP('Verwarming Tabula 2zone Ref 1'!D741,'Gebouwgegevens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 1'!C742,'Gebouwgegevens Allacker'!$A$35:$F$46,5,0)</f>
        <v>#N/A</v>
      </c>
      <c r="H742" s="123" t="e">
        <f>VLOOKUP('Verwarming Tabula 2zone Ref 1'!D742,'Gebouwgegevens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 1'!C743,'Gebouwgegevens Allacker'!$A$35:$F$46,5,0)</f>
        <v>#N/A</v>
      </c>
      <c r="H743" s="123" t="e">
        <f>VLOOKUP('Verwarming Tabula 2zone Ref 1'!D743,'Gebouwgegevens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 1'!C744,'Gebouwgegevens Allacker'!$A$35:$F$46,5,0)</f>
        <v>#N/A</v>
      </c>
      <c r="H744" s="123" t="e">
        <f>VLOOKUP('Verwarming Tabula 2zone Ref 1'!D744,'Gebouwgegevens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 1'!C745,'Gebouwgegevens Allacker'!$A$35:$F$46,5,0)</f>
        <v>#N/A</v>
      </c>
      <c r="H745" s="123" t="e">
        <f>VLOOKUP('Verwarming Tabula 2zone Ref 1'!D745,'Gebouwgegevens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 1'!C746,'Gebouwgegevens Allacker'!$A$35:$F$46,5,0)</f>
        <v>#N/A</v>
      </c>
      <c r="H746" s="123" t="e">
        <f>VLOOKUP('Verwarming Tabula 2zone Ref 1'!D746,'Gebouwgegevens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 1'!C747,'Gebouwgegevens Allacker'!$A$35:$F$46,5,0)</f>
        <v>#N/A</v>
      </c>
      <c r="H747" s="123" t="e">
        <f>VLOOKUP('Verwarming Tabula 2zone Ref 1'!D747,'Gebouwgegevens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 1'!C748,'Gebouwgegevens Allacker'!$A$35:$F$46,5,0)</f>
        <v>#N/A</v>
      </c>
      <c r="H748" s="123" t="e">
        <f>VLOOKUP('Verwarming Tabula 2zone Ref 1'!D748,'Gebouwgegevens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 1'!C749,'Gebouwgegevens Allacker'!$A$35:$F$46,5,0)</f>
        <v>#N/A</v>
      </c>
      <c r="H749" s="123" t="e">
        <f>VLOOKUP('Verwarming Tabula 2zone Ref 1'!D749,'Gebouwgegevens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 1'!C750,'Gebouwgegevens Allacker'!$A$35:$F$46,5,0)</f>
        <v>#N/A</v>
      </c>
      <c r="H750" s="123" t="e">
        <f>VLOOKUP('Verwarming Tabula 2zone Ref 1'!D750,'Gebouwgegevens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25">
      <c r="A755" s="312" t="s">
        <v>197</v>
      </c>
      <c r="B755" s="312"/>
      <c r="C755" s="312"/>
      <c r="D755" s="126" t="s">
        <v>225</v>
      </c>
      <c r="E755" s="268"/>
      <c r="F755" s="268"/>
      <c r="G755" s="268"/>
      <c r="H755" s="268"/>
      <c r="I755" s="268"/>
      <c r="J755" s="268"/>
      <c r="K755" s="268"/>
      <c r="L755" s="268"/>
      <c r="M755" s="268"/>
      <c r="N755" s="268"/>
      <c r="O755" s="268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25">
      <c r="A773" s="312" t="s">
        <v>213</v>
      </c>
      <c r="B773" s="312"/>
      <c r="C773" s="312"/>
      <c r="D773" s="312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25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 2zone Ref 1'!$B$4)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E1" workbookViewId="0">
      <selection sqref="A1:I1"/>
    </sheetView>
  </sheetViews>
  <sheetFormatPr defaultRowHeight="15" x14ac:dyDescent="0.25"/>
  <cols>
    <col min="1" max="1" width="9.140625" style="153"/>
    <col min="2" max="2" width="16.7109375" style="153" bestFit="1" customWidth="1"/>
    <col min="3" max="1025" width="9.140625" style="153"/>
    <col min="1026" max="16384" width="9.140625" style="81"/>
  </cols>
  <sheetData>
    <row r="1" spans="1:25" ht="20.25" customHeight="1" x14ac:dyDescent="0.25">
      <c r="A1" s="310" t="s">
        <v>164</v>
      </c>
      <c r="B1" s="310"/>
      <c r="C1" s="310"/>
      <c r="D1" s="310"/>
      <c r="E1" s="310"/>
      <c r="F1" s="310"/>
      <c r="G1" s="310"/>
      <c r="H1" s="310"/>
      <c r="I1" s="310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68"/>
      <c r="W4" s="268"/>
      <c r="X4" s="268"/>
      <c r="Y4" s="95"/>
    </row>
    <row r="5" spans="1:25" ht="18" customHeight="1" thickTop="1" thickBot="1" x14ac:dyDescent="0.3">
      <c r="A5" s="94"/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95"/>
      <c r="U5" s="96"/>
      <c r="V5" s="307" t="s">
        <v>168</v>
      </c>
      <c r="W5" s="307"/>
      <c r="X5" s="307"/>
      <c r="Y5" s="97"/>
    </row>
    <row r="6" spans="1:25" ht="18.75" customHeight="1" thickTop="1" thickBo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68"/>
      <c r="Y6" s="97"/>
    </row>
    <row r="7" spans="1:25" ht="16.5" customHeight="1" thickTop="1" x14ac:dyDescent="0.25">
      <c r="A7" s="312" t="s">
        <v>171</v>
      </c>
      <c r="B7" s="312"/>
      <c r="C7" s="312"/>
      <c r="D7" s="312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95"/>
      <c r="U7" s="96"/>
      <c r="V7" s="102">
        <f>B6</f>
        <v>1</v>
      </c>
      <c r="W7" s="103">
        <f>B73</f>
        <v>4522.6799570973417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1897.6355410843344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 t="e">
        <f>B232</f>
        <v>#N/A</v>
      </c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 t="e">
        <f>B311</f>
        <v>#N/A</v>
      </c>
      <c r="X10" s="99" t="s">
        <v>172</v>
      </c>
      <c r="Y10" s="97"/>
    </row>
    <row r="11" spans="1:25" ht="15.75" customHeight="1" thickBo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 t="e">
        <f>B390</f>
        <v>#N/A</v>
      </c>
      <c r="X11" s="99" t="s">
        <v>172</v>
      </c>
      <c r="Y11" s="97"/>
    </row>
    <row r="12" spans="1:25" ht="16.5" customHeight="1" thickTop="1" thickBot="1" x14ac:dyDescent="0.3">
      <c r="A12" s="96"/>
      <c r="B12" s="107" t="str">
        <f>'Tabula 2zone Ref 2'!J6</f>
        <v>W1</v>
      </c>
      <c r="C12" s="108">
        <f>VLOOKUP(B12,'Tabula 2zone Ref 2'!$J$5:$Q$83,3,0)</f>
        <v>1</v>
      </c>
      <c r="D12" s="108" t="str">
        <f>VLOOKUP(B12,'Tabula 2zone Ref 2'!$J$5:$Q$83,4,0)</f>
        <v>Wall External</v>
      </c>
      <c r="E12" s="108">
        <f>VLOOKUP(B12,'Tabula 2zone Ref 2'!$J$5:$Q$83,5,0)</f>
        <v>19.742421874491026</v>
      </c>
      <c r="F12" s="108" t="str">
        <f>VLOOKUP(B12,'Tabula 2zone Ref 2'!$J$5:$Q$83,6,0)</f>
        <v>front</v>
      </c>
      <c r="G12" s="108">
        <f>VLOOKUP(B12,'Tabula 2zone Ref 2'!$J$5:$Q$83,7,0)</f>
        <v>0.19316281128097962</v>
      </c>
      <c r="H12" s="109">
        <f>VLOOKUP(B12,'Tabula 2zone Ref 2'!$J$5:$Q$83,8,0)</f>
        <v>3.8135017107717939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 t="e">
        <f>B468</f>
        <v>#N/A</v>
      </c>
      <c r="X12" s="99" t="s">
        <v>172</v>
      </c>
      <c r="Y12" s="97"/>
    </row>
    <row r="13" spans="1:25" ht="16.5" customHeight="1" thickTop="1" thickBot="1" x14ac:dyDescent="0.3">
      <c r="A13" s="96"/>
      <c r="B13" s="107" t="str">
        <f>'Tabula 2zone Ref 2'!J7</f>
        <v>W2</v>
      </c>
      <c r="C13" s="108">
        <f>VLOOKUP(B13,'Tabula 2zone Ref 2'!$J$5:$Q$83,3,0)</f>
        <v>1</v>
      </c>
      <c r="D13" s="108" t="str">
        <f>VLOOKUP(B13,'Tabula 2zone Ref 2'!$J$5:$Q$83,4,0)</f>
        <v>Wall External</v>
      </c>
      <c r="E13" s="108">
        <f>VLOOKUP(B13,'Tabula 2zone Ref 2'!$J$5:$Q$83,5,0)</f>
        <v>34.704039143624534</v>
      </c>
      <c r="F13" s="108" t="str">
        <f>VLOOKUP(B13,'Tabula 2zone Ref 2'!$J$5:$Q$83,6,0)</f>
        <v>right</v>
      </c>
      <c r="G13" s="108">
        <f>VLOOKUP(B13,'Tabula 2zone Ref 2'!$J$5:$Q$83,7,0)</f>
        <v>0.19316281128097962</v>
      </c>
      <c r="H13" s="109">
        <f>VLOOKUP(B13,'Tabula 2zone Ref 2'!$J$5:$Q$83,8,0)</f>
        <v>6.7035297637876754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 t="e">
        <f>B546</f>
        <v>#N/A</v>
      </c>
      <c r="X13" s="99" t="s">
        <v>172</v>
      </c>
      <c r="Y13" s="97"/>
    </row>
    <row r="14" spans="1:25" ht="16.5" customHeight="1" thickTop="1" thickBot="1" x14ac:dyDescent="0.3">
      <c r="A14" s="96"/>
      <c r="B14" s="107" t="str">
        <f>'Tabula 2zone Ref 2'!J8</f>
        <v>W3</v>
      </c>
      <c r="C14" s="108">
        <f>VLOOKUP(B14,'Tabula 2zone Ref 2'!$J$5:$Q$83,3,0)</f>
        <v>1</v>
      </c>
      <c r="D14" s="108" t="str">
        <f>VLOOKUP(B14,'Tabula 2zone Ref 2'!$J$5:$Q$83,4,0)</f>
        <v>Wall External</v>
      </c>
      <c r="E14" s="108">
        <f>VLOOKUP(B14,'Tabula 2zone Ref 2'!$J$5:$Q$83,5,0)</f>
        <v>19.742421874491026</v>
      </c>
      <c r="F14" s="108" t="str">
        <f>VLOOKUP(B14,'Tabula 2zone Ref 2'!$J$5:$Q$83,6,0)</f>
        <v>back</v>
      </c>
      <c r="G14" s="108">
        <f>VLOOKUP(B14,'Tabula 2zone Ref 2'!$J$5:$Q$83,7,0)</f>
        <v>0.19316281128097962</v>
      </c>
      <c r="H14" s="109">
        <f>VLOOKUP(B14,'Tabula 2zone Ref 2'!$J$5:$Q$83,8,0)</f>
        <v>3.8135017107717939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 t="e">
        <f>B625</f>
        <v>#N/A</v>
      </c>
      <c r="X14" s="99" t="s">
        <v>172</v>
      </c>
      <c r="Y14" s="97"/>
    </row>
    <row r="15" spans="1:25" ht="16.5" customHeight="1" thickTop="1" thickBot="1" x14ac:dyDescent="0.3">
      <c r="A15" s="96"/>
      <c r="B15" s="107" t="str">
        <f>'Tabula 2zone Ref 2'!J9</f>
        <v>W4</v>
      </c>
      <c r="C15" s="108">
        <f>VLOOKUP(B15,'Tabula 2zone Ref 2'!$J$5:$Q$83,3,0)</f>
        <v>1</v>
      </c>
      <c r="D15" s="108" t="str">
        <f>VLOOKUP(B15,'Tabula 2zone Ref 2'!$J$5:$Q$83,4,0)</f>
        <v>Wall External</v>
      </c>
      <c r="E15" s="108">
        <f>VLOOKUP(B15,'Tabula 2zone Ref 2'!$J$5:$Q$83,5,0)</f>
        <v>0</v>
      </c>
      <c r="F15" s="108" t="str">
        <f>VLOOKUP(B15,'Tabula 2zone Ref 2'!$J$5:$Q$83,6,0)</f>
        <v>left</v>
      </c>
      <c r="G15" s="108">
        <f>VLOOKUP(B15,'Tabula 2zone Ref 2'!$J$5:$Q$83,7,0)</f>
        <v>0.19316281128097962</v>
      </c>
      <c r="H15" s="109">
        <f>VLOOKUP(B15,'Tabula 2zone Ref 2'!$J$5:$Q$83,8,0)</f>
        <v>0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 t="e">
        <f>B704</f>
        <v>#N/A</v>
      </c>
      <c r="X15" s="99" t="s">
        <v>172</v>
      </c>
      <c r="Y15" s="97"/>
    </row>
    <row r="16" spans="1:25" ht="16.5" customHeight="1" thickTop="1" thickBot="1" x14ac:dyDescent="0.3">
      <c r="A16" s="96"/>
      <c r="B16" s="107" t="str">
        <f>'Tabula 2zone Ref 2'!J10</f>
        <v>W5</v>
      </c>
      <c r="C16" s="108">
        <f>VLOOKUP(B16,'Tabula 2zone Ref 2'!$J$5:$Q$83,3,0)</f>
        <v>1</v>
      </c>
      <c r="D16" s="108" t="str">
        <f>VLOOKUP(B16,'Tabula 2zone Ref 2'!$J$5:$Q$83,4,0)</f>
        <v>Window</v>
      </c>
      <c r="E16" s="108">
        <f>VLOOKUP(B16,'Tabula 2zone Ref 2'!$J$5:$Q$83,5,0)</f>
        <v>3.9</v>
      </c>
      <c r="F16" s="108" t="str">
        <f>VLOOKUP(B16,'Tabula 2zone Ref 2'!$J$5:$Q$83,6,0)</f>
        <v>front</v>
      </c>
      <c r="G16" s="108">
        <f>VLOOKUP(B16,'Tabula 2zone Ref 2'!$J$5:$Q$83,7,0)</f>
        <v>1.1000000000000001</v>
      </c>
      <c r="H16" s="109">
        <f>VLOOKUP(B16,'Tabula 2zone Ref 2'!$J$5:$Q$83,8,0)</f>
        <v>4.29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 t="e">
        <f>B783</f>
        <v>#N/A</v>
      </c>
      <c r="X16" s="99" t="s">
        <v>172</v>
      </c>
      <c r="Y16" s="97"/>
    </row>
    <row r="17" spans="1:25" ht="16.5" customHeight="1" thickTop="1" thickBot="1" x14ac:dyDescent="0.3">
      <c r="A17" s="96"/>
      <c r="B17" s="107" t="str">
        <f>'Tabula 2zone Ref 2'!J11</f>
        <v>W6</v>
      </c>
      <c r="C17" s="108">
        <f>VLOOKUP(B17,'Tabula 2zone Ref 2'!$J$5:$Q$83,3,0)</f>
        <v>1</v>
      </c>
      <c r="D17" s="108" t="str">
        <f>VLOOKUP(B17,'Tabula 2zone Ref 2'!$J$5:$Q$83,4,0)</f>
        <v>Window</v>
      </c>
      <c r="E17" s="108">
        <f>VLOOKUP(B17,'Tabula 2zone Ref 2'!$J$5:$Q$83,5,0)</f>
        <v>4</v>
      </c>
      <c r="F17" s="108" t="str">
        <f>VLOOKUP(B17,'Tabula 2zone Ref 2'!$J$5:$Q$83,6,0)</f>
        <v>right</v>
      </c>
      <c r="G17" s="108">
        <f>VLOOKUP(B17,'Tabula 2zone Ref 2'!$J$5:$Q$83,7,0)</f>
        <v>1.1000000000000001</v>
      </c>
      <c r="H17" s="109">
        <f>VLOOKUP(B17,'Tabula 2zone Ref 2'!$J$5:$Q$83,8,0)</f>
        <v>4.4000000000000004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">
      <c r="A18" s="96"/>
      <c r="B18" s="107" t="str">
        <f>'Tabula 2zone Ref 2'!J12</f>
        <v>W7</v>
      </c>
      <c r="C18" s="108">
        <f>VLOOKUP(B18,'Tabula 2zone Ref 2'!$J$5:$Q$83,3,0)</f>
        <v>1</v>
      </c>
      <c r="D18" s="108" t="str">
        <f>VLOOKUP(B18,'Tabula 2zone Ref 2'!$J$5:$Q$83,4,0)</f>
        <v>Window</v>
      </c>
      <c r="E18" s="108">
        <f>VLOOKUP(B18,'Tabula 2zone Ref 2'!$J$5:$Q$83,5,0)</f>
        <v>4.55</v>
      </c>
      <c r="F18" s="108" t="str">
        <f>VLOOKUP(B18,'Tabula 2zone Ref 2'!$J$5:$Q$83,6,0)</f>
        <v>back</v>
      </c>
      <c r="G18" s="108">
        <f>VLOOKUP(B18,'Tabula 2zone Ref 2'!$J$5:$Q$83,7,0)</f>
        <v>1.1000000000000001</v>
      </c>
      <c r="H18" s="109">
        <f>VLOOKUP(B18,'Tabula 2zone Ref 2'!$J$5:$Q$83,8,0)</f>
        <v>5.0049999999999999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 t="e">
        <f>SUM(W7:W16)</f>
        <v>#N/A</v>
      </c>
      <c r="X18" s="268" t="s">
        <v>172</v>
      </c>
      <c r="Y18" s="97"/>
    </row>
    <row r="19" spans="1:25" ht="16.5" customHeight="1" thickTop="1" thickBot="1" x14ac:dyDescent="0.3">
      <c r="A19" s="96"/>
      <c r="B19" s="107" t="str">
        <f>'Tabula 2zone Ref 2'!J13</f>
        <v>W8</v>
      </c>
      <c r="C19" s="108">
        <f>VLOOKUP(B19,'Tabula 2zone Ref 2'!$J$5:$Q$83,3,0)</f>
        <v>1</v>
      </c>
      <c r="D19" s="108" t="str">
        <f>VLOOKUP(B19,'Tabula 2zone Ref 2'!$J$5:$Q$83,4,0)</f>
        <v>Window</v>
      </c>
      <c r="E19" s="108">
        <f>VLOOKUP(B19,'Tabula 2zone Ref 2'!$J$5:$Q$83,5,0)</f>
        <v>3.7</v>
      </c>
      <c r="F19" s="108" t="str">
        <f>VLOOKUP(B19,'Tabula 2zone Ref 2'!$J$5:$Q$83,6,0)</f>
        <v>left</v>
      </c>
      <c r="G19" s="108">
        <f>VLOOKUP(B19,'Tabula 2zone Ref 2'!$J$5:$Q$83,7,0)</f>
        <v>1.1000000000000001</v>
      </c>
      <c r="H19" s="109">
        <f>VLOOKUP(B19,'Tabula 2zone Ref 2'!$J$5:$Q$83,8,0)</f>
        <v>4.07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">
      <c r="A21" s="96"/>
      <c r="B21" s="107" t="str">
        <f>'Gebouwgegevens Allacker'!J15</f>
        <v>W10</v>
      </c>
      <c r="C21" s="108">
        <f>VLOOKUP(B21,'Tabula 2zone Ref 2'!$J$5:$Q$83,3,0)</f>
        <v>1</v>
      </c>
      <c r="D21" s="108" t="str">
        <f>VLOOKUP(B21,'Tabula 2zone Ref 2'!$J$5:$Q$83,4,0)</f>
        <v>Roof</v>
      </c>
      <c r="E21" s="108">
        <f>VLOOKUP(B21,'Tabula 2zone Ref 2'!$J$5:$Q$83,5,0)</f>
        <v>0</v>
      </c>
      <c r="F21" s="108">
        <f>VLOOKUP(B21,'Tabula 2zone Ref 2'!$J$5:$Q$83,6,0)</f>
        <v>0</v>
      </c>
      <c r="G21" s="108">
        <f>VLOOKUP(B21,'Tabula 2zone Ref 2'!$J$5:$Q$83,7,0)</f>
        <v>0.1523066735339563</v>
      </c>
      <c r="H21" s="109">
        <f>VLOOKUP(B21,'Tabula 2zone Ref 2'!$J$5:$Q$83,8,0)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4974.947952807076</v>
      </c>
      <c r="X21" s="99"/>
      <c r="Y21" s="99"/>
    </row>
    <row r="22" spans="1:25" ht="16.5" customHeight="1" thickTop="1" thickBot="1" x14ac:dyDescent="0.3">
      <c r="A22" s="96"/>
      <c r="B22" s="107" t="str">
        <f>'Gebouwgegevens Allacker'!J16</f>
        <v>W11</v>
      </c>
      <c r="C22" s="108">
        <f>VLOOKUP(B22,'Tabula 2zone Ref 2'!$J$5:$Q$83,3,0)</f>
        <v>1</v>
      </c>
      <c r="D22" s="108" t="str">
        <f>VLOOKUP(B22,'Tabula 2zone Ref 2'!$J$5:$Q$83,4,0)</f>
        <v>Door</v>
      </c>
      <c r="E22" s="108">
        <f>VLOOKUP(B22,'Tabula 2zone Ref 2'!$J$5:$Q$83,5,0)</f>
        <v>9.5</v>
      </c>
      <c r="F22" s="108">
        <f>VLOOKUP(B22,'Tabula 2zone Ref 2'!$J$5:$Q$83,6,0)</f>
        <v>0</v>
      </c>
      <c r="G22" s="108">
        <f>VLOOKUP(B22,'Tabula 2zone Ref 2'!$J$5:$Q$83,7,0)</f>
        <v>4</v>
      </c>
      <c r="H22" s="109">
        <f>VLOOKUP(B22,'Tabula 2zone Ref 2'!$J$5:$Q$83,8,0)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">
      <c r="A28" s="96"/>
      <c r="B28" s="117" t="s">
        <v>61</v>
      </c>
      <c r="C28" s="118">
        <f>VLOOKUP(B28,'Tabula 2zone Ref 2'!$J$5:$Q$83,3,0)</f>
        <v>1</v>
      </c>
      <c r="D28" s="118" t="str">
        <f>VLOOKUP(B28,'Tabula 2zone Ref 2'!$J$5:$Q$83,4,0)</f>
        <v>Floor</v>
      </c>
      <c r="E28" s="118">
        <f>VLOOKUP(B28,'Tabula 2zone Ref 2'!$J$5:$Q$83,5,0)</f>
        <v>96</v>
      </c>
      <c r="F28" s="118">
        <f>VLOOKUP(B28,'Tabula 2zone Ref 2'!$J$5:$Q$83,7,0)</f>
        <v>0.18202831551574691</v>
      </c>
      <c r="G28" s="119">
        <f>VLOOKUP(B28,'Tabula 2zone Ref 2'!$J$5:$Q$83,8,0)</f>
        <v>17.474718289511703</v>
      </c>
      <c r="H28" s="119">
        <f>N28/F28*1.45/29*9</f>
        <v>0.36798421839297318</v>
      </c>
      <c r="I28" s="118">
        <f>'Tabula 2zone Ref 2'!N14</f>
        <v>96</v>
      </c>
      <c r="J28" s="117">
        <f>SQRT(I28)*4</f>
        <v>39.191835884530846</v>
      </c>
      <c r="K28" s="117">
        <f>SUM('Tabula 2zone Ref 2'!Y16:Y19)</f>
        <v>0.21000000000000002</v>
      </c>
      <c r="L28" s="120">
        <f>I28/(0.5*J28)</f>
        <v>4.8989794855663567</v>
      </c>
      <c r="M28" s="120">
        <f>K28+2*(1/F28)</f>
        <v>11.197301587301586</v>
      </c>
      <c r="N28" s="121">
        <f>IF(M28&lt;L28,2*2/(PI()*L28+M28)*LN(PI()*L28/M28+1),2/(0.457*L28+M28))</f>
        <v>0.14885232757878145</v>
      </c>
      <c r="O28" s="99"/>
      <c r="P28" s="97"/>
    </row>
    <row r="29" spans="1:25" ht="15.75" customHeight="1" thickTop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 t="e">
        <f>1.1*W18</f>
        <v>#N/A</v>
      </c>
    </row>
    <row r="32" spans="1:25" ht="15.75" customHeight="1" thickBo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">
      <c r="A33" s="96"/>
      <c r="B33" s="122" t="s">
        <v>98</v>
      </c>
      <c r="C33" s="123">
        <f>IF(VLOOKUP(B33,'Tabula 2zone Ref 2'!$J$5:$Q$83,2,0)=B$6,VLOOKUP(B33,'Tabula 2zone Ref 2'!$J$5:$Q$83,2,0),VLOOKUP(B33,'Tabula 2zone Ref 2'!$J$5:$Q$83,3,0))</f>
        <v>1</v>
      </c>
      <c r="D33" s="123">
        <f>IF(VLOOKUP(B33,'Tabula 2zone Ref 2'!$J$5:$Q$83,2,0)=B$6,VLOOKUP(B33,'Tabula 2zone Ref 2'!$J$5:$Q$83,3,0),VLOOKUP(B33,'Tabula 2zone Ref 2'!$J$5:$Q$83,2,0))</f>
        <v>2</v>
      </c>
      <c r="E33" s="123" t="str">
        <f>VLOOKUP(B33,'Tabula 2zone Ref 2'!$J$5:$Q$83,4,0)</f>
        <v>Floor internal</v>
      </c>
      <c r="F33" s="123">
        <f>VLOOKUP(B33,'Tabula 2zone Ref 2'!$J$5:$Q$83,5,0)</f>
        <v>89.300000000000011</v>
      </c>
      <c r="G33" s="123">
        <f>VLOOKUP('Verwarming Tabula 2zone Ref 2'!C33,'Tabula 2zone Ref 2'!$A$34:$F$45,5,0)</f>
        <v>21</v>
      </c>
      <c r="H33" s="123">
        <f>VLOOKUP('Verwarming Tabula 2zone Ref 2'!D33,'Tabula 2zone Ref 2'!$A$34:$F$45,5,0)</f>
        <v>16</v>
      </c>
      <c r="I33" s="123">
        <f>VLOOKUP(B33,'Tabula 2zone Ref 2'!$J$5:$Q$83,7,0)</f>
        <v>1.4911242603550294</v>
      </c>
      <c r="J33" s="119">
        <f>VLOOKUP(B33,'Tabula 2zone Ref 2'!$J$5:$Q$83,8,0)</f>
        <v>133.15739644970415</v>
      </c>
      <c r="K33" s="119">
        <f>(G33-H33)/(G33-$B$4)</f>
        <v>0.17241379310344829</v>
      </c>
      <c r="L33" s="99"/>
      <c r="M33" s="99"/>
      <c r="N33" s="99"/>
      <c r="O33" s="99"/>
      <c r="P33" s="97"/>
    </row>
    <row r="34" spans="1:16" ht="16.5" customHeight="1" thickTop="1" thickBot="1" x14ac:dyDescent="0.3">
      <c r="A34" s="96"/>
      <c r="B34" s="122" t="s">
        <v>101</v>
      </c>
      <c r="C34" s="123">
        <f>IF(VLOOKUP(B34,'Tabula 2zone Ref 2'!$J$5:$Q$83,2,0)=B$6,VLOOKUP(B34,'Tabula 2zone Ref 2'!$J$5:$Q$83,2,0),VLOOKUP(B34,'Tabula 2zone Ref 2'!$J$5:$Q$83,3,0))</f>
        <v>1</v>
      </c>
      <c r="D34" s="123">
        <f>IF(VLOOKUP(B34,'Tabula 2zone Ref 2'!$J$5:$Q$83,2,0)=B$6,VLOOKUP(B34,'Tabula 2zone Ref 2'!$J$5:$Q$83,3,0),VLOOKUP(B34,'Tabula 2zone Ref 2'!$J$5:$Q$83,2,0))</f>
        <v>1</v>
      </c>
      <c r="E34" s="123" t="str">
        <f>VLOOKUP(B34,'Tabula 2zone Ref 2'!$J$5:$Q$83,4,0)</f>
        <v>Wall internal</v>
      </c>
      <c r="F34" s="123">
        <f>VLOOKUP(B34,'Tabula 2zone Ref 2'!$J$5:$Q$83,5,0)</f>
        <v>74.188882892606586</v>
      </c>
      <c r="G34" s="123">
        <f>VLOOKUP('Verwarming Tabula 2zone Ref 2'!C34,'Tabula 2zone Ref 2'!$A$34:$F$45,5,0)</f>
        <v>21</v>
      </c>
      <c r="H34" s="123">
        <f>VLOOKUP('Verwarming Tabula 2zone Ref 2'!D34,'Tabula 2zone Ref 2'!$A$34:$F$45,5,0)</f>
        <v>21</v>
      </c>
      <c r="I34" s="123">
        <f>VLOOKUP(B34,'Tabula 2zone Ref 2'!$J$5:$Q$83,7,0)</f>
        <v>1.7363344051446945</v>
      </c>
      <c r="J34" s="119">
        <f>VLOOKUP(B34,'Tabula 2zone Ref 2'!$J$5:$Q$83,8,0)</f>
        <v>128.81670984568345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SUMPRODUCT(H12:H22,I12:I22)+SUMPRODUCT(G28,H28)+SUMPRODUCT(J33:J38,K33:K38)</f>
        <v>99.484125538407753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2885.0396406138248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25">
      <c r="A45" s="312" t="s">
        <v>197</v>
      </c>
      <c r="B45" s="312"/>
      <c r="C45" s="312"/>
      <c r="D45" s="126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">
      <c r="A48" s="128" t="s">
        <v>199</v>
      </c>
      <c r="B48" s="122">
        <f>'Tabula data'!F34</f>
        <v>1.9113029827315542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25">
      <c r="A51" s="125" t="s">
        <v>205</v>
      </c>
      <c r="B51" s="119">
        <f>B48/20*'Tabula 2zone Ref 2'!B34</f>
        <v>32.109890109890109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'Tabula 2zone Ref 2'!G34</f>
        <v>96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>
        <f>0.4*(1-F55)*'Tabula 2zone Ref 1'!B34</f>
        <v>26.879999999999995</v>
      </c>
      <c r="C55" s="119" t="s">
        <v>206</v>
      </c>
      <c r="D55" s="99"/>
      <c r="E55" s="99" t="s">
        <v>209</v>
      </c>
      <c r="F55" s="99">
        <v>0.8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58.989890109890105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0.28425848878620152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20.056562637362639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581.64031648351647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25">
      <c r="A63" s="312" t="s">
        <v>213</v>
      </c>
      <c r="B63" s="312"/>
      <c r="C63" s="312"/>
      <c r="D63" s="312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">
      <c r="A66" s="128" t="s">
        <v>113</v>
      </c>
      <c r="B66" s="122">
        <f>'Tabula 2zone Ref 2'!B7</f>
        <v>96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25">
      <c r="A67" s="125" t="s">
        <v>216</v>
      </c>
      <c r="B67" s="119">
        <f>B68/('Gebouwgegevens Tabula'!E35-'Verwarming Tabula 2zone Ref 2'!$B$4)</f>
        <v>36.413793103448278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1056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25">
      <c r="A72" s="125" t="s">
        <v>218</v>
      </c>
      <c r="B72" s="119">
        <f>SUM(B42,B60,B67)</f>
        <v>155.95448127921867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4522.6799570973417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">
      <c r="A77" s="94"/>
      <c r="B77" s="268"/>
      <c r="C77" s="268"/>
      <c r="D77" s="268"/>
      <c r="E77" s="268"/>
      <c r="F77" s="268"/>
      <c r="G77" s="268"/>
      <c r="H77" s="268"/>
      <c r="I77" s="268"/>
      <c r="J77" s="268"/>
      <c r="K77" s="268"/>
      <c r="L77" s="268"/>
      <c r="M77" s="268"/>
      <c r="N77" s="268"/>
      <c r="O77" s="268"/>
      <c r="P77" s="95"/>
    </row>
    <row r="78" spans="1:16" ht="17.25" customHeight="1" thickTop="1" thickBo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25">
      <c r="A79" s="312" t="s">
        <v>171</v>
      </c>
      <c r="B79" s="312"/>
      <c r="C79" s="312"/>
      <c r="D79" s="312"/>
      <c r="E79" s="268"/>
      <c r="F79" s="268"/>
      <c r="G79" s="268"/>
      <c r="H79" s="268"/>
      <c r="I79" s="268"/>
      <c r="J79" s="268"/>
      <c r="K79" s="268"/>
      <c r="L79" s="268"/>
      <c r="M79" s="268"/>
      <c r="N79" s="268"/>
      <c r="O79" s="268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">
      <c r="A84" s="96"/>
      <c r="B84" s="107" t="s">
        <v>71</v>
      </c>
      <c r="C84" s="108">
        <f>VLOOKUP(B84,'Tabula 2zone Ref 2'!$J$5:$Q$83,3,0)</f>
        <v>2</v>
      </c>
      <c r="D84" s="108" t="str">
        <f>VLOOKUP(B84,'Tabula 2zone Ref 2'!$J$5:$Q$83,4,0)</f>
        <v>Wall External</v>
      </c>
      <c r="E84" s="108">
        <f>VLOOKUP(B84,'Tabula 2zone Ref 2'!$J$5:$Q$83,5,0)</f>
        <v>18.364565347833842</v>
      </c>
      <c r="F84" s="108" t="str">
        <f>VLOOKUP(B84,'Tabula 2zone Ref 2'!$J$5:$Q$83,6,0)</f>
        <v>front</v>
      </c>
      <c r="G84" s="108">
        <f>VLOOKUP(B84,'Tabula 2zone Ref 2'!$J$5:$Q$83,7,0)</f>
        <v>0.19316281128097962</v>
      </c>
      <c r="H84" s="109">
        <f>VLOOKUP(B84,'Tabula 2zone Ref 2'!$J$5:$Q$83,8,0)</f>
        <v>3.5473510705408464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">
      <c r="A85" s="96"/>
      <c r="B85" s="107" t="s">
        <v>75</v>
      </c>
      <c r="C85" s="108">
        <f>VLOOKUP(B85,'Tabula 2zone Ref 2'!$J$5:$Q$83,3,0)</f>
        <v>2</v>
      </c>
      <c r="D85" s="108" t="str">
        <f>VLOOKUP(B85,'Tabula 2zone Ref 2'!$J$5:$Q$83,4,0)</f>
        <v>Wall External</v>
      </c>
      <c r="E85" s="108">
        <f>VLOOKUP(B85,'Tabula 2zone Ref 2'!$J$5:$Q$83,5,0)</f>
        <v>32.281986411725747</v>
      </c>
      <c r="F85" s="108" t="str">
        <f>VLOOKUP(B85,'Tabula 2zone Ref 2'!$J$5:$Q$83,6,0)</f>
        <v>right</v>
      </c>
      <c r="G85" s="108">
        <f>VLOOKUP(B85,'Tabula 2zone Ref 2'!$J$5:$Q$83,7,0)</f>
        <v>0.19316281128097962</v>
      </c>
      <c r="H85" s="109">
        <f>VLOOKUP(B85,'Tabula 2zone Ref 2'!$J$5:$Q$83,8,0)</f>
        <v>6.2356792490233284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">
      <c r="A86" s="96"/>
      <c r="B86" s="107" t="s">
        <v>79</v>
      </c>
      <c r="C86" s="108">
        <f>VLOOKUP(B86,'Tabula 2zone Ref 2'!$J$5:$Q$83,3,0)</f>
        <v>2</v>
      </c>
      <c r="D86" s="108" t="str">
        <f>VLOOKUP(B86,'Tabula 2zone Ref 2'!$J$5:$Q$83,4,0)</f>
        <v>Wall External</v>
      </c>
      <c r="E86" s="108">
        <f>VLOOKUP(B86,'Tabula 2zone Ref 2'!$J$5:$Q$83,5,0)</f>
        <v>18.364565347833842</v>
      </c>
      <c r="F86" s="108" t="str">
        <f>VLOOKUP(B86,'Tabula 2zone Ref 2'!$J$5:$Q$83,6,0)</f>
        <v>back</v>
      </c>
      <c r="G86" s="108">
        <f>VLOOKUP(B86,'Tabula 2zone Ref 2'!$J$5:$Q$83,7,0)</f>
        <v>0.19316281128097962</v>
      </c>
      <c r="H86" s="109">
        <f>VLOOKUP(B86,'Tabula 2zone Ref 2'!$J$5:$Q$83,8,0)</f>
        <v>3.5473510705408464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">
      <c r="A87" s="96"/>
      <c r="B87" s="107" t="s">
        <v>82</v>
      </c>
      <c r="C87" s="108">
        <f>VLOOKUP(B87,'Tabula 2zone Ref 2'!$J$5:$Q$83,3,0)</f>
        <v>2</v>
      </c>
      <c r="D87" s="108" t="str">
        <f>VLOOKUP(B87,'Tabula 2zone Ref 2'!$J$5:$Q$83,4,0)</f>
        <v>Wall External</v>
      </c>
      <c r="E87" s="108">
        <f>VLOOKUP(B87,'Tabula 2zone Ref 2'!$J$5:$Q$83,5,0)</f>
        <v>0</v>
      </c>
      <c r="F87" s="108" t="str">
        <f>VLOOKUP(B87,'Tabula 2zone Ref 2'!$J$5:$Q$83,6,0)</f>
        <v>left</v>
      </c>
      <c r="G87" s="108">
        <f>VLOOKUP(B87,'Tabula 2zone Ref 2'!$J$5:$Q$83,7,0)</f>
        <v>0.19316281128097962</v>
      </c>
      <c r="H87" s="109">
        <f>VLOOKUP(B87,'Tabula 2zone Ref 2'!$J$5:$Q$83,8,0)</f>
        <v>0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">
      <c r="A88" s="96"/>
      <c r="B88" s="107" t="s">
        <v>84</v>
      </c>
      <c r="C88" s="108">
        <f>VLOOKUP(B88,'Tabula 2zone Ref 2'!$J$5:$Q$83,3,0)</f>
        <v>2</v>
      </c>
      <c r="D88" s="108" t="str">
        <f>VLOOKUP(B88,'Tabula 2zone Ref 2'!$J$5:$Q$83,4,0)</f>
        <v>Window</v>
      </c>
      <c r="E88" s="108">
        <f>VLOOKUP(B88,'Tabula 2zone Ref 2'!$J$5:$Q$83,5,0)</f>
        <v>3.9</v>
      </c>
      <c r="F88" s="108" t="str">
        <f>VLOOKUP(B88,'Tabula 2zone Ref 2'!$J$5:$Q$83,6,0)</f>
        <v>front</v>
      </c>
      <c r="G88" s="108">
        <f>VLOOKUP(B88,'Tabula 2zone Ref 2'!$J$5:$Q$83,7,0)</f>
        <v>1.1000000000000001</v>
      </c>
      <c r="H88" s="109">
        <f>VLOOKUP(B88,'Tabula 2zone Ref 2'!$J$5:$Q$83,8,0)</f>
        <v>4.29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">
      <c r="A89" s="96"/>
      <c r="B89" s="107" t="s">
        <v>87</v>
      </c>
      <c r="C89" s="108">
        <f>VLOOKUP(B89,'Tabula 2zone Ref 2'!$J$5:$Q$83,3,0)</f>
        <v>2</v>
      </c>
      <c r="D89" s="108" t="str">
        <f>VLOOKUP(B89,'Tabula 2zone Ref 2'!$J$5:$Q$83,4,0)</f>
        <v>Window</v>
      </c>
      <c r="E89" s="108">
        <f>VLOOKUP(B89,'Tabula 2zone Ref 2'!$J$5:$Q$83,5,0)</f>
        <v>4</v>
      </c>
      <c r="F89" s="108" t="str">
        <f>VLOOKUP(B89,'Tabula 2zone Ref 2'!$J$5:$Q$83,6,0)</f>
        <v>right</v>
      </c>
      <c r="G89" s="108">
        <f>VLOOKUP(B89,'Tabula 2zone Ref 2'!$J$5:$Q$83,7,0)</f>
        <v>1.1000000000000001</v>
      </c>
      <c r="H89" s="109">
        <f>VLOOKUP(B89,'Tabula 2zone Ref 2'!$J$5:$Q$83,8,0)</f>
        <v>4.4000000000000004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">
      <c r="A90" s="96"/>
      <c r="B90" s="107" t="s">
        <v>89</v>
      </c>
      <c r="C90" s="108">
        <f>VLOOKUP(B90,'Tabula 2zone Ref 2'!$J$5:$Q$83,3,0)</f>
        <v>2</v>
      </c>
      <c r="D90" s="108" t="str">
        <f>VLOOKUP(B90,'Tabula 2zone Ref 2'!$J$5:$Q$83,4,0)</f>
        <v>Window</v>
      </c>
      <c r="E90" s="108">
        <f>VLOOKUP(B90,'Tabula 2zone Ref 2'!$J$5:$Q$83,5,0)</f>
        <v>4.55</v>
      </c>
      <c r="F90" s="108" t="str">
        <f>VLOOKUP(B90,'Tabula 2zone Ref 2'!$J$5:$Q$83,6,0)</f>
        <v>back</v>
      </c>
      <c r="G90" s="108">
        <f>VLOOKUP(B90,'Tabula 2zone Ref 2'!$J$5:$Q$83,7,0)</f>
        <v>1.1000000000000001</v>
      </c>
      <c r="H90" s="109">
        <f>VLOOKUP(B90,'Tabula 2zone Ref 2'!$J$5:$Q$83,8,0)</f>
        <v>5.0049999999999999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">
      <c r="A91" s="96"/>
      <c r="B91" s="107" t="s">
        <v>92</v>
      </c>
      <c r="C91" s="108">
        <f>VLOOKUP(B91,'Tabula 2zone Ref 2'!$J$5:$Q$83,3,0)</f>
        <v>2</v>
      </c>
      <c r="D91" s="108" t="str">
        <f>VLOOKUP(B91,'Tabula 2zone Ref 2'!$J$5:$Q$83,4,0)</f>
        <v>Window</v>
      </c>
      <c r="E91" s="108">
        <f>VLOOKUP(B91,'Tabula 2zone Ref 2'!$J$5:$Q$83,5,0)</f>
        <v>3.7</v>
      </c>
      <c r="F91" s="108" t="str">
        <f>VLOOKUP(B91,'Tabula 2zone Ref 2'!$J$5:$Q$83,6,0)</f>
        <v>left</v>
      </c>
      <c r="G91" s="108">
        <f>VLOOKUP(B91,'Tabula 2zone Ref 2'!$J$5:$Q$83,7,0)</f>
        <v>1.1000000000000001</v>
      </c>
      <c r="H91" s="109">
        <f>VLOOKUP(B91,'Tabula 2zone Ref 2'!$J$5:$Q$83,8,0)</f>
        <v>4.07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">
      <c r="A92" s="96"/>
      <c r="B92" s="107" t="s">
        <v>96</v>
      </c>
      <c r="C92" s="108">
        <f>VLOOKUP(B92,'Tabula 2zone Ref 2'!$J$5:$Q$83,3,0)</f>
        <v>2</v>
      </c>
      <c r="D92" s="108" t="str">
        <f>VLOOKUP(B92,'Tabula 2zone Ref 2'!$J$5:$Q$83,4,0)</f>
        <v>Roof</v>
      </c>
      <c r="E92" s="108">
        <f>VLOOKUP(B92,'Tabula 2zone Ref 2'!$J$5:$Q$83,5,0)</f>
        <v>108.5</v>
      </c>
      <c r="F92" s="108" t="str">
        <f>VLOOKUP(B92,'Tabula 2zone Ref 2'!$J$5:$Q$83,6,0)</f>
        <v>front/back</v>
      </c>
      <c r="G92" s="108">
        <f>VLOOKUP(B92,'Tabula 2zone Ref 2'!$J$5:$Q$83,7,0)</f>
        <v>0.1523066735339563</v>
      </c>
      <c r="H92" s="109">
        <f>VLOOKUP(B92,'Tabula 2zone Ref 2'!$J$5:$Q$83,8,0)</f>
        <v>16.525274078434258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">
      <c r="A108" s="96"/>
      <c r="B108" s="122" t="s">
        <v>98</v>
      </c>
      <c r="C108" s="123">
        <f>IF(VLOOKUP(B108,'Tabula 2zone Ref 2'!$J$5:$Q$83,2,0)=$B$78,VLOOKUP(B108,'Tabula 2zone Ref 2'!$J$5:$Q$83,2,0),VLOOKUP(B108,'Tabula 2zone Ref 2'!$J$5:$Q$83,3,0))</f>
        <v>2</v>
      </c>
      <c r="D108" s="123">
        <f>IF(VLOOKUP(B108,'Tabula 2zone Ref 2'!$J$5:$Q$83,2,0)=$B$78,VLOOKUP(B108,'Tabula 2zone Ref 2'!$J$5:$Q$83,3,0),VLOOKUP(B108,'Tabula 2zone Ref 2'!$J$5:$Q$83,2,0))</f>
        <v>1</v>
      </c>
      <c r="E108" s="123" t="str">
        <f>VLOOKUP(B108,'Tabula 2zone Ref 2'!$J$5:$Q$83,4,0)</f>
        <v>Floor internal</v>
      </c>
      <c r="F108" s="123">
        <f>VLOOKUP(B108,'Tabula 2zone Ref 2'!$J$5:$Q$83,5,0)</f>
        <v>89.300000000000011</v>
      </c>
      <c r="G108" s="123">
        <f>VLOOKUP('Verwarming Tabula 2zone Ref 2'!C108,'Tabula 2zone Ref 2'!$A$34:$F$45,5,0)</f>
        <v>16</v>
      </c>
      <c r="H108" s="123">
        <f>VLOOKUP('Verwarming Tabula 2zone Ref 2'!D108,'Tabula 2zone Ref 2'!$A$34:$F$45,5,0)</f>
        <v>21</v>
      </c>
      <c r="I108" s="123">
        <f>VLOOKUP(B108,'Tabula 2zone Ref 2'!$J$5:$Q$83,7,0)</f>
        <v>1.4911242603550294</v>
      </c>
      <c r="J108" s="119">
        <f>VLOOKUP(B108,'Tabula 2zone Ref 2'!$J$5:$Q$83,8,0)</f>
        <v>133.15739644970415</v>
      </c>
      <c r="K108" s="119">
        <f>(G108-H108)/(G108-$B$4)</f>
        <v>-0.20833333333333334</v>
      </c>
      <c r="L108" s="99"/>
      <c r="M108" s="99"/>
      <c r="N108" s="99"/>
      <c r="O108" s="99"/>
      <c r="P108" s="97"/>
    </row>
    <row r="109" spans="1:16" ht="16.5" customHeight="1" thickTop="1" thickBot="1" x14ac:dyDescent="0.3">
      <c r="A109" s="96"/>
      <c r="B109" s="122" t="s">
        <v>102</v>
      </c>
      <c r="C109" s="123">
        <f>IF(VLOOKUP(B109,'Tabula 2zone Ref 2'!$J$5:$Q$83,2,0)=$B$78,VLOOKUP(B109,'Tabula 2zone Ref 2'!$J$5:$Q$83,2,0),VLOOKUP(B109,'Tabula 2zone Ref 2'!$J$5:$Q$83,3,0))</f>
        <v>2</v>
      </c>
      <c r="D109" s="123">
        <f>IF(VLOOKUP(B109,'Tabula 2zone Ref 2'!$J$5:$Q$83,2,0)=$B$78,VLOOKUP(B109,'Tabula 2zone Ref 2'!$J$5:$Q$83,3,0),VLOOKUP(B109,'Tabula 2zone Ref 2'!$J$5:$Q$83,2,0))</f>
        <v>2</v>
      </c>
      <c r="E109" s="123" t="str">
        <f>VLOOKUP(B109,'Tabula 2zone Ref 2'!$J$5:$Q$83,4,0)</f>
        <v>Wall internal</v>
      </c>
      <c r="F109" s="123">
        <f>VLOOKUP(B109,'Tabula 2zone Ref 2'!$J$5:$Q$83,5,0)</f>
        <v>69.011117107393432</v>
      </c>
      <c r="G109" s="123">
        <f>VLOOKUP('Verwarming Tabula 2zone Ref 2'!C109,'Tabula 2zone Ref 2'!$A$34:$F$45,5,0)</f>
        <v>16</v>
      </c>
      <c r="H109" s="123">
        <f>VLOOKUP('Verwarming Tabula 2zone Ref 2'!D109,'Tabula 2zone Ref 2'!$A$34:$F$45,5,0)</f>
        <v>16</v>
      </c>
      <c r="I109" s="123">
        <f>VLOOKUP(B109,'Tabula 2zone Ref 2'!$J$5:$Q$83,7,0)</f>
        <v>1.7363344051446945</v>
      </c>
      <c r="J109" s="119">
        <f>VLOOKUP(B109,'Tabula 2zone Ref 2'!$J$5:$Q$83,8,0)</f>
        <v>119.82637697103682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>
        <f>SUMPRODUCT(H84:H95,I84:I95)+SUMPRODUCT(G100:G104,H100:H104)+SUMPRODUCT(J108:J117,K108:K117)</f>
        <v>19.87953120818425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>
        <f>B121*(G109-$B$4)</f>
        <v>477.10874899642204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25">
      <c r="A124" s="312" t="s">
        <v>197</v>
      </c>
      <c r="B124" s="312"/>
      <c r="C124" s="312"/>
      <c r="D124" s="126" t="s">
        <v>225</v>
      </c>
      <c r="E124" s="268"/>
      <c r="F124" s="268"/>
      <c r="G124" s="268"/>
      <c r="H124" s="268"/>
      <c r="I124" s="268"/>
      <c r="J124" s="268"/>
      <c r="K124" s="268"/>
      <c r="L124" s="268"/>
      <c r="M124" s="268"/>
      <c r="N124" s="268"/>
      <c r="O124" s="268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">
      <c r="A127" s="128" t="s">
        <v>199</v>
      </c>
      <c r="B127" s="122">
        <f>B48</f>
        <v>1.9113029827315542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25">
      <c r="A130" s="125" t="s">
        <v>205</v>
      </c>
      <c r="B130" s="119">
        <f>2*VLOOKUP(B78,'Tabula 2zone Ref 2'!$A$34:$F$45,2,0)*B127*B128*B129</f>
        <v>19.908131868131871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'Tabula 2zone Ref 2'!G35</f>
        <v>89.300000000000011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>
        <f>0.4*(1-F55)*'Tabula 2zone Ref 1'!B35</f>
        <v>13.888</v>
      </c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SUM(B130,B134)</f>
        <v>33.796131868131873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0.2119039167092939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0.34*(B137+B130)</f>
        <v>18.259449670329673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B139*(G109-$B$4)</f>
        <v>438.22679208791214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25">
      <c r="A142" s="312" t="s">
        <v>213</v>
      </c>
      <c r="B142" s="312"/>
      <c r="C142" s="312"/>
      <c r="D142" s="312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">
      <c r="A145" s="128" t="s">
        <v>113</v>
      </c>
      <c r="B145" s="122">
        <f>B133</f>
        <v>89.300000000000011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25">
      <c r="A146" s="125" t="s">
        <v>216</v>
      </c>
      <c r="B146" s="119">
        <f>B147/('Gebouwgegevens Allacker'!E100-'Verwarming Tabula 2zone Ref 2'!$B$4)</f>
        <v>122.78750000000002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982.30000000000018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25">
      <c r="A151" s="125" t="s">
        <v>218</v>
      </c>
      <c r="B151" s="119">
        <f>SUM(B121,B139,B146)</f>
        <v>160.92648087851393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>
        <f>SUM(B122,B140,B147)</f>
        <v>1897.6355410843344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">
      <c r="A157" s="94"/>
      <c r="B157" s="268"/>
      <c r="C157" s="268"/>
      <c r="D157" s="268"/>
      <c r="E157" s="268"/>
      <c r="F157" s="268"/>
      <c r="G157" s="268"/>
      <c r="H157" s="268"/>
      <c r="I157" s="268"/>
      <c r="J157" s="268"/>
      <c r="K157" s="268"/>
      <c r="L157" s="268"/>
      <c r="M157" s="268"/>
      <c r="N157" s="268"/>
      <c r="O157" s="268"/>
      <c r="P157" s="95"/>
    </row>
    <row r="158" spans="1:16" ht="17.25" customHeight="1" thickTop="1" thickBo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25">
      <c r="A159" s="312" t="s">
        <v>171</v>
      </c>
      <c r="B159" s="312"/>
      <c r="C159" s="312"/>
      <c r="D159" s="312"/>
      <c r="E159" s="268"/>
      <c r="F159" s="268"/>
      <c r="G159" s="268"/>
      <c r="H159" s="268"/>
      <c r="I159" s="268"/>
      <c r="J159" s="268"/>
      <c r="K159" s="268"/>
      <c r="L159" s="268"/>
      <c r="M159" s="268"/>
      <c r="N159" s="268"/>
      <c r="O159" s="268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 2'!C188,'Gebouwgegevens Allacker'!$A$35:$F$46,5,0)</f>
        <v>#N/A</v>
      </c>
      <c r="H188" s="123" t="e">
        <f>VLOOKUP('Verwarming Tabula 2zone Ref 2'!D188,'Gebouwgegevens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 2'!C189,'Gebouwgegevens Allacker'!$A$35:$F$46,5,0)</f>
        <v>#N/A</v>
      </c>
      <c r="H189" s="123" t="e">
        <f>VLOOKUP('Verwarming Tabula 2zone Ref 2'!D189,'Gebouwgegevens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 2'!C190,'Gebouwgegevens Allacker'!$A$35:$F$46,5,0)</f>
        <v>#N/A</v>
      </c>
      <c r="H190" s="123" t="e">
        <f>VLOOKUP('Verwarming Tabula 2zone Ref 2'!D190,'Gebouwgegevens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25">
      <c r="A204" s="312" t="s">
        <v>197</v>
      </c>
      <c r="B204" s="312"/>
      <c r="C204" s="312"/>
      <c r="D204" s="126" t="s">
        <v>225</v>
      </c>
      <c r="E204" s="268"/>
      <c r="F204" s="268"/>
      <c r="G204" s="268"/>
      <c r="H204" s="268"/>
      <c r="I204" s="268"/>
      <c r="J204" s="268"/>
      <c r="K204" s="268"/>
      <c r="L204" s="268"/>
      <c r="M204" s="268"/>
      <c r="N204" s="268"/>
      <c r="O204" s="268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25">
      <c r="A222" s="312" t="s">
        <v>213</v>
      </c>
      <c r="B222" s="312"/>
      <c r="C222" s="312"/>
      <c r="D222" s="312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25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 2zone Ref 2'!$B$4)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">
      <c r="A236" s="94"/>
      <c r="B236" s="268"/>
      <c r="C236" s="268"/>
      <c r="D236" s="268"/>
      <c r="E236" s="268"/>
      <c r="F236" s="268"/>
      <c r="G236" s="268"/>
      <c r="H236" s="268"/>
      <c r="I236" s="268"/>
      <c r="J236" s="268"/>
      <c r="K236" s="268"/>
      <c r="L236" s="268"/>
      <c r="M236" s="268"/>
      <c r="N236" s="268"/>
      <c r="O236" s="268"/>
      <c r="P236" s="95"/>
    </row>
    <row r="237" spans="1:16" ht="17.25" customHeight="1" thickTop="1" thickBo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25">
      <c r="A238" s="312" t="s">
        <v>171</v>
      </c>
      <c r="B238" s="312"/>
      <c r="C238" s="312"/>
      <c r="D238" s="312"/>
      <c r="E238" s="268"/>
      <c r="F238" s="268"/>
      <c r="G238" s="268"/>
      <c r="H238" s="268"/>
      <c r="I238" s="268"/>
      <c r="J238" s="268"/>
      <c r="K238" s="268"/>
      <c r="L238" s="268"/>
      <c r="M238" s="268"/>
      <c r="N238" s="268"/>
      <c r="O238" s="268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 2'!C267,'Gebouwgegevens Allacker'!$A$35:$F$46,5,0)</f>
        <v>#N/A</v>
      </c>
      <c r="H267" s="123" t="e">
        <f>VLOOKUP('Verwarming Tabula 2zone Ref 2'!D267,'Gebouwgegevens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 2'!C268,'Gebouwgegevens Allacker'!$A$35:$F$46,5,0)</f>
        <v>#N/A</v>
      </c>
      <c r="H268" s="123" t="e">
        <f>VLOOKUP('Verwarming Tabula 2zone Ref 2'!D268,'Gebouwgegevens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 2'!C269,'Gebouwgegevens Allacker'!$A$35:$F$46,5,0)</f>
        <v>#N/A</v>
      </c>
      <c r="H269" s="123" t="e">
        <f>VLOOKUP('Verwarming Tabula 2zone Ref 2'!D269,'Gebouwgegevens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 2'!C270,'Gebouwgegevens Allacker'!$A$35:$F$46,5,0)</f>
        <v>#N/A</v>
      </c>
      <c r="H270" s="123" t="e">
        <f>VLOOKUP('Verwarming Tabula 2zone Ref 2'!D270,'Gebouwgegevens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25">
      <c r="A283" s="312" t="s">
        <v>197</v>
      </c>
      <c r="B283" s="312"/>
      <c r="C283" s="312"/>
      <c r="D283" s="126" t="s">
        <v>225</v>
      </c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25">
      <c r="A301" s="312" t="s">
        <v>213</v>
      </c>
      <c r="B301" s="312"/>
      <c r="C301" s="312"/>
      <c r="D301" s="312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25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 2zone Ref 2'!$B$4)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">
      <c r="A315" s="94"/>
      <c r="B315" s="268"/>
      <c r="C315" s="268"/>
      <c r="D315" s="268"/>
      <c r="E315" s="268"/>
      <c r="F315" s="268"/>
      <c r="G315" s="268"/>
      <c r="H315" s="268"/>
      <c r="I315" s="268"/>
      <c r="J315" s="268"/>
      <c r="K315" s="268"/>
      <c r="L315" s="268"/>
      <c r="M315" s="268"/>
      <c r="N315" s="268"/>
      <c r="O315" s="268"/>
      <c r="P315" s="95"/>
    </row>
    <row r="316" spans="1:16" ht="17.25" customHeight="1" thickTop="1" thickBo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25">
      <c r="A317" s="312" t="s">
        <v>171</v>
      </c>
      <c r="B317" s="312"/>
      <c r="C317" s="312"/>
      <c r="D317" s="312"/>
      <c r="E317" s="268"/>
      <c r="F317" s="268"/>
      <c r="G317" s="268"/>
      <c r="H317" s="268"/>
      <c r="I317" s="268"/>
      <c r="J317" s="268"/>
      <c r="K317" s="268"/>
      <c r="L317" s="268"/>
      <c r="M317" s="268"/>
      <c r="N317" s="268"/>
      <c r="O317" s="268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 2'!C346,'Gebouwgegevens Allacker'!$A$35:$F$46,5,0)</f>
        <v>#N/A</v>
      </c>
      <c r="H346" s="123" t="e">
        <f>VLOOKUP('Verwarming Tabula 2zone Ref 2'!D346,'Gebouwgegevens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 2'!C347,'Gebouwgegevens Allacker'!$A$35:$F$46,5,0)</f>
        <v>#N/A</v>
      </c>
      <c r="H347" s="123" t="e">
        <f>VLOOKUP('Verwarming Tabula 2zone Ref 2'!D347,'Gebouwgegevens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 2'!C348,'Gebouwgegevens Allacker'!$A$35:$F$46,5,0)</f>
        <v>#N/A</v>
      </c>
      <c r="H348" s="123" t="e">
        <f>VLOOKUP('Verwarming Tabula 2zone Ref 2'!D348,'Gebouwgegevens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 2'!C349,'Gebouwgegevens Allacker'!$A$35:$F$46,5,0)</f>
        <v>#N/A</v>
      </c>
      <c r="H349" s="123" t="e">
        <f>VLOOKUP('Verwarming Tabula 2zone Ref 2'!D349,'Gebouwgegevens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 2'!C350,'Gebouwgegevens Allacker'!$A$35:$F$46,5,0)</f>
        <v>#N/A</v>
      </c>
      <c r="H350" s="123" t="e">
        <f>VLOOKUP('Verwarming Tabula 2zone Ref 2'!D350,'Gebouwgegevens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25">
      <c r="A362" s="312" t="s">
        <v>197</v>
      </c>
      <c r="B362" s="312"/>
      <c r="C362" s="312"/>
      <c r="D362" s="126" t="s">
        <v>225</v>
      </c>
      <c r="E362" s="268"/>
      <c r="F362" s="268"/>
      <c r="G362" s="268"/>
      <c r="H362" s="268"/>
      <c r="I362" s="268"/>
      <c r="J362" s="268"/>
      <c r="K362" s="268"/>
      <c r="L362" s="268"/>
      <c r="M362" s="268"/>
      <c r="N362" s="268"/>
      <c r="O362" s="268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25">
      <c r="A380" s="312" t="s">
        <v>213</v>
      </c>
      <c r="B380" s="312"/>
      <c r="C380" s="312"/>
      <c r="D380" s="312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25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 2zone Ref 2'!$B$4)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">
      <c r="A393" s="94"/>
      <c r="B393" s="268"/>
      <c r="C393" s="268"/>
      <c r="D393" s="268"/>
      <c r="E393" s="268"/>
      <c r="F393" s="268"/>
      <c r="G393" s="268"/>
      <c r="H393" s="268"/>
      <c r="I393" s="268"/>
      <c r="J393" s="268"/>
      <c r="K393" s="268"/>
      <c r="L393" s="268"/>
      <c r="M393" s="268"/>
      <c r="N393" s="268"/>
      <c r="O393" s="268"/>
      <c r="P393" s="95"/>
    </row>
    <row r="394" spans="1:16" ht="17.25" customHeight="1" thickTop="1" thickBo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25">
      <c r="A395" s="312" t="s">
        <v>171</v>
      </c>
      <c r="B395" s="312"/>
      <c r="C395" s="312"/>
      <c r="D395" s="312"/>
      <c r="E395" s="268"/>
      <c r="F395" s="268"/>
      <c r="G395" s="268"/>
      <c r="H395" s="268"/>
      <c r="I395" s="268"/>
      <c r="J395" s="268"/>
      <c r="K395" s="268"/>
      <c r="L395" s="268"/>
      <c r="M395" s="268"/>
      <c r="N395" s="268"/>
      <c r="O395" s="268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 2'!C424,'Gebouwgegevens Allacker'!$A$35:$F$46,5,0)</f>
        <v>#N/A</v>
      </c>
      <c r="H424" s="123" t="e">
        <f>VLOOKUP('Verwarming Tabula 2zone Ref 2'!D424,'Gebouwgegevens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 2'!C425,'Gebouwgegevens Allacker'!$A$35:$F$46,5,0)</f>
        <v>#N/A</v>
      </c>
      <c r="H425" s="123" t="e">
        <f>VLOOKUP('Verwarming Tabula 2zone Ref 2'!D425,'Gebouwgegevens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 2'!C426,'Gebouwgegevens Allacker'!$A$35:$F$46,5,0)</f>
        <v>#N/A</v>
      </c>
      <c r="H426" s="123" t="e">
        <f>VLOOKUP('Verwarming Tabula 2zone Ref 2'!D426,'Gebouwgegevens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 2'!C427,'Gebouwgegevens Allacker'!$A$35:$F$46,5,0)</f>
        <v>#N/A</v>
      </c>
      <c r="H427" s="123" t="e">
        <f>VLOOKUP('Verwarming Tabula 2zone Ref 2'!D427,'Gebouwgegevens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 2'!C428,'Gebouwgegevens Allacker'!$A$35:$F$46,5,0)</f>
        <v>#N/A</v>
      </c>
      <c r="H428" s="123" t="e">
        <f>VLOOKUP('Verwarming Tabula 2zone Ref 2'!D428,'Gebouwgegevens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25">
      <c r="A440" s="312" t="s">
        <v>197</v>
      </c>
      <c r="B440" s="312"/>
      <c r="C440" s="312"/>
      <c r="D440" s="126" t="s">
        <v>225</v>
      </c>
      <c r="E440" s="268"/>
      <c r="F440" s="268"/>
      <c r="G440" s="268"/>
      <c r="H440" s="268"/>
      <c r="I440" s="268"/>
      <c r="J440" s="268"/>
      <c r="K440" s="268"/>
      <c r="L440" s="268"/>
      <c r="M440" s="268"/>
      <c r="N440" s="268"/>
      <c r="O440" s="268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25">
      <c r="A458" s="312" t="s">
        <v>213</v>
      </c>
      <c r="B458" s="312"/>
      <c r="C458" s="312"/>
      <c r="D458" s="312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25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 2zone Ref 2'!$B$4)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">
      <c r="A471" s="94"/>
      <c r="B471" s="268"/>
      <c r="C471" s="268"/>
      <c r="D471" s="268"/>
      <c r="E471" s="268"/>
      <c r="F471" s="268"/>
      <c r="G471" s="268"/>
      <c r="H471" s="268"/>
      <c r="I471" s="268"/>
      <c r="J471" s="268"/>
      <c r="K471" s="268"/>
      <c r="L471" s="268"/>
      <c r="M471" s="268"/>
      <c r="N471" s="268"/>
      <c r="O471" s="268"/>
      <c r="P471" s="95"/>
    </row>
    <row r="472" spans="1:16" ht="17.25" customHeight="1" thickTop="1" thickBo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25">
      <c r="A473" s="312" t="s">
        <v>171</v>
      </c>
      <c r="B473" s="312"/>
      <c r="C473" s="312"/>
      <c r="D473" s="312"/>
      <c r="E473" s="268"/>
      <c r="F473" s="268"/>
      <c r="G473" s="268"/>
      <c r="H473" s="268"/>
      <c r="I473" s="268"/>
      <c r="J473" s="268"/>
      <c r="K473" s="268"/>
      <c r="L473" s="268"/>
      <c r="M473" s="268"/>
      <c r="N473" s="268"/>
      <c r="O473" s="268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 2'!C502,'Gebouwgegevens Allacker'!$A$35:$F$46,5,0)</f>
        <v>#N/A</v>
      </c>
      <c r="H502" s="123" t="e">
        <f>VLOOKUP('Verwarming Tabula 2zone Ref 2'!D502,'Gebouwgegevens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 2'!C503,'Gebouwgegevens Allacker'!$A$35:$F$46,5,0)</f>
        <v>#N/A</v>
      </c>
      <c r="H503" s="123" t="e">
        <f>VLOOKUP('Verwarming Tabula 2zone Ref 2'!D503,'Gebouwgegevens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 2'!C504,'Gebouwgegevens Allacker'!$A$35:$F$46,5,0)</f>
        <v>#N/A</v>
      </c>
      <c r="H504" s="123" t="e">
        <f>VLOOKUP('Verwarming Tabula 2zone Ref 2'!D504,'Gebouwgegevens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25">
      <c r="A518" s="312" t="s">
        <v>197</v>
      </c>
      <c r="B518" s="312"/>
      <c r="C518" s="312"/>
      <c r="D518" s="126" t="s">
        <v>225</v>
      </c>
      <c r="E518" s="268"/>
      <c r="F518" s="268"/>
      <c r="G518" s="268"/>
      <c r="H518" s="268"/>
      <c r="I518" s="268"/>
      <c r="J518" s="268"/>
      <c r="K518" s="268"/>
      <c r="L518" s="268"/>
      <c r="M518" s="268"/>
      <c r="N518" s="268"/>
      <c r="O518" s="268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25">
      <c r="A536" s="312" t="s">
        <v>213</v>
      </c>
      <c r="B536" s="312"/>
      <c r="C536" s="312"/>
      <c r="D536" s="312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 2zone Ref 2'!$B$4)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">
      <c r="A550" s="94"/>
      <c r="B550" s="268"/>
      <c r="C550" s="268"/>
      <c r="D550" s="268"/>
      <c r="E550" s="268"/>
      <c r="F550" s="268"/>
      <c r="G550" s="268"/>
      <c r="H550" s="268"/>
      <c r="I550" s="268"/>
      <c r="J550" s="268"/>
      <c r="K550" s="268"/>
      <c r="L550" s="268"/>
      <c r="M550" s="268"/>
      <c r="N550" s="268"/>
      <c r="O550" s="268"/>
      <c r="P550" s="95"/>
    </row>
    <row r="551" spans="1:16" ht="17.25" customHeight="1" thickTop="1" thickBo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25">
      <c r="A552" s="312" t="s">
        <v>171</v>
      </c>
      <c r="B552" s="312"/>
      <c r="C552" s="312"/>
      <c r="D552" s="312"/>
      <c r="E552" s="268"/>
      <c r="F552" s="268"/>
      <c r="G552" s="268"/>
      <c r="H552" s="268"/>
      <c r="I552" s="268"/>
      <c r="J552" s="268"/>
      <c r="K552" s="268"/>
      <c r="L552" s="268"/>
      <c r="M552" s="268"/>
      <c r="N552" s="268"/>
      <c r="O552" s="268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 2'!C581,'Gebouwgegevens Allacker'!$A$35:$F$46,5,0)</f>
        <v>#N/A</v>
      </c>
      <c r="H581" s="123" t="e">
        <f>VLOOKUP('Verwarming Tabula 2zone Ref 2'!D581,'Gebouwgegevens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 2'!C582,'Gebouwgegevens Allacker'!$A$35:$F$46,5,0)</f>
        <v>#N/A</v>
      </c>
      <c r="H582" s="123" t="e">
        <f>VLOOKUP('Verwarming Tabula 2zone Ref 2'!D582,'Gebouwgegevens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 2'!C583,'Gebouwgegevens Allacker'!$A$35:$F$46,5,0)</f>
        <v>#N/A</v>
      </c>
      <c r="H583" s="123" t="e">
        <f>VLOOKUP('Verwarming Tabula 2zone Ref 2'!D583,'Gebouwgegevens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25">
      <c r="A597" s="312" t="s">
        <v>197</v>
      </c>
      <c r="B597" s="312"/>
      <c r="C597" s="312"/>
      <c r="D597" s="126" t="s">
        <v>225</v>
      </c>
      <c r="E597" s="268"/>
      <c r="F597" s="268"/>
      <c r="G597" s="268"/>
      <c r="H597" s="268"/>
      <c r="I597" s="268"/>
      <c r="J597" s="268"/>
      <c r="K597" s="268"/>
      <c r="L597" s="268"/>
      <c r="M597" s="268"/>
      <c r="N597" s="268"/>
      <c r="O597" s="268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25">
      <c r="A615" s="312" t="s">
        <v>213</v>
      </c>
      <c r="B615" s="312"/>
      <c r="C615" s="312"/>
      <c r="D615" s="312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25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 2zone Ref 2'!$B$4)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">
      <c r="A629" s="94"/>
      <c r="B629" s="268"/>
      <c r="C629" s="268"/>
      <c r="D629" s="268"/>
      <c r="E629" s="268"/>
      <c r="F629" s="268"/>
      <c r="G629" s="268"/>
      <c r="H629" s="268"/>
      <c r="I629" s="268"/>
      <c r="J629" s="268"/>
      <c r="K629" s="268"/>
      <c r="L629" s="268"/>
      <c r="M629" s="268"/>
      <c r="N629" s="268"/>
      <c r="O629" s="268"/>
      <c r="P629" s="95"/>
    </row>
    <row r="630" spans="1:16" ht="17.25" customHeight="1" thickTop="1" thickBo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25">
      <c r="A631" s="312" t="s">
        <v>171</v>
      </c>
      <c r="B631" s="312"/>
      <c r="C631" s="312"/>
      <c r="D631" s="312"/>
      <c r="E631" s="268"/>
      <c r="F631" s="268"/>
      <c r="G631" s="268"/>
      <c r="H631" s="268"/>
      <c r="I631" s="268"/>
      <c r="J631" s="268"/>
      <c r="K631" s="268"/>
      <c r="L631" s="268"/>
      <c r="M631" s="268"/>
      <c r="N631" s="268"/>
      <c r="O631" s="268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 2'!C660,'Gebouwgegevens Allacker'!$A$35:$F$46,5,0)</f>
        <v>#N/A</v>
      </c>
      <c r="H660" s="123" t="e">
        <f>VLOOKUP('Verwarming Tabula 2zone Ref 2'!D660,'Gebouwgegevens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 2'!C661,'Gebouwgegevens Allacker'!$A$35:$F$46,5,0)</f>
        <v>#N/A</v>
      </c>
      <c r="H661" s="123" t="e">
        <f>VLOOKUP('Verwarming Tabula 2zone Ref 2'!D661,'Gebouwgegevens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25">
      <c r="A676" s="312" t="s">
        <v>197</v>
      </c>
      <c r="B676" s="312"/>
      <c r="C676" s="312"/>
      <c r="D676" s="126" t="s">
        <v>225</v>
      </c>
      <c r="E676" s="268"/>
      <c r="F676" s="268"/>
      <c r="G676" s="268"/>
      <c r="H676" s="268"/>
      <c r="I676" s="268"/>
      <c r="J676" s="268"/>
      <c r="K676" s="268"/>
      <c r="L676" s="268"/>
      <c r="M676" s="268"/>
      <c r="N676" s="268"/>
      <c r="O676" s="268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25">
      <c r="A694" s="312" t="s">
        <v>213</v>
      </c>
      <c r="B694" s="312"/>
      <c r="C694" s="312"/>
      <c r="D694" s="312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25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 2zone Ref 2'!$B$4)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">
      <c r="A708" s="94"/>
      <c r="B708" s="268"/>
      <c r="C708" s="268"/>
      <c r="D708" s="268"/>
      <c r="E708" s="268"/>
      <c r="F708" s="268"/>
      <c r="G708" s="268"/>
      <c r="H708" s="268"/>
      <c r="I708" s="268"/>
      <c r="J708" s="268"/>
      <c r="K708" s="268"/>
      <c r="L708" s="268"/>
      <c r="M708" s="268"/>
      <c r="N708" s="268"/>
      <c r="O708" s="268"/>
      <c r="P708" s="95"/>
    </row>
    <row r="709" spans="1:16" ht="17.25" customHeight="1" thickTop="1" thickBo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25">
      <c r="A710" s="312" t="s">
        <v>171</v>
      </c>
      <c r="B710" s="312"/>
      <c r="C710" s="312"/>
      <c r="D710" s="312"/>
      <c r="E710" s="268"/>
      <c r="F710" s="268"/>
      <c r="G710" s="268"/>
      <c r="H710" s="268"/>
      <c r="I710" s="268"/>
      <c r="J710" s="268"/>
      <c r="K710" s="268"/>
      <c r="L710" s="268"/>
      <c r="M710" s="268"/>
      <c r="N710" s="268"/>
      <c r="O710" s="268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 2'!C739,'Gebouwgegevens Allacker'!$A$35:$F$46,5,0)</f>
        <v>#N/A</v>
      </c>
      <c r="H739" s="123" t="e">
        <f>VLOOKUP('Verwarming Tabula 2zone Ref 2'!D739,'Gebouwgegevens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 2'!C740,'Gebouwgegevens Allacker'!$A$35:$F$46,5,0)</f>
        <v>#N/A</v>
      </c>
      <c r="H740" s="123" t="e">
        <f>VLOOKUP('Verwarming Tabula 2zone Ref 2'!D740,'Gebouwgegevens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 2'!C741,'Gebouwgegevens Allacker'!$A$35:$F$46,5,0)</f>
        <v>#N/A</v>
      </c>
      <c r="H741" s="123" t="e">
        <f>VLOOKUP('Verwarming Tabula 2zone Ref 2'!D741,'Gebouwgegevens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 2'!C742,'Gebouwgegevens Allacker'!$A$35:$F$46,5,0)</f>
        <v>#N/A</v>
      </c>
      <c r="H742" s="123" t="e">
        <f>VLOOKUP('Verwarming Tabula 2zone Ref 2'!D742,'Gebouwgegevens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 2'!C743,'Gebouwgegevens Allacker'!$A$35:$F$46,5,0)</f>
        <v>#N/A</v>
      </c>
      <c r="H743" s="123" t="e">
        <f>VLOOKUP('Verwarming Tabula 2zone Ref 2'!D743,'Gebouwgegevens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 2'!C744,'Gebouwgegevens Allacker'!$A$35:$F$46,5,0)</f>
        <v>#N/A</v>
      </c>
      <c r="H744" s="123" t="e">
        <f>VLOOKUP('Verwarming Tabula 2zone Ref 2'!D744,'Gebouwgegevens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 2'!C745,'Gebouwgegevens Allacker'!$A$35:$F$46,5,0)</f>
        <v>#N/A</v>
      </c>
      <c r="H745" s="123" t="e">
        <f>VLOOKUP('Verwarming Tabula 2zone Ref 2'!D745,'Gebouwgegevens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 2'!C746,'Gebouwgegevens Allacker'!$A$35:$F$46,5,0)</f>
        <v>#N/A</v>
      </c>
      <c r="H746" s="123" t="e">
        <f>VLOOKUP('Verwarming Tabula 2zone Ref 2'!D746,'Gebouwgegevens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 2'!C747,'Gebouwgegevens Allacker'!$A$35:$F$46,5,0)</f>
        <v>#N/A</v>
      </c>
      <c r="H747" s="123" t="e">
        <f>VLOOKUP('Verwarming Tabula 2zone Ref 2'!D747,'Gebouwgegevens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 2'!C748,'Gebouwgegevens Allacker'!$A$35:$F$46,5,0)</f>
        <v>#N/A</v>
      </c>
      <c r="H748" s="123" t="e">
        <f>VLOOKUP('Verwarming Tabula 2zone Ref 2'!D748,'Gebouwgegevens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 2'!C749,'Gebouwgegevens Allacker'!$A$35:$F$46,5,0)</f>
        <v>#N/A</v>
      </c>
      <c r="H749" s="123" t="e">
        <f>VLOOKUP('Verwarming Tabula 2zone Ref 2'!D749,'Gebouwgegevens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 2'!C750,'Gebouwgegevens Allacker'!$A$35:$F$46,5,0)</f>
        <v>#N/A</v>
      </c>
      <c r="H750" s="123" t="e">
        <f>VLOOKUP('Verwarming Tabula 2zone Ref 2'!D750,'Gebouwgegevens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25">
      <c r="A755" s="312" t="s">
        <v>197</v>
      </c>
      <c r="B755" s="312"/>
      <c r="C755" s="312"/>
      <c r="D755" s="126" t="s">
        <v>225</v>
      </c>
      <c r="E755" s="268"/>
      <c r="F755" s="268"/>
      <c r="G755" s="268"/>
      <c r="H755" s="268"/>
      <c r="I755" s="268"/>
      <c r="J755" s="268"/>
      <c r="K755" s="268"/>
      <c r="L755" s="268"/>
      <c r="M755" s="268"/>
      <c r="N755" s="268"/>
      <c r="O755" s="268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25">
      <c r="A773" s="312" t="s">
        <v>213</v>
      </c>
      <c r="B773" s="312"/>
      <c r="C773" s="312"/>
      <c r="D773" s="312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25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 2zone Ref 2'!$B$4)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="85" zoomScaleNormal="85" workbookViewId="0">
      <selection sqref="A1:I1"/>
    </sheetView>
  </sheetViews>
  <sheetFormatPr defaultRowHeight="15" x14ac:dyDescent="0.25"/>
  <cols>
    <col min="1" max="1" width="9.140625" style="153"/>
    <col min="2" max="2" width="16.7109375" style="153" bestFit="1" customWidth="1"/>
    <col min="3" max="1025" width="9.140625" style="153"/>
    <col min="1026" max="16384" width="9.140625" style="81"/>
  </cols>
  <sheetData>
    <row r="1" spans="1:25" ht="20.25" customHeight="1" x14ac:dyDescent="0.25">
      <c r="A1" s="310" t="s">
        <v>164</v>
      </c>
      <c r="B1" s="310"/>
      <c r="C1" s="310"/>
      <c r="D1" s="310"/>
      <c r="E1" s="310"/>
      <c r="F1" s="310"/>
      <c r="G1" s="310"/>
      <c r="H1" s="310"/>
      <c r="I1" s="310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89"/>
      <c r="W4" s="289"/>
      <c r="X4" s="289"/>
      <c r="Y4" s="95"/>
    </row>
    <row r="5" spans="1:25" ht="18" customHeight="1" thickTop="1" thickBot="1" x14ac:dyDescent="0.3">
      <c r="A5" s="94"/>
      <c r="B5" s="289"/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95"/>
      <c r="U5" s="96"/>
      <c r="V5" s="307" t="s">
        <v>168</v>
      </c>
      <c r="W5" s="307"/>
      <c r="X5" s="307"/>
      <c r="Y5" s="97"/>
    </row>
    <row r="6" spans="1:25" ht="18.75" customHeight="1" thickTop="1" thickBo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89"/>
      <c r="Y6" s="97"/>
    </row>
    <row r="7" spans="1:25" ht="16.5" customHeight="1" thickTop="1" x14ac:dyDescent="0.25">
      <c r="A7" s="312" t="s">
        <v>171</v>
      </c>
      <c r="B7" s="312"/>
      <c r="C7" s="312"/>
      <c r="D7" s="312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95"/>
      <c r="U7" s="96"/>
      <c r="V7" s="102">
        <f>B6</f>
        <v>1</v>
      </c>
      <c r="W7" s="103">
        <f>B73</f>
        <v>6999.6522414176998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4125.6242916678329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">
      <c r="A12" s="96"/>
      <c r="B12" s="107" t="str">
        <f>'Tabula RefULG 1'!K6</f>
        <v>W1</v>
      </c>
      <c r="C12" s="108">
        <f>VLOOKUP(B12,'Tabula RefULG 1'!$K$5:$R$83,3,0)</f>
        <v>1</v>
      </c>
      <c r="D12" s="108" t="str">
        <f>VLOOKUP(B12,'Tabula RefULG 1'!$K$5:$R$83,4,0)</f>
        <v>Wall External</v>
      </c>
      <c r="E12" s="108">
        <f>VLOOKUP(B12,'Tabula RefULG 1'!$K$5:$R$83,5,0)</f>
        <v>19.742421874491026</v>
      </c>
      <c r="F12" s="108" t="str">
        <f>VLOOKUP(B12,'Tabula RefULG 1'!$K$5:$R$83,6,0)</f>
        <v>front</v>
      </c>
      <c r="G12" s="108">
        <f>VLOOKUP(B12,'Tabula RefULG 1'!$K$5:$R$83,7,0)</f>
        <v>0.99033657090706906</v>
      </c>
      <c r="H12" s="109">
        <f>VLOOKUP(B12,'Tabula RefULG 1'!$K$5:$R$83,8,0)</f>
        <v>19.551642380584152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">
      <c r="A13" s="96"/>
      <c r="B13" s="107" t="str">
        <f>'Tabula RefULG 1'!K7</f>
        <v>W2</v>
      </c>
      <c r="C13" s="108">
        <f>VLOOKUP(B13,'Tabula RefULG 1'!$K$5:$R$83,3,0)</f>
        <v>1</v>
      </c>
      <c r="D13" s="108" t="str">
        <f>VLOOKUP(B13,'Tabula RefULG 1'!$K$5:$R$83,4,0)</f>
        <v>Wall External</v>
      </c>
      <c r="E13" s="108">
        <f>VLOOKUP(B13,'Tabula RefULG 1'!$K$5:$R$83,5,0)</f>
        <v>34.704039143624534</v>
      </c>
      <c r="F13" s="108" t="str">
        <f>VLOOKUP(B13,'Tabula RefULG 1'!$K$5:$R$83,6,0)</f>
        <v>right</v>
      </c>
      <c r="G13" s="108">
        <f>VLOOKUP(B13,'Tabula RefULG 1'!$K$5:$R$83,7,0)</f>
        <v>0.99033657090706906</v>
      </c>
      <c r="H13" s="109">
        <f>VLOOKUP(B13,'Tabula RefULG 1'!$K$5:$R$83,8,0)</f>
        <v>34.368679122121819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">
      <c r="A14" s="96"/>
      <c r="B14" s="107" t="str">
        <f>'Tabula RefULG 1'!K8</f>
        <v>W3</v>
      </c>
      <c r="C14" s="108">
        <f>VLOOKUP(B14,'Tabula RefULG 1'!$K$5:$R$83,3,0)</f>
        <v>1</v>
      </c>
      <c r="D14" s="108" t="str">
        <f>VLOOKUP(B14,'Tabula RefULG 1'!$K$5:$R$83,4,0)</f>
        <v>Wall External</v>
      </c>
      <c r="E14" s="108">
        <f>VLOOKUP(B14,'Tabula RefULG 1'!$K$5:$R$83,5,0)</f>
        <v>19.742421874491026</v>
      </c>
      <c r="F14" s="108" t="str">
        <f>VLOOKUP(B14,'Tabula RefULG 1'!$K$5:$R$83,6,0)</f>
        <v>back</v>
      </c>
      <c r="G14" s="108">
        <f>VLOOKUP(B14,'Tabula RefULG 1'!$K$5:$R$83,7,0)</f>
        <v>0.99033657090706906</v>
      </c>
      <c r="H14" s="109">
        <f>VLOOKUP(B14,'Tabula RefULG 1'!$K$5:$R$83,8,0)</f>
        <v>19.551642380584152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">
      <c r="A15" s="96"/>
      <c r="B15" s="107" t="str">
        <f>'Tabula RefULG 1'!K9</f>
        <v>W4</v>
      </c>
      <c r="C15" s="108">
        <f>VLOOKUP(B15,'Tabula RefULG 1'!$K$5:$R$83,3,0)</f>
        <v>1</v>
      </c>
      <c r="D15" s="108" t="str">
        <f>VLOOKUP(B15,'Tabula RefULG 1'!$K$5:$R$83,4,0)</f>
        <v>Wall External</v>
      </c>
      <c r="E15" s="108">
        <f>VLOOKUP(B15,'Tabula RefULG 1'!$K$5:$R$83,5,0)</f>
        <v>0</v>
      </c>
      <c r="F15" s="108" t="str">
        <f>VLOOKUP(B15,'Tabula RefULG 1'!$K$5:$R$83,6,0)</f>
        <v>left</v>
      </c>
      <c r="G15" s="108">
        <f>VLOOKUP(B15,'Tabula RefULG 1'!$K$5:$R$83,7,0)</f>
        <v>0.99033657090706906</v>
      </c>
      <c r="H15" s="109">
        <f>VLOOKUP(B15,'Tabula RefULG 1'!$K$5:$R$83,8,0)</f>
        <v>0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">
      <c r="A16" s="96"/>
      <c r="B16" s="107" t="str">
        <f>'Tabula RefULG 1'!K10</f>
        <v>W5</v>
      </c>
      <c r="C16" s="108">
        <f>VLOOKUP(B16,'Tabula RefULG 1'!$K$5:$R$83,3,0)</f>
        <v>1</v>
      </c>
      <c r="D16" s="108" t="str">
        <f>VLOOKUP(B16,'Tabula RefULG 1'!$K$5:$R$83,4,0)</f>
        <v>Window</v>
      </c>
      <c r="E16" s="108">
        <f>VLOOKUP(B16,'Tabula RefULG 1'!$K$5:$R$83,5,0)</f>
        <v>3.9</v>
      </c>
      <c r="F16" s="108" t="str">
        <f>VLOOKUP(B16,'Tabula RefULG 1'!$K$5:$R$83,6,0)</f>
        <v>front</v>
      </c>
      <c r="G16" s="108">
        <f>VLOOKUP(B16,'Tabula RefULG 1'!$K$5:$R$83,7,0)</f>
        <v>2</v>
      </c>
      <c r="H16" s="109">
        <f>VLOOKUP(B16,'Tabula RefULG 1'!$K$5:$R$83,8,0)</f>
        <v>7.8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">
      <c r="A17" s="96"/>
      <c r="B17" s="107" t="str">
        <f>'Tabula RefULG 1'!K11</f>
        <v>W6</v>
      </c>
      <c r="C17" s="108">
        <f>VLOOKUP(B17,'Tabula RefULG 1'!$K$5:$R$83,3,0)</f>
        <v>1</v>
      </c>
      <c r="D17" s="108" t="str">
        <f>VLOOKUP(B17,'Tabula RefULG 1'!$K$5:$R$83,4,0)</f>
        <v>Window</v>
      </c>
      <c r="E17" s="108">
        <f>VLOOKUP(B17,'Tabula RefULG 1'!$K$5:$R$83,5,0)</f>
        <v>4</v>
      </c>
      <c r="F17" s="108" t="str">
        <f>VLOOKUP(B17,'Tabula RefULG 1'!$K$5:$R$83,6,0)</f>
        <v>right</v>
      </c>
      <c r="G17" s="108">
        <f>VLOOKUP(B17,'Tabula RefULG 1'!$K$5:$R$83,7,0)</f>
        <v>2</v>
      </c>
      <c r="H17" s="109">
        <f>VLOOKUP(B17,'Tabula RefULG 1'!$K$5:$R$83,8,0)</f>
        <v>8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">
      <c r="A18" s="96"/>
      <c r="B18" s="107" t="str">
        <f>'Tabula RefULG 1'!K12</f>
        <v>W7</v>
      </c>
      <c r="C18" s="108">
        <f>VLOOKUP(B18,'Tabula RefULG 1'!$K$5:$R$83,3,0)</f>
        <v>1</v>
      </c>
      <c r="D18" s="108" t="str">
        <f>VLOOKUP(B18,'Tabula RefULG 1'!$K$5:$R$83,4,0)</f>
        <v>Window</v>
      </c>
      <c r="E18" s="108">
        <f>VLOOKUP(B18,'Tabula RefULG 1'!$K$5:$R$83,5,0)</f>
        <v>4.55</v>
      </c>
      <c r="F18" s="108" t="str">
        <f>VLOOKUP(B18,'Tabula RefULG 1'!$K$5:$R$83,6,0)</f>
        <v>back</v>
      </c>
      <c r="G18" s="108">
        <f>VLOOKUP(B18,'Tabula RefULG 1'!$K$5:$R$83,7,0)</f>
        <v>2</v>
      </c>
      <c r="H18" s="109">
        <f>VLOOKUP(B18,'Tabula RefULG 1'!$K$5:$R$83,8,0)</f>
        <v>9.1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11125.276533085533</v>
      </c>
      <c r="X18" s="289" t="s">
        <v>172</v>
      </c>
      <c r="Y18" s="97"/>
    </row>
    <row r="19" spans="1:25" ht="16.5" customHeight="1" thickTop="1" thickBot="1" x14ac:dyDescent="0.3">
      <c r="A19" s="96"/>
      <c r="B19" s="107" t="str">
        <f>'Tabula RefULG 1'!K13</f>
        <v>W8</v>
      </c>
      <c r="C19" s="108">
        <f>VLOOKUP(B19,'Tabula RefULG 1'!$K$5:$R$83,3,0)</f>
        <v>1</v>
      </c>
      <c r="D19" s="108" t="str">
        <f>VLOOKUP(B19,'Tabula RefULG 1'!$K$5:$R$83,4,0)</f>
        <v>Window</v>
      </c>
      <c r="E19" s="108">
        <f>VLOOKUP(B19,'Tabula RefULG 1'!$K$5:$R$83,5,0)</f>
        <v>3.7</v>
      </c>
      <c r="F19" s="108" t="str">
        <f>VLOOKUP(B19,'Tabula RefULG 1'!$K$5:$R$83,6,0)</f>
        <v>left</v>
      </c>
      <c r="G19" s="108">
        <f>VLOOKUP(B19,'Tabula RefULG 1'!$K$5:$R$83,7,0)</f>
        <v>2</v>
      </c>
      <c r="H19" s="109">
        <f>VLOOKUP(B19,'Tabula RefULG 1'!$K$5:$R$83,8,0)</f>
        <v>7.4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">
      <c r="A21" s="96"/>
      <c r="B21" s="107" t="str">
        <f>'Gebouwgegevens Allacker'!J15</f>
        <v>W10</v>
      </c>
      <c r="C21" s="108">
        <f>VLOOKUP(B21,'Tabula RefULG 1'!$K$5:$R$83,3,0)</f>
        <v>1</v>
      </c>
      <c r="D21" s="108" t="str">
        <f>VLOOKUP(B21,'Tabula RefULG 1'!$K$5:$R$83,4,0)</f>
        <v>Roof</v>
      </c>
      <c r="E21" s="108">
        <f>VLOOKUP(B21,'Tabula RefULG 1'!$K$5:$R$83,5,0)</f>
        <v>0</v>
      </c>
      <c r="F21" s="108">
        <f>VLOOKUP(B21,'Tabula RefULG 1'!$K$5:$R$83,6,0)</f>
        <v>0</v>
      </c>
      <c r="G21" s="108">
        <f>VLOOKUP(B21,'Tabula RefULG 1'!$K$5:$R$83,7,0)</f>
        <v>0.3127301569316186</v>
      </c>
      <c r="H21" s="109">
        <f>VLOOKUP(B21,'Tabula RefULG 1'!$K$5:$R$83,8,0)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7699.6174655594705</v>
      </c>
      <c r="X21" s="99"/>
      <c r="Y21" s="99"/>
    </row>
    <row r="22" spans="1:25" ht="16.5" customHeight="1" thickTop="1" thickBot="1" x14ac:dyDescent="0.3">
      <c r="A22" s="96"/>
      <c r="B22" s="107" t="str">
        <f>'Gebouwgegevens Allacker'!J16</f>
        <v>W11</v>
      </c>
      <c r="C22" s="108">
        <f>VLOOKUP(B22,'Tabula RefULG 1'!$K$5:$R$83,3,0)</f>
        <v>1</v>
      </c>
      <c r="D22" s="108" t="str">
        <f>VLOOKUP(B22,'Tabula RefULG 1'!$K$5:$R$83,4,0)</f>
        <v>Door</v>
      </c>
      <c r="E22" s="108">
        <f>VLOOKUP(B22,'Tabula RefULG 1'!$K$5:$R$83,5,0)</f>
        <v>9.5</v>
      </c>
      <c r="F22" s="108">
        <f>VLOOKUP(B22,'Tabula RefULG 1'!$K$5:$R$83,6,0)</f>
        <v>0</v>
      </c>
      <c r="G22" s="108">
        <f>VLOOKUP(B22,'Tabula RefULG 1'!$K$5:$R$83,7,0)</f>
        <v>4</v>
      </c>
      <c r="H22" s="109">
        <f>VLOOKUP(B22,'Tabula RefULG 1'!$K$5:$R$83,8,0)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">
      <c r="A28" s="96"/>
      <c r="B28" s="117" t="s">
        <v>61</v>
      </c>
      <c r="C28" s="118">
        <f>VLOOKUP(B28,'Tabula RefULG 1'!$K$5:$R$83,3,0)</f>
        <v>1</v>
      </c>
      <c r="D28" s="118" t="str">
        <f>VLOOKUP(B28,'Tabula RefULG 1'!$K$5:$R$83,4,0)</f>
        <v>Floor</v>
      </c>
      <c r="E28" s="118">
        <f>VLOOKUP(B28,'Tabula RefULG 1'!$K$5:$R$83,5,0)</f>
        <v>96</v>
      </c>
      <c r="F28" s="118">
        <f>VLOOKUP(B28,'Tabula RefULG 1'!$K$5:$R$83,7,0)</f>
        <v>0.84168336673346678</v>
      </c>
      <c r="G28" s="119">
        <f>VLOOKUP(B28,'Tabula RefULG 1'!$K$5:$R$83,8,0)</f>
        <v>80.801603206412807</v>
      </c>
      <c r="H28" s="119">
        <f>N28/F28/29*9*1.45</f>
        <v>0.22961705721968984</v>
      </c>
      <c r="I28" s="118">
        <f>'Tabula RefULG 1'!O14</f>
        <v>96</v>
      </c>
      <c r="J28" s="117">
        <f>SQRT(I28)*4</f>
        <v>39.191835884530846</v>
      </c>
      <c r="K28" s="117">
        <f>SUM('Tabula RefULG 1'!Z16:Z19)</f>
        <v>0.23</v>
      </c>
      <c r="L28" s="120">
        <f>I28/(0.5*J28)</f>
        <v>4.8989794855663567</v>
      </c>
      <c r="M28" s="120">
        <f>K28+2*(1/F28)</f>
        <v>2.6061904761904766</v>
      </c>
      <c r="N28" s="121">
        <f>IF(M28&lt;L28,2*2/(PI()*L28+M28)*LN(PI()*L28/M28+1),2/(0.457*L28+M28))</f>
        <v>0.42947746173355472</v>
      </c>
      <c r="O28" s="99"/>
      <c r="P28" s="97"/>
    </row>
    <row r="29" spans="1:25" ht="15.75" customHeight="1" thickTop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>
        <f>1.1*W18</f>
        <v>12237.804186394087</v>
      </c>
    </row>
    <row r="32" spans="1:25" ht="15.75" customHeight="1" thickBo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">
      <c r="A33" s="96"/>
      <c r="B33" s="122" t="s">
        <v>98</v>
      </c>
      <c r="C33" s="123">
        <f>IF(VLOOKUP(B33,'Tabula RefULG 1'!$K$5:$R$83,2,0)=B$6,VLOOKUP(B33,'Tabula RefULG 1'!$K$5:$R$83,2,0),VLOOKUP(B33,'Tabula RefULG 1'!$K$5:$R$83,3,0))</f>
        <v>1</v>
      </c>
      <c r="D33" s="123">
        <f>IF(VLOOKUP(B33,'Tabula RefULG 1'!$K$5:$R$83,2,0)=B$6,VLOOKUP(B33,'Tabula RefULG 1'!$K$5:$R$83,3,0),VLOOKUP(B33,'Tabula RefULG 1'!$K$5:$R$83,2,0))</f>
        <v>2</v>
      </c>
      <c r="E33" s="123" t="str">
        <f>VLOOKUP(B33,'Tabula RefULG 1'!$K$5:$R$83,4,0)</f>
        <v>Floor internal</v>
      </c>
      <c r="F33" s="123">
        <f>VLOOKUP(B33,'Tabula RefULG 1'!$K$5:$R$83,5,0)</f>
        <v>89.300000000000011</v>
      </c>
      <c r="G33" s="123">
        <f>VLOOKUP('Verwarming Tabula 2zone RefULG1'!C33,'Tabula RefULG 1'!$A$34:$F$45,5,0)</f>
        <v>21</v>
      </c>
      <c r="H33" s="123">
        <f>VLOOKUP('Verwarming Tabula 2zone RefULG1'!D33,'Tabula RefULG 1'!$A$34:$F$45,5,0)</f>
        <v>16</v>
      </c>
      <c r="I33" s="123">
        <f>VLOOKUP(B33,'Tabula RefULG 1'!$K$5:$R$83,7,0)</f>
        <v>1.0668924640135478</v>
      </c>
      <c r="J33" s="119">
        <f>VLOOKUP(B33,'Tabula RefULG 1'!$K$5:$R$83,8,0)</f>
        <v>95.273497036409822</v>
      </c>
      <c r="K33" s="119">
        <f>(G33-H33)/(G33-$B$4)</f>
        <v>0.17241379310344829</v>
      </c>
      <c r="L33" s="99"/>
      <c r="M33" s="99"/>
      <c r="N33" s="99"/>
      <c r="O33" s="99"/>
      <c r="P33" s="97"/>
    </row>
    <row r="34" spans="1:16" ht="16.5" customHeight="1" thickTop="1" thickBot="1" x14ac:dyDescent="0.3">
      <c r="A34" s="96"/>
      <c r="B34" s="122" t="s">
        <v>101</v>
      </c>
      <c r="C34" s="123">
        <f>IF(VLOOKUP(B34,'Tabula RefULG 1'!$K$5:$R$83,2,0)=B$6,VLOOKUP(B34,'Tabula RefULG 1'!$K$5:$R$83,2,0),VLOOKUP(B34,'Tabula RefULG 1'!$K$5:$R$83,3,0))</f>
        <v>1</v>
      </c>
      <c r="D34" s="123">
        <f>IF(VLOOKUP(B34,'Tabula RefULG 1'!$K$5:$R$83,2,0)=B$6,VLOOKUP(B34,'Tabula RefULG 1'!$K$5:$R$83,3,0),VLOOKUP(B34,'Tabula RefULG 1'!$K$5:$R$83,2,0))</f>
        <v>1</v>
      </c>
      <c r="E34" s="123" t="str">
        <f>VLOOKUP(B34,'Tabula RefULG 1'!$K$5:$R$83,4,0)</f>
        <v>Wall internal</v>
      </c>
      <c r="F34" s="123">
        <f>VLOOKUP(B34,'Tabula RefULG 1'!$K$5:$R$83,5,0)</f>
        <v>74.188882892606586</v>
      </c>
      <c r="G34" s="123">
        <f>VLOOKUP('Verwarming Tabula 2zone RefULG1'!C34,'Tabula RefULG 1'!$A$34:$F$45,5,0)</f>
        <v>21</v>
      </c>
      <c r="H34" s="123">
        <f>VLOOKUP('Verwarming Tabula 2zone RefULG1'!D34,'Tabula RefULG 1'!$A$34:$F$45,5,0)</f>
        <v>21</v>
      </c>
      <c r="I34" s="123">
        <f>VLOOKUP(B34,'Tabula RefULG 1'!$K$5:$R$83,7,0)</f>
        <v>1.210762331838565</v>
      </c>
      <c r="J34" s="119">
        <f>VLOOKUP(B34,'Tabula RefULG 1'!$K$5:$R$83,8,0)</f>
        <v>89.825104847550577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SUMPRODUCT(H12:H22,I12:I22)+SUMPRODUCT(G28,H28)+SUMPRODUCT(J33:J38,K33:K38)</f>
        <v>178.75185523645726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5183.8038018572606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25">
      <c r="A45" s="312" t="s">
        <v>197</v>
      </c>
      <c r="B45" s="312"/>
      <c r="C45" s="312"/>
      <c r="D45" s="126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">
      <c r="A48" s="128" t="s">
        <v>199</v>
      </c>
      <c r="B48" s="122">
        <f>'Tabula data'!E34</f>
        <v>4.5871271585557301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25">
      <c r="A51" s="125" t="s">
        <v>205</v>
      </c>
      <c r="B51" s="119">
        <f>B48/20*'Tabula RefULG 1'!B34</f>
        <v>77.06373626373626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'Tabula RefULG 1'!G34</f>
        <v>96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77.06373626373626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0.37135212779240884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26.201670329670332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759.8484395604396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25">
      <c r="A63" s="312" t="s">
        <v>213</v>
      </c>
      <c r="B63" s="312"/>
      <c r="C63" s="312"/>
      <c r="D63" s="312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">
      <c r="A66" s="128" t="s">
        <v>113</v>
      </c>
      <c r="B66" s="122">
        <f>'Tabula RefULG 1'!B7</f>
        <v>96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25">
      <c r="A67" s="125" t="s">
        <v>216</v>
      </c>
      <c r="B67" s="119">
        <f>B68/('Gebouwgegevens Tabula'!E35-'Verwarming Tabula 2zone RefULG1'!$B$4)</f>
        <v>36.413793103448278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1056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25">
      <c r="A72" s="125" t="s">
        <v>218</v>
      </c>
      <c r="B72" s="119">
        <f>SUM(B42,B60,B67)</f>
        <v>241.36731866957587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6999.6522414176998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">
      <c r="A77" s="94"/>
      <c r="B77" s="289"/>
      <c r="C77" s="289"/>
      <c r="D77" s="289"/>
      <c r="E77" s="289"/>
      <c r="F77" s="289"/>
      <c r="G77" s="289"/>
      <c r="H77" s="289"/>
      <c r="I77" s="289"/>
      <c r="J77" s="289"/>
      <c r="K77" s="289"/>
      <c r="L77" s="289"/>
      <c r="M77" s="289"/>
      <c r="N77" s="289"/>
      <c r="O77" s="289"/>
      <c r="P77" s="95"/>
    </row>
    <row r="78" spans="1:16" ht="17.25" customHeight="1" thickTop="1" thickBo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25">
      <c r="A79" s="312" t="s">
        <v>171</v>
      </c>
      <c r="B79" s="312"/>
      <c r="C79" s="312"/>
      <c r="D79" s="312"/>
      <c r="E79" s="289"/>
      <c r="F79" s="289"/>
      <c r="G79" s="289"/>
      <c r="H79" s="289"/>
      <c r="I79" s="289"/>
      <c r="J79" s="289"/>
      <c r="K79" s="289"/>
      <c r="L79" s="289"/>
      <c r="M79" s="289"/>
      <c r="N79" s="289"/>
      <c r="O79" s="289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">
      <c r="A84" s="96"/>
      <c r="B84" s="107" t="s">
        <v>71</v>
      </c>
      <c r="C84" s="108">
        <f>VLOOKUP(B84,'Tabula RefULG 1'!$K$5:$R$83,3,0)</f>
        <v>2</v>
      </c>
      <c r="D84" s="108" t="str">
        <f>VLOOKUP(B84,'Tabula RefULG 1'!$K$5:$R$83,4,0)</f>
        <v>Wall External</v>
      </c>
      <c r="E84" s="108">
        <f>VLOOKUP(B84,'Tabula RefULG 1'!$K$5:$R$83,5,0)</f>
        <v>18.364565347833842</v>
      </c>
      <c r="F84" s="108" t="str">
        <f>VLOOKUP(B84,'Tabula RefULG 1'!$K$5:$R$83,6,0)</f>
        <v>front</v>
      </c>
      <c r="G84" s="108">
        <f>VLOOKUP(B84,'Tabula RefULG 1'!$K$5:$R$83,7,0)</f>
        <v>0.99033657090706906</v>
      </c>
      <c r="H84" s="109">
        <f>VLOOKUP(B84,'Tabula RefULG 1'!$K$5:$R$83,8,0)</f>
        <v>18.187100672772555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">
      <c r="A85" s="96"/>
      <c r="B85" s="107" t="s">
        <v>75</v>
      </c>
      <c r="C85" s="108">
        <f>VLOOKUP(B85,'Tabula RefULG 1'!$K$5:$R$83,3,0)</f>
        <v>2</v>
      </c>
      <c r="D85" s="108" t="str">
        <f>VLOOKUP(B85,'Tabula RefULG 1'!$K$5:$R$83,4,0)</f>
        <v>Wall External</v>
      </c>
      <c r="E85" s="108">
        <f>VLOOKUP(B85,'Tabula RefULG 1'!$K$5:$R$83,5,0)</f>
        <v>32.281986411725747</v>
      </c>
      <c r="F85" s="108" t="str">
        <f>VLOOKUP(B85,'Tabula RefULG 1'!$K$5:$R$83,6,0)</f>
        <v>right</v>
      </c>
      <c r="G85" s="108">
        <f>VLOOKUP(B85,'Tabula RefULG 1'!$K$5:$R$83,7,0)</f>
        <v>0.99033657090706906</v>
      </c>
      <c r="H85" s="109">
        <f>VLOOKUP(B85,'Tabula RefULG 1'!$K$5:$R$83,8,0)</f>
        <v>31.970031725057076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">
      <c r="A86" s="96"/>
      <c r="B86" s="107" t="s">
        <v>79</v>
      </c>
      <c r="C86" s="108">
        <f>VLOOKUP(B86,'Tabula RefULG 1'!$K$5:$R$83,3,0)</f>
        <v>2</v>
      </c>
      <c r="D86" s="108" t="str">
        <f>VLOOKUP(B86,'Tabula RefULG 1'!$K$5:$R$83,4,0)</f>
        <v>Wall External</v>
      </c>
      <c r="E86" s="108">
        <f>VLOOKUP(B86,'Tabula RefULG 1'!$K$5:$R$83,5,0)</f>
        <v>18.364565347833842</v>
      </c>
      <c r="F86" s="108" t="str">
        <f>VLOOKUP(B86,'Tabula RefULG 1'!$K$5:$R$83,6,0)</f>
        <v>back</v>
      </c>
      <c r="G86" s="108">
        <f>VLOOKUP(B86,'Tabula RefULG 1'!$K$5:$R$83,7,0)</f>
        <v>0.99033657090706906</v>
      </c>
      <c r="H86" s="109">
        <f>VLOOKUP(B86,'Tabula RefULG 1'!$K$5:$R$83,8,0)</f>
        <v>18.187100672772555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">
      <c r="A87" s="96"/>
      <c r="B87" s="107" t="s">
        <v>82</v>
      </c>
      <c r="C87" s="108">
        <f>VLOOKUP(B87,'Tabula RefULG 1'!$K$5:$R$83,3,0)</f>
        <v>2</v>
      </c>
      <c r="D87" s="108" t="str">
        <f>VLOOKUP(B87,'Tabula RefULG 1'!$K$5:$R$83,4,0)</f>
        <v>Wall External</v>
      </c>
      <c r="E87" s="108">
        <f>VLOOKUP(B87,'Tabula RefULG 1'!$K$5:$R$83,5,0)</f>
        <v>0</v>
      </c>
      <c r="F87" s="108" t="str">
        <f>VLOOKUP(B87,'Tabula RefULG 1'!$K$5:$R$83,6,0)</f>
        <v>left</v>
      </c>
      <c r="G87" s="108">
        <f>VLOOKUP(B87,'Tabula RefULG 1'!$K$5:$R$83,7,0)</f>
        <v>0.99033657090706906</v>
      </c>
      <c r="H87" s="109">
        <f>VLOOKUP(B87,'Tabula RefULG 1'!$K$5:$R$83,8,0)</f>
        <v>0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">
      <c r="A88" s="96"/>
      <c r="B88" s="107" t="s">
        <v>84</v>
      </c>
      <c r="C88" s="108">
        <f>VLOOKUP(B88,'Tabula RefULG 1'!$K$5:$R$83,3,0)</f>
        <v>2</v>
      </c>
      <c r="D88" s="108" t="str">
        <f>VLOOKUP(B88,'Tabula RefULG 1'!$K$5:$R$83,4,0)</f>
        <v>Window</v>
      </c>
      <c r="E88" s="108">
        <f>VLOOKUP(B88,'Tabula RefULG 1'!$K$5:$R$83,5,0)</f>
        <v>3.9</v>
      </c>
      <c r="F88" s="108" t="str">
        <f>VLOOKUP(B88,'Tabula RefULG 1'!$K$5:$R$83,6,0)</f>
        <v>front</v>
      </c>
      <c r="G88" s="108">
        <f>VLOOKUP(B88,'Tabula RefULG 1'!$K$5:$R$83,7,0)</f>
        <v>2</v>
      </c>
      <c r="H88" s="109">
        <f>VLOOKUP(B88,'Tabula RefULG 1'!$K$5:$R$83,8,0)</f>
        <v>7.8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">
      <c r="A89" s="96"/>
      <c r="B89" s="107" t="s">
        <v>87</v>
      </c>
      <c r="C89" s="108">
        <f>VLOOKUP(B89,'Tabula RefULG 1'!$K$5:$R$83,3,0)</f>
        <v>2</v>
      </c>
      <c r="D89" s="108" t="str">
        <f>VLOOKUP(B89,'Tabula RefULG 1'!$K$5:$R$83,4,0)</f>
        <v>Window</v>
      </c>
      <c r="E89" s="108">
        <f>VLOOKUP(B89,'Tabula RefULG 1'!$K$5:$R$83,5,0)</f>
        <v>4</v>
      </c>
      <c r="F89" s="108" t="str">
        <f>VLOOKUP(B89,'Tabula RefULG 1'!$K$5:$R$83,6,0)</f>
        <v>right</v>
      </c>
      <c r="G89" s="108">
        <f>VLOOKUP(B89,'Tabula RefULG 1'!$K$5:$R$83,7,0)</f>
        <v>2</v>
      </c>
      <c r="H89" s="109">
        <f>VLOOKUP(B89,'Tabula RefULG 1'!$K$5:$R$83,8,0)</f>
        <v>8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">
      <c r="A90" s="96"/>
      <c r="B90" s="107" t="s">
        <v>89</v>
      </c>
      <c r="C90" s="108">
        <f>VLOOKUP(B90,'Tabula RefULG 1'!$K$5:$R$83,3,0)</f>
        <v>2</v>
      </c>
      <c r="D90" s="108" t="str">
        <f>VLOOKUP(B90,'Tabula RefULG 1'!$K$5:$R$83,4,0)</f>
        <v>Window</v>
      </c>
      <c r="E90" s="108">
        <f>VLOOKUP(B90,'Tabula RefULG 1'!$K$5:$R$83,5,0)</f>
        <v>4.55</v>
      </c>
      <c r="F90" s="108" t="str">
        <f>VLOOKUP(B90,'Tabula RefULG 1'!$K$5:$R$83,6,0)</f>
        <v>back</v>
      </c>
      <c r="G90" s="108">
        <f>VLOOKUP(B90,'Tabula RefULG 1'!$K$5:$R$83,7,0)</f>
        <v>2</v>
      </c>
      <c r="H90" s="109">
        <f>VLOOKUP(B90,'Tabula RefULG 1'!$K$5:$R$83,8,0)</f>
        <v>9.1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">
      <c r="A91" s="96"/>
      <c r="B91" s="107" t="s">
        <v>92</v>
      </c>
      <c r="C91" s="108">
        <f>VLOOKUP(B91,'Tabula RefULG 1'!$K$5:$R$83,3,0)</f>
        <v>2</v>
      </c>
      <c r="D91" s="108" t="str">
        <f>VLOOKUP(B91,'Tabula RefULG 1'!$K$5:$R$83,4,0)</f>
        <v>Window</v>
      </c>
      <c r="E91" s="108">
        <f>VLOOKUP(B91,'Tabula RefULG 1'!$K$5:$R$83,5,0)</f>
        <v>3.7</v>
      </c>
      <c r="F91" s="108" t="str">
        <f>VLOOKUP(B91,'Tabula RefULG 1'!$K$5:$R$83,6,0)</f>
        <v>left</v>
      </c>
      <c r="G91" s="108">
        <f>VLOOKUP(B91,'Tabula RefULG 1'!$K$5:$R$83,7,0)</f>
        <v>2</v>
      </c>
      <c r="H91" s="109">
        <f>VLOOKUP(B91,'Tabula RefULG 1'!$K$5:$R$83,8,0)</f>
        <v>7.4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">
      <c r="A92" s="96"/>
      <c r="B92" s="107" t="s">
        <v>96</v>
      </c>
      <c r="C92" s="108">
        <f>VLOOKUP(B92,'Tabula RefULG 1'!$K$5:$R$83,3,0)</f>
        <v>2</v>
      </c>
      <c r="D92" s="108" t="str">
        <f>VLOOKUP(B92,'Tabula RefULG 1'!$K$5:$R$83,4,0)</f>
        <v>Roof</v>
      </c>
      <c r="E92" s="108">
        <f>VLOOKUP(B92,'Tabula RefULG 1'!$K$5:$R$83,5,0)</f>
        <v>108.5</v>
      </c>
      <c r="F92" s="108" t="str">
        <f>VLOOKUP(B92,'Tabula RefULG 1'!$K$5:$R$83,6,0)</f>
        <v>front/back</v>
      </c>
      <c r="G92" s="108">
        <f>VLOOKUP(B92,'Tabula RefULG 1'!$K$5:$R$83,7,0)</f>
        <v>0.3127301569316186</v>
      </c>
      <c r="H92" s="109">
        <f>VLOOKUP(B92,'Tabula RefULG 1'!$K$5:$R$83,8,0)</f>
        <v>33.931222027080615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">
      <c r="A108" s="96"/>
      <c r="B108" s="122" t="s">
        <v>98</v>
      </c>
      <c r="C108" s="123">
        <f>IF(VLOOKUP(B108,'Tabula RefULG 1'!$K$5:$R$83,2,0)=$B$78,VLOOKUP(B108,'Tabula RefULG 1'!$K$5:$R$83,2,0),VLOOKUP(B108,'Tabula RefULG 1'!$K$5:$R$83,3,0))</f>
        <v>2</v>
      </c>
      <c r="D108" s="123">
        <f>IF(VLOOKUP(B108,'Tabula RefULG 1'!$K$5:$R$83,2,0)=$B$78,VLOOKUP(B108,'Tabula RefULG 1'!$K$5:$R$83,3,0),VLOOKUP(B108,'Tabula RefULG 1'!$K$5:$R$83,2,0))</f>
        <v>1</v>
      </c>
      <c r="E108" s="123" t="str">
        <f>VLOOKUP(B108,'Tabula RefULG 1'!$K$5:$R$83,4,0)</f>
        <v>Floor internal</v>
      </c>
      <c r="F108" s="123">
        <f>VLOOKUP(B108,'Tabula RefULG 1'!$K$5:$R$83,5,0)</f>
        <v>89.300000000000011</v>
      </c>
      <c r="G108" s="123">
        <f>VLOOKUP('Verwarming Tabula 2zone RefULG1'!C108,'Tabula RefULG 1'!$A$34:$F$45,5,0)</f>
        <v>16</v>
      </c>
      <c r="H108" s="123">
        <f>VLOOKUP('Verwarming Tabula 2zone RefULG1'!D108,'Tabula RefULG 1'!$A$34:$F$45,5,0)</f>
        <v>21</v>
      </c>
      <c r="I108" s="123">
        <f>VLOOKUP(B108,'Tabula RefULG 1'!$K$5:$R$83,7,0)</f>
        <v>1.0668924640135478</v>
      </c>
      <c r="J108" s="119">
        <f>VLOOKUP(B108,'Tabula RefULG 1'!$K$5:$R$83,8,0)</f>
        <v>95.273497036409822</v>
      </c>
      <c r="K108" s="119">
        <f>(G108-H108)/(G108-$B$4)</f>
        <v>-0.20833333333333334</v>
      </c>
      <c r="L108" s="99"/>
      <c r="M108" s="99"/>
      <c r="N108" s="99"/>
      <c r="O108" s="99"/>
      <c r="P108" s="97"/>
    </row>
    <row r="109" spans="1:16" ht="16.5" customHeight="1" thickTop="1" thickBot="1" x14ac:dyDescent="0.3">
      <c r="A109" s="96"/>
      <c r="B109" s="122" t="s">
        <v>102</v>
      </c>
      <c r="C109" s="123">
        <f>IF(VLOOKUP(B109,'Tabula RefULG 1'!$K$5:$R$83,2,0)=$B$78,VLOOKUP(B109,'Tabula RefULG 1'!$K$5:$R$83,2,0),VLOOKUP(B109,'Tabula RefULG 1'!$K$5:$R$83,3,0))</f>
        <v>2</v>
      </c>
      <c r="D109" s="123">
        <f>IF(VLOOKUP(B109,'Tabula RefULG 1'!$K$5:$R$83,2,0)=$B$78,VLOOKUP(B109,'Tabula RefULG 1'!$K$5:$R$83,3,0),VLOOKUP(B109,'Tabula RefULG 1'!$K$5:$R$83,2,0))</f>
        <v>2</v>
      </c>
      <c r="E109" s="123" t="str">
        <f>VLOOKUP(B109,'Tabula RefULG 1'!$K$5:$R$83,4,0)</f>
        <v>Wall internal</v>
      </c>
      <c r="F109" s="123">
        <f>VLOOKUP(B109,'Tabula RefULG 1'!$K$5:$R$83,5,0)</f>
        <v>69.011117107393432</v>
      </c>
      <c r="G109" s="123">
        <f>VLOOKUP('Verwarming Tabula 2zone RefULG1'!C109,'Tabula RefULG 1'!$A$34:$F$45,5,0)</f>
        <v>16</v>
      </c>
      <c r="H109" s="123">
        <f>VLOOKUP('Verwarming Tabula 2zone RefULG1'!D109,'Tabula RefULG 1'!$A$34:$F$45,5,0)</f>
        <v>16</v>
      </c>
      <c r="I109" s="123">
        <f>VLOOKUP(B109,'Tabula RefULG 1'!$K$5:$R$83,7,0)</f>
        <v>1.210762331838565</v>
      </c>
      <c r="J109" s="119">
        <f>VLOOKUP(B109,'Tabula RefULG 1'!$K$5:$R$83,8,0)</f>
        <v>83.556061071731961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>
        <f>SUMPRODUCT(H84:H95,I84:I95)+SUMPRODUCT(G100:G104,H100:H104)+SUMPRODUCT(J108:J117,K108:K117)</f>
        <v>114.7268098817641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>
        <f>B121*(G109-$B$4)</f>
        <v>2753.4434371623383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25">
      <c r="A124" s="312" t="s">
        <v>197</v>
      </c>
      <c r="B124" s="312"/>
      <c r="C124" s="312"/>
      <c r="D124" s="126" t="s">
        <v>225</v>
      </c>
      <c r="E124" s="289"/>
      <c r="F124" s="289"/>
      <c r="G124" s="289"/>
      <c r="H124" s="289"/>
      <c r="I124" s="289"/>
      <c r="J124" s="289"/>
      <c r="K124" s="289"/>
      <c r="L124" s="289"/>
      <c r="M124" s="289"/>
      <c r="N124" s="289"/>
      <c r="O124" s="289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">
      <c r="A127" s="128" t="s">
        <v>199</v>
      </c>
      <c r="B127" s="122">
        <f>'Tabula data'!E34</f>
        <v>4.5871271585557301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25">
      <c r="A130" s="125" t="s">
        <v>205</v>
      </c>
      <c r="B130" s="119">
        <f>2*VLOOKUP(B78,'Tabula RefULG 1'!$A$34:$F$45,2,0)*B127*B128*B129</f>
        <v>47.779516483516488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'Tabula RefULG 1'!G35</f>
        <v>89.300000000000011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SUM(B130,B134)</f>
        <v>47.779516483516488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0.29958063605736157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0.34*(B137)</f>
        <v>16.245035604395607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B139*(G109-$B$4)</f>
        <v>389.88085450549454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25">
      <c r="A142" s="312" t="s">
        <v>213</v>
      </c>
      <c r="B142" s="312"/>
      <c r="C142" s="312"/>
      <c r="D142" s="312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">
      <c r="A145" s="128" t="s">
        <v>113</v>
      </c>
      <c r="B145" s="122">
        <f>B133</f>
        <v>89.300000000000011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25">
      <c r="A146" s="125" t="s">
        <v>216</v>
      </c>
      <c r="B146" s="119">
        <f>B147/('Gebouwgegevens Allacker'!E100-'Verwarming Tabula 2zone RefULG1'!$B$4)</f>
        <v>122.78750000000002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982.30000000000018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25">
      <c r="A151" s="125" t="s">
        <v>218</v>
      </c>
      <c r="B151" s="119">
        <f>SUM(B121,B139,B146)</f>
        <v>253.75934548615973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>
        <f>SUM(B122,B140,B147)</f>
        <v>4125.6242916678329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">
      <c r="A157" s="94"/>
      <c r="B157" s="289"/>
      <c r="C157" s="289"/>
      <c r="D157" s="289"/>
      <c r="E157" s="289"/>
      <c r="F157" s="289"/>
      <c r="G157" s="289"/>
      <c r="H157" s="289"/>
      <c r="I157" s="289"/>
      <c r="J157" s="289"/>
      <c r="K157" s="289"/>
      <c r="L157" s="289"/>
      <c r="M157" s="289"/>
      <c r="N157" s="289"/>
      <c r="O157" s="289"/>
      <c r="P157" s="95"/>
    </row>
    <row r="158" spans="1:16" ht="17.25" customHeight="1" thickTop="1" thickBo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25">
      <c r="A159" s="312" t="s">
        <v>171</v>
      </c>
      <c r="B159" s="312"/>
      <c r="C159" s="312"/>
      <c r="D159" s="312"/>
      <c r="E159" s="289"/>
      <c r="F159" s="289"/>
      <c r="G159" s="289"/>
      <c r="H159" s="289"/>
      <c r="I159" s="289"/>
      <c r="J159" s="289"/>
      <c r="K159" s="289"/>
      <c r="L159" s="289"/>
      <c r="M159" s="289"/>
      <c r="N159" s="289"/>
      <c r="O159" s="289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RefULG1'!C188,'Gebouwgegevens Allacker'!$A$35:$F$46,5,0)</f>
        <v>#N/A</v>
      </c>
      <c r="H188" s="123" t="e">
        <f>VLOOKUP('Verwarming Tabula 2zone RefULG1'!D188,'Gebouwgegevens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RefULG1'!C189,'Gebouwgegevens Allacker'!$A$35:$F$46,5,0)</f>
        <v>#N/A</v>
      </c>
      <c r="H189" s="123" t="e">
        <f>VLOOKUP('Verwarming Tabula 2zone RefULG1'!D189,'Gebouwgegevens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RefULG1'!C190,'Gebouwgegevens Allacker'!$A$35:$F$46,5,0)</f>
        <v>#N/A</v>
      </c>
      <c r="H190" s="123" t="e">
        <f>VLOOKUP('Verwarming Tabula 2zone RefULG1'!D190,'Gebouwgegevens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25">
      <c r="A204" s="312" t="s">
        <v>197</v>
      </c>
      <c r="B204" s="312"/>
      <c r="C204" s="312"/>
      <c r="D204" s="126" t="s">
        <v>225</v>
      </c>
      <c r="E204" s="289"/>
      <c r="F204" s="289"/>
      <c r="G204" s="289"/>
      <c r="H204" s="289"/>
      <c r="I204" s="289"/>
      <c r="J204" s="289"/>
      <c r="K204" s="289"/>
      <c r="L204" s="289"/>
      <c r="M204" s="289"/>
      <c r="N204" s="289"/>
      <c r="O204" s="289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25">
      <c r="A222" s="312" t="s">
        <v>213</v>
      </c>
      <c r="B222" s="312"/>
      <c r="C222" s="312"/>
      <c r="D222" s="312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25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 2zone RefULG1'!$B$4)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">
      <c r="A236" s="94"/>
      <c r="B236" s="289"/>
      <c r="C236" s="289"/>
      <c r="D236" s="289"/>
      <c r="E236" s="289"/>
      <c r="F236" s="289"/>
      <c r="G236" s="289"/>
      <c r="H236" s="289"/>
      <c r="I236" s="289"/>
      <c r="J236" s="289"/>
      <c r="K236" s="289"/>
      <c r="L236" s="289"/>
      <c r="M236" s="289"/>
      <c r="N236" s="289"/>
      <c r="O236" s="289"/>
      <c r="P236" s="95"/>
    </row>
    <row r="237" spans="1:16" ht="17.25" customHeight="1" thickTop="1" thickBo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25">
      <c r="A238" s="312" t="s">
        <v>171</v>
      </c>
      <c r="B238" s="312"/>
      <c r="C238" s="312"/>
      <c r="D238" s="312"/>
      <c r="E238" s="289"/>
      <c r="F238" s="289"/>
      <c r="G238" s="289"/>
      <c r="H238" s="289"/>
      <c r="I238" s="289"/>
      <c r="J238" s="289"/>
      <c r="K238" s="289"/>
      <c r="L238" s="289"/>
      <c r="M238" s="289"/>
      <c r="N238" s="289"/>
      <c r="O238" s="289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RefULG1'!C267,'Gebouwgegevens Allacker'!$A$35:$F$46,5,0)</f>
        <v>#N/A</v>
      </c>
      <c r="H267" s="123" t="e">
        <f>VLOOKUP('Verwarming Tabula 2zone RefULG1'!D267,'Gebouwgegevens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RefULG1'!C268,'Gebouwgegevens Allacker'!$A$35:$F$46,5,0)</f>
        <v>#N/A</v>
      </c>
      <c r="H268" s="123" t="e">
        <f>VLOOKUP('Verwarming Tabula 2zone RefULG1'!D268,'Gebouwgegevens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RefULG1'!C269,'Gebouwgegevens Allacker'!$A$35:$F$46,5,0)</f>
        <v>#N/A</v>
      </c>
      <c r="H269" s="123" t="e">
        <f>VLOOKUP('Verwarming Tabula 2zone RefULG1'!D269,'Gebouwgegevens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RefULG1'!C270,'Gebouwgegevens Allacker'!$A$35:$F$46,5,0)</f>
        <v>#N/A</v>
      </c>
      <c r="H270" s="123" t="e">
        <f>VLOOKUP('Verwarming Tabula 2zone RefULG1'!D270,'Gebouwgegevens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25">
      <c r="A283" s="312" t="s">
        <v>197</v>
      </c>
      <c r="B283" s="312"/>
      <c r="C283" s="312"/>
      <c r="D283" s="126" t="s">
        <v>225</v>
      </c>
      <c r="E283" s="289"/>
      <c r="F283" s="289"/>
      <c r="G283" s="289"/>
      <c r="H283" s="289"/>
      <c r="I283" s="289"/>
      <c r="J283" s="289"/>
      <c r="K283" s="289"/>
      <c r="L283" s="289"/>
      <c r="M283" s="289"/>
      <c r="N283" s="289"/>
      <c r="O283" s="289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25">
      <c r="A301" s="312" t="s">
        <v>213</v>
      </c>
      <c r="B301" s="312"/>
      <c r="C301" s="312"/>
      <c r="D301" s="312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25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 2zone RefULG1'!$B$4)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">
      <c r="A315" s="94"/>
      <c r="B315" s="289"/>
      <c r="C315" s="289"/>
      <c r="D315" s="289"/>
      <c r="E315" s="289"/>
      <c r="F315" s="289"/>
      <c r="G315" s="289"/>
      <c r="H315" s="289"/>
      <c r="I315" s="289"/>
      <c r="J315" s="289"/>
      <c r="K315" s="289"/>
      <c r="L315" s="289"/>
      <c r="M315" s="289"/>
      <c r="N315" s="289"/>
      <c r="O315" s="289"/>
      <c r="P315" s="95"/>
    </row>
    <row r="316" spans="1:16" ht="17.25" customHeight="1" thickTop="1" thickBo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25">
      <c r="A317" s="312" t="s">
        <v>171</v>
      </c>
      <c r="B317" s="312"/>
      <c r="C317" s="312"/>
      <c r="D317" s="312"/>
      <c r="E317" s="289"/>
      <c r="F317" s="289"/>
      <c r="G317" s="289"/>
      <c r="H317" s="289"/>
      <c r="I317" s="289"/>
      <c r="J317" s="289"/>
      <c r="K317" s="289"/>
      <c r="L317" s="289"/>
      <c r="M317" s="289"/>
      <c r="N317" s="289"/>
      <c r="O317" s="289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RefULG1'!C346,'Gebouwgegevens Allacker'!$A$35:$F$46,5,0)</f>
        <v>#N/A</v>
      </c>
      <c r="H346" s="123" t="e">
        <f>VLOOKUP('Verwarming Tabula 2zone RefULG1'!D346,'Gebouwgegevens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RefULG1'!C347,'Gebouwgegevens Allacker'!$A$35:$F$46,5,0)</f>
        <v>#N/A</v>
      </c>
      <c r="H347" s="123" t="e">
        <f>VLOOKUP('Verwarming Tabula 2zone RefULG1'!D347,'Gebouwgegevens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RefULG1'!C348,'Gebouwgegevens Allacker'!$A$35:$F$46,5,0)</f>
        <v>#N/A</v>
      </c>
      <c r="H348" s="123" t="e">
        <f>VLOOKUP('Verwarming Tabula 2zone RefULG1'!D348,'Gebouwgegevens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RefULG1'!C349,'Gebouwgegevens Allacker'!$A$35:$F$46,5,0)</f>
        <v>#N/A</v>
      </c>
      <c r="H349" s="123" t="e">
        <f>VLOOKUP('Verwarming Tabula 2zone RefULG1'!D349,'Gebouwgegevens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RefULG1'!C350,'Gebouwgegevens Allacker'!$A$35:$F$46,5,0)</f>
        <v>#N/A</v>
      </c>
      <c r="H350" s="123" t="e">
        <f>VLOOKUP('Verwarming Tabula 2zone RefULG1'!D350,'Gebouwgegevens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25">
      <c r="A362" s="312" t="s">
        <v>197</v>
      </c>
      <c r="B362" s="312"/>
      <c r="C362" s="312"/>
      <c r="D362" s="126" t="s">
        <v>225</v>
      </c>
      <c r="E362" s="289"/>
      <c r="F362" s="289"/>
      <c r="G362" s="289"/>
      <c r="H362" s="289"/>
      <c r="I362" s="289"/>
      <c r="J362" s="289"/>
      <c r="K362" s="289"/>
      <c r="L362" s="289"/>
      <c r="M362" s="289"/>
      <c r="N362" s="289"/>
      <c r="O362" s="289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25">
      <c r="A380" s="312" t="s">
        <v>213</v>
      </c>
      <c r="B380" s="312"/>
      <c r="C380" s="312"/>
      <c r="D380" s="312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25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 2zone RefULG1'!$B$4)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">
      <c r="A393" s="94"/>
      <c r="B393" s="289"/>
      <c r="C393" s="289"/>
      <c r="D393" s="289"/>
      <c r="E393" s="289"/>
      <c r="F393" s="289"/>
      <c r="G393" s="289"/>
      <c r="H393" s="289"/>
      <c r="I393" s="289"/>
      <c r="J393" s="289"/>
      <c r="K393" s="289"/>
      <c r="L393" s="289"/>
      <c r="M393" s="289"/>
      <c r="N393" s="289"/>
      <c r="O393" s="289"/>
      <c r="P393" s="95"/>
    </row>
    <row r="394" spans="1:16" ht="17.25" customHeight="1" thickTop="1" thickBo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25">
      <c r="A395" s="312" t="s">
        <v>171</v>
      </c>
      <c r="B395" s="312"/>
      <c r="C395" s="312"/>
      <c r="D395" s="312"/>
      <c r="E395" s="289"/>
      <c r="F395" s="289"/>
      <c r="G395" s="289"/>
      <c r="H395" s="289"/>
      <c r="I395" s="289"/>
      <c r="J395" s="289"/>
      <c r="K395" s="289"/>
      <c r="L395" s="289"/>
      <c r="M395" s="289"/>
      <c r="N395" s="289"/>
      <c r="O395" s="289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RefULG1'!C424,'Gebouwgegevens Allacker'!$A$35:$F$46,5,0)</f>
        <v>#N/A</v>
      </c>
      <c r="H424" s="123" t="e">
        <f>VLOOKUP('Verwarming Tabula 2zone RefULG1'!D424,'Gebouwgegevens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RefULG1'!C425,'Gebouwgegevens Allacker'!$A$35:$F$46,5,0)</f>
        <v>#N/A</v>
      </c>
      <c r="H425" s="123" t="e">
        <f>VLOOKUP('Verwarming Tabula 2zone RefULG1'!D425,'Gebouwgegevens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RefULG1'!C426,'Gebouwgegevens Allacker'!$A$35:$F$46,5,0)</f>
        <v>#N/A</v>
      </c>
      <c r="H426" s="123" t="e">
        <f>VLOOKUP('Verwarming Tabula 2zone RefULG1'!D426,'Gebouwgegevens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RefULG1'!C427,'Gebouwgegevens Allacker'!$A$35:$F$46,5,0)</f>
        <v>#N/A</v>
      </c>
      <c r="H427" s="123" t="e">
        <f>VLOOKUP('Verwarming Tabula 2zone RefULG1'!D427,'Gebouwgegevens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RefULG1'!C428,'Gebouwgegevens Allacker'!$A$35:$F$46,5,0)</f>
        <v>#N/A</v>
      </c>
      <c r="H428" s="123" t="e">
        <f>VLOOKUP('Verwarming Tabula 2zone RefULG1'!D428,'Gebouwgegevens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25">
      <c r="A440" s="312" t="s">
        <v>197</v>
      </c>
      <c r="B440" s="312"/>
      <c r="C440" s="312"/>
      <c r="D440" s="126" t="s">
        <v>225</v>
      </c>
      <c r="E440" s="289"/>
      <c r="F440" s="289"/>
      <c r="G440" s="289"/>
      <c r="H440" s="289"/>
      <c r="I440" s="289"/>
      <c r="J440" s="289"/>
      <c r="K440" s="289"/>
      <c r="L440" s="289"/>
      <c r="M440" s="289"/>
      <c r="N440" s="289"/>
      <c r="O440" s="289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25">
      <c r="A458" s="312" t="s">
        <v>213</v>
      </c>
      <c r="B458" s="312"/>
      <c r="C458" s="312"/>
      <c r="D458" s="312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25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 2zone RefULG1'!$B$4)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">
      <c r="A471" s="94"/>
      <c r="B471" s="289"/>
      <c r="C471" s="289"/>
      <c r="D471" s="289"/>
      <c r="E471" s="289"/>
      <c r="F471" s="289"/>
      <c r="G471" s="289"/>
      <c r="H471" s="289"/>
      <c r="I471" s="289"/>
      <c r="J471" s="289"/>
      <c r="K471" s="289"/>
      <c r="L471" s="289"/>
      <c r="M471" s="289"/>
      <c r="N471" s="289"/>
      <c r="O471" s="289"/>
      <c r="P471" s="95"/>
    </row>
    <row r="472" spans="1:16" ht="17.25" customHeight="1" thickTop="1" thickBo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25">
      <c r="A473" s="312" t="s">
        <v>171</v>
      </c>
      <c r="B473" s="312"/>
      <c r="C473" s="312"/>
      <c r="D473" s="312"/>
      <c r="E473" s="289"/>
      <c r="F473" s="289"/>
      <c r="G473" s="289"/>
      <c r="H473" s="289"/>
      <c r="I473" s="289"/>
      <c r="J473" s="289"/>
      <c r="K473" s="289"/>
      <c r="L473" s="289"/>
      <c r="M473" s="289"/>
      <c r="N473" s="289"/>
      <c r="O473" s="289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RefULG1'!C502,'Gebouwgegevens Allacker'!$A$35:$F$46,5,0)</f>
        <v>#N/A</v>
      </c>
      <c r="H502" s="123" t="e">
        <f>VLOOKUP('Verwarming Tabula 2zone RefULG1'!D502,'Gebouwgegevens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RefULG1'!C503,'Gebouwgegevens Allacker'!$A$35:$F$46,5,0)</f>
        <v>#N/A</v>
      </c>
      <c r="H503" s="123" t="e">
        <f>VLOOKUP('Verwarming Tabula 2zone RefULG1'!D503,'Gebouwgegevens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RefULG1'!C504,'Gebouwgegevens Allacker'!$A$35:$F$46,5,0)</f>
        <v>#N/A</v>
      </c>
      <c r="H504" s="123" t="e">
        <f>VLOOKUP('Verwarming Tabula 2zone RefULG1'!D504,'Gebouwgegevens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25">
      <c r="A518" s="312" t="s">
        <v>197</v>
      </c>
      <c r="B518" s="312"/>
      <c r="C518" s="312"/>
      <c r="D518" s="126" t="s">
        <v>225</v>
      </c>
      <c r="E518" s="289"/>
      <c r="F518" s="289"/>
      <c r="G518" s="289"/>
      <c r="H518" s="289"/>
      <c r="I518" s="289"/>
      <c r="J518" s="289"/>
      <c r="K518" s="289"/>
      <c r="L518" s="289"/>
      <c r="M518" s="289"/>
      <c r="N518" s="289"/>
      <c r="O518" s="289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25">
      <c r="A536" s="312" t="s">
        <v>213</v>
      </c>
      <c r="B536" s="312"/>
      <c r="C536" s="312"/>
      <c r="D536" s="312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 2zone RefULG1'!$B$4)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">
      <c r="A550" s="94"/>
      <c r="B550" s="289"/>
      <c r="C550" s="289"/>
      <c r="D550" s="289"/>
      <c r="E550" s="289"/>
      <c r="F550" s="289"/>
      <c r="G550" s="289"/>
      <c r="H550" s="289"/>
      <c r="I550" s="289"/>
      <c r="J550" s="289"/>
      <c r="K550" s="289"/>
      <c r="L550" s="289"/>
      <c r="M550" s="289"/>
      <c r="N550" s="289"/>
      <c r="O550" s="289"/>
      <c r="P550" s="95"/>
    </row>
    <row r="551" spans="1:16" ht="17.25" customHeight="1" thickTop="1" thickBo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25">
      <c r="A552" s="312" t="s">
        <v>171</v>
      </c>
      <c r="B552" s="312"/>
      <c r="C552" s="312"/>
      <c r="D552" s="312"/>
      <c r="E552" s="289"/>
      <c r="F552" s="289"/>
      <c r="G552" s="289"/>
      <c r="H552" s="289"/>
      <c r="I552" s="289"/>
      <c r="J552" s="289"/>
      <c r="K552" s="289"/>
      <c r="L552" s="289"/>
      <c r="M552" s="289"/>
      <c r="N552" s="289"/>
      <c r="O552" s="289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RefULG1'!C581,'Gebouwgegevens Allacker'!$A$35:$F$46,5,0)</f>
        <v>#N/A</v>
      </c>
      <c r="H581" s="123" t="e">
        <f>VLOOKUP('Verwarming Tabula 2zone RefULG1'!D581,'Gebouwgegevens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RefULG1'!C582,'Gebouwgegevens Allacker'!$A$35:$F$46,5,0)</f>
        <v>#N/A</v>
      </c>
      <c r="H582" s="123" t="e">
        <f>VLOOKUP('Verwarming Tabula 2zone RefULG1'!D582,'Gebouwgegevens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RefULG1'!C583,'Gebouwgegevens Allacker'!$A$35:$F$46,5,0)</f>
        <v>#N/A</v>
      </c>
      <c r="H583" s="123" t="e">
        <f>VLOOKUP('Verwarming Tabula 2zone RefULG1'!D583,'Gebouwgegevens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25">
      <c r="A597" s="312" t="s">
        <v>197</v>
      </c>
      <c r="B597" s="312"/>
      <c r="C597" s="312"/>
      <c r="D597" s="126" t="s">
        <v>225</v>
      </c>
      <c r="E597" s="289"/>
      <c r="F597" s="289"/>
      <c r="G597" s="289"/>
      <c r="H597" s="289"/>
      <c r="I597" s="289"/>
      <c r="J597" s="289"/>
      <c r="K597" s="289"/>
      <c r="L597" s="289"/>
      <c r="M597" s="289"/>
      <c r="N597" s="289"/>
      <c r="O597" s="289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25">
      <c r="A615" s="312" t="s">
        <v>213</v>
      </c>
      <c r="B615" s="312"/>
      <c r="C615" s="312"/>
      <c r="D615" s="312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25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 2zone RefULG1'!$B$4)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">
      <c r="A629" s="94"/>
      <c r="B629" s="289"/>
      <c r="C629" s="289"/>
      <c r="D629" s="289"/>
      <c r="E629" s="289"/>
      <c r="F629" s="289"/>
      <c r="G629" s="289"/>
      <c r="H629" s="289"/>
      <c r="I629" s="289"/>
      <c r="J629" s="289"/>
      <c r="K629" s="289"/>
      <c r="L629" s="289"/>
      <c r="M629" s="289"/>
      <c r="N629" s="289"/>
      <c r="O629" s="289"/>
      <c r="P629" s="95"/>
    </row>
    <row r="630" spans="1:16" ht="17.25" customHeight="1" thickTop="1" thickBo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25">
      <c r="A631" s="312" t="s">
        <v>171</v>
      </c>
      <c r="B631" s="312"/>
      <c r="C631" s="312"/>
      <c r="D631" s="312"/>
      <c r="E631" s="289"/>
      <c r="F631" s="289"/>
      <c r="G631" s="289"/>
      <c r="H631" s="289"/>
      <c r="I631" s="289"/>
      <c r="J631" s="289"/>
      <c r="K631" s="289"/>
      <c r="L631" s="289"/>
      <c r="M631" s="289"/>
      <c r="N631" s="289"/>
      <c r="O631" s="289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RefULG1'!C660,'Gebouwgegevens Allacker'!$A$35:$F$46,5,0)</f>
        <v>#N/A</v>
      </c>
      <c r="H660" s="123" t="e">
        <f>VLOOKUP('Verwarming Tabula 2zone RefULG1'!D660,'Gebouwgegevens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RefULG1'!C661,'Gebouwgegevens Allacker'!$A$35:$F$46,5,0)</f>
        <v>#N/A</v>
      </c>
      <c r="H661" s="123" t="e">
        <f>VLOOKUP('Verwarming Tabula 2zone RefULG1'!D661,'Gebouwgegevens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25">
      <c r="A676" s="312" t="s">
        <v>197</v>
      </c>
      <c r="B676" s="312"/>
      <c r="C676" s="312"/>
      <c r="D676" s="126" t="s">
        <v>225</v>
      </c>
      <c r="E676" s="289"/>
      <c r="F676" s="289"/>
      <c r="G676" s="289"/>
      <c r="H676" s="289"/>
      <c r="I676" s="289"/>
      <c r="J676" s="289"/>
      <c r="K676" s="289"/>
      <c r="L676" s="289"/>
      <c r="M676" s="289"/>
      <c r="N676" s="289"/>
      <c r="O676" s="289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25">
      <c r="A694" s="312" t="s">
        <v>213</v>
      </c>
      <c r="B694" s="312"/>
      <c r="C694" s="312"/>
      <c r="D694" s="312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25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 2zone RefULG1'!$B$4)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">
      <c r="A708" s="94"/>
      <c r="B708" s="289"/>
      <c r="C708" s="289"/>
      <c r="D708" s="289"/>
      <c r="E708" s="289"/>
      <c r="F708" s="289"/>
      <c r="G708" s="289"/>
      <c r="H708" s="289"/>
      <c r="I708" s="289"/>
      <c r="J708" s="289"/>
      <c r="K708" s="289"/>
      <c r="L708" s="289"/>
      <c r="M708" s="289"/>
      <c r="N708" s="289"/>
      <c r="O708" s="289"/>
      <c r="P708" s="95"/>
    </row>
    <row r="709" spans="1:16" ht="17.25" customHeight="1" thickTop="1" thickBo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25">
      <c r="A710" s="312" t="s">
        <v>171</v>
      </c>
      <c r="B710" s="312"/>
      <c r="C710" s="312"/>
      <c r="D710" s="312"/>
      <c r="E710" s="289"/>
      <c r="F710" s="289"/>
      <c r="G710" s="289"/>
      <c r="H710" s="289"/>
      <c r="I710" s="289"/>
      <c r="J710" s="289"/>
      <c r="K710" s="289"/>
      <c r="L710" s="289"/>
      <c r="M710" s="289"/>
      <c r="N710" s="289"/>
      <c r="O710" s="289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RefULG1'!C739,'Gebouwgegevens Allacker'!$A$35:$F$46,5,0)</f>
        <v>#N/A</v>
      </c>
      <c r="H739" s="123" t="e">
        <f>VLOOKUP('Verwarming Tabula 2zone RefULG1'!D739,'Gebouwgegevens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RefULG1'!C740,'Gebouwgegevens Allacker'!$A$35:$F$46,5,0)</f>
        <v>#N/A</v>
      </c>
      <c r="H740" s="123" t="e">
        <f>VLOOKUP('Verwarming Tabula 2zone RefULG1'!D740,'Gebouwgegevens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RefULG1'!C741,'Gebouwgegevens Allacker'!$A$35:$F$46,5,0)</f>
        <v>#N/A</v>
      </c>
      <c r="H741" s="123" t="e">
        <f>VLOOKUP('Verwarming Tabula 2zone RefULG1'!D741,'Gebouwgegevens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RefULG1'!C742,'Gebouwgegevens Allacker'!$A$35:$F$46,5,0)</f>
        <v>#N/A</v>
      </c>
      <c r="H742" s="123" t="e">
        <f>VLOOKUP('Verwarming Tabula 2zone RefULG1'!D742,'Gebouwgegevens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RefULG1'!C743,'Gebouwgegevens Allacker'!$A$35:$F$46,5,0)</f>
        <v>#N/A</v>
      </c>
      <c r="H743" s="123" t="e">
        <f>VLOOKUP('Verwarming Tabula 2zone RefULG1'!D743,'Gebouwgegevens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RefULG1'!C744,'Gebouwgegevens Allacker'!$A$35:$F$46,5,0)</f>
        <v>#N/A</v>
      </c>
      <c r="H744" s="123" t="e">
        <f>VLOOKUP('Verwarming Tabula 2zone RefULG1'!D744,'Gebouwgegevens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RefULG1'!C745,'Gebouwgegevens Allacker'!$A$35:$F$46,5,0)</f>
        <v>#N/A</v>
      </c>
      <c r="H745" s="123" t="e">
        <f>VLOOKUP('Verwarming Tabula 2zone RefULG1'!D745,'Gebouwgegevens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RefULG1'!C746,'Gebouwgegevens Allacker'!$A$35:$F$46,5,0)</f>
        <v>#N/A</v>
      </c>
      <c r="H746" s="123" t="e">
        <f>VLOOKUP('Verwarming Tabula 2zone RefULG1'!D746,'Gebouwgegevens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RefULG1'!C747,'Gebouwgegevens Allacker'!$A$35:$F$46,5,0)</f>
        <v>#N/A</v>
      </c>
      <c r="H747" s="123" t="e">
        <f>VLOOKUP('Verwarming Tabula 2zone RefULG1'!D747,'Gebouwgegevens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RefULG1'!C748,'Gebouwgegevens Allacker'!$A$35:$F$46,5,0)</f>
        <v>#N/A</v>
      </c>
      <c r="H748" s="123" t="e">
        <f>VLOOKUP('Verwarming Tabula 2zone RefULG1'!D748,'Gebouwgegevens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RefULG1'!C749,'Gebouwgegevens Allacker'!$A$35:$F$46,5,0)</f>
        <v>#N/A</v>
      </c>
      <c r="H749" s="123" t="e">
        <f>VLOOKUP('Verwarming Tabula 2zone RefULG1'!D749,'Gebouwgegevens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RefULG1'!C750,'Gebouwgegevens Allacker'!$A$35:$F$46,5,0)</f>
        <v>#N/A</v>
      </c>
      <c r="H750" s="123" t="e">
        <f>VLOOKUP('Verwarming Tabula 2zone RefULG1'!D750,'Gebouwgegevens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25">
      <c r="A755" s="312" t="s">
        <v>197</v>
      </c>
      <c r="B755" s="312"/>
      <c r="C755" s="312"/>
      <c r="D755" s="126" t="s">
        <v>225</v>
      </c>
      <c r="E755" s="289"/>
      <c r="F755" s="289"/>
      <c r="G755" s="289"/>
      <c r="H755" s="289"/>
      <c r="I755" s="289"/>
      <c r="J755" s="289"/>
      <c r="K755" s="289"/>
      <c r="L755" s="289"/>
      <c r="M755" s="289"/>
      <c r="N755" s="289"/>
      <c r="O755" s="289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25">
      <c r="A773" s="312" t="s">
        <v>213</v>
      </c>
      <c r="B773" s="312"/>
      <c r="C773" s="312"/>
      <c r="D773" s="312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25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 2zone RefULG1'!$B$4)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workbookViewId="0">
      <selection sqref="A1:I1"/>
    </sheetView>
  </sheetViews>
  <sheetFormatPr defaultRowHeight="15" x14ac:dyDescent="0.25"/>
  <cols>
    <col min="1" max="1" width="9.140625" style="153"/>
    <col min="2" max="2" width="16.7109375" style="153" bestFit="1" customWidth="1"/>
    <col min="3" max="1025" width="9.140625" style="153"/>
    <col min="1026" max="16384" width="9.140625" style="81"/>
  </cols>
  <sheetData>
    <row r="1" spans="1:25" ht="20.25" customHeight="1" x14ac:dyDescent="0.25">
      <c r="A1" s="310" t="s">
        <v>164</v>
      </c>
      <c r="B1" s="310"/>
      <c r="C1" s="310"/>
      <c r="D1" s="310"/>
      <c r="E1" s="310"/>
      <c r="F1" s="310"/>
      <c r="G1" s="310"/>
      <c r="H1" s="310"/>
      <c r="I1" s="310"/>
      <c r="J1" s="92"/>
      <c r="K1" s="92"/>
      <c r="L1" s="92"/>
      <c r="M1" s="92"/>
      <c r="N1" s="92"/>
      <c r="O1" s="92"/>
      <c r="P1" s="92"/>
    </row>
    <row r="2" spans="1:25" ht="15.7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</row>
    <row r="3" spans="1:25" ht="15.75" customHeight="1" thickBot="1" x14ac:dyDescent="0.3">
      <c r="A3" s="92" t="s">
        <v>165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5" ht="15.75" customHeight="1" thickTop="1" thickBot="1" x14ac:dyDescent="0.3">
      <c r="A4" s="93" t="s">
        <v>166</v>
      </c>
      <c r="B4" s="93">
        <v>-8</v>
      </c>
      <c r="C4" s="93" t="s">
        <v>167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U4" s="94"/>
      <c r="V4" s="289"/>
      <c r="W4" s="289"/>
      <c r="X4" s="289"/>
      <c r="Y4" s="95"/>
    </row>
    <row r="5" spans="1:25" ht="18" customHeight="1" thickTop="1" thickBot="1" x14ac:dyDescent="0.3">
      <c r="A5" s="94"/>
      <c r="B5" s="289"/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95"/>
      <c r="U5" s="96"/>
      <c r="V5" s="307" t="s">
        <v>168</v>
      </c>
      <c r="W5" s="307"/>
      <c r="X5" s="307"/>
      <c r="Y5" s="97"/>
    </row>
    <row r="6" spans="1:25" ht="18.75" customHeight="1" thickTop="1" thickBot="1" x14ac:dyDescent="0.35">
      <c r="A6" s="98" t="s">
        <v>169</v>
      </c>
      <c r="B6" s="93">
        <v>1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7"/>
      <c r="U6" s="96"/>
      <c r="V6" s="100" t="s">
        <v>169</v>
      </c>
      <c r="W6" s="101" t="s">
        <v>170</v>
      </c>
      <c r="X6" s="289"/>
      <c r="Y6" s="97"/>
    </row>
    <row r="7" spans="1:25" ht="16.5" customHeight="1" thickTop="1" x14ac:dyDescent="0.25">
      <c r="A7" s="312" t="s">
        <v>171</v>
      </c>
      <c r="B7" s="312"/>
      <c r="C7" s="312"/>
      <c r="D7" s="312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95"/>
      <c r="U7" s="96"/>
      <c r="V7" s="102">
        <f>B6</f>
        <v>1</v>
      </c>
      <c r="W7" s="103">
        <f>B73</f>
        <v>5290.8649508763865</v>
      </c>
      <c r="X7" s="99" t="s">
        <v>172</v>
      </c>
      <c r="Y7" s="97"/>
    </row>
    <row r="8" spans="1:25" ht="15" customHeight="1" x14ac:dyDescent="0.25">
      <c r="A8" s="96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7"/>
      <c r="U8" s="96"/>
      <c r="V8" s="102">
        <f>B78</f>
        <v>2</v>
      </c>
      <c r="W8" s="103">
        <f>B152</f>
        <v>3400.0185438512722</v>
      </c>
      <c r="X8" s="99" t="s">
        <v>172</v>
      </c>
      <c r="Y8" s="97"/>
    </row>
    <row r="9" spans="1:25" ht="15" customHeight="1" x14ac:dyDescent="0.25">
      <c r="A9" s="104" t="s">
        <v>173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7"/>
      <c r="U9" s="96"/>
      <c r="V9" s="102">
        <f>B158</f>
        <v>3</v>
      </c>
      <c r="W9" s="103"/>
      <c r="X9" s="99" t="s">
        <v>172</v>
      </c>
      <c r="Y9" s="97"/>
    </row>
    <row r="10" spans="1:25" ht="15" customHeight="1" x14ac:dyDescent="0.25">
      <c r="A10" s="96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7"/>
      <c r="U10" s="96"/>
      <c r="V10" s="102">
        <f>B237</f>
        <v>4</v>
      </c>
      <c r="W10" s="103"/>
      <c r="X10" s="99" t="s">
        <v>172</v>
      </c>
      <c r="Y10" s="97"/>
    </row>
    <row r="11" spans="1:25" ht="15.75" customHeight="1" thickBot="1" x14ac:dyDescent="0.3">
      <c r="A11" s="96"/>
      <c r="B11" s="105" t="s">
        <v>10</v>
      </c>
      <c r="C11" s="105" t="s">
        <v>174</v>
      </c>
      <c r="D11" s="105" t="s">
        <v>175</v>
      </c>
      <c r="E11" s="105" t="s">
        <v>176</v>
      </c>
      <c r="F11" s="105" t="s">
        <v>177</v>
      </c>
      <c r="G11" s="105" t="s">
        <v>16</v>
      </c>
      <c r="H11" s="106" t="s">
        <v>17</v>
      </c>
      <c r="I11" s="106" t="s">
        <v>178</v>
      </c>
      <c r="J11" s="99"/>
      <c r="K11" s="99"/>
      <c r="L11" s="99"/>
      <c r="M11" s="99"/>
      <c r="N11" s="99"/>
      <c r="O11" s="99"/>
      <c r="P11" s="97"/>
      <c r="U11" s="96"/>
      <c r="V11" s="102">
        <f>B316</f>
        <v>5</v>
      </c>
      <c r="W11" s="103"/>
      <c r="X11" s="99" t="s">
        <v>172</v>
      </c>
      <c r="Y11" s="97"/>
    </row>
    <row r="12" spans="1:25" ht="16.5" customHeight="1" thickTop="1" thickBot="1" x14ac:dyDescent="0.3">
      <c r="A12" s="96"/>
      <c r="B12" s="107" t="str">
        <f>'Tabula RefULG 2'!K6</f>
        <v>W1</v>
      </c>
      <c r="C12" s="108">
        <f>VLOOKUP(B12,'Tabula RefULG 2'!$K$5:$R$83,3,0)</f>
        <v>1</v>
      </c>
      <c r="D12" s="108" t="str">
        <f>VLOOKUP(B12,'Tabula RefULG 2'!$K$5:$R$83,4,0)</f>
        <v>Wall External</v>
      </c>
      <c r="E12" s="108">
        <f>VLOOKUP(B12,'Tabula RefULG 2'!$K$5:$R$83,5,0)</f>
        <v>19.742421874491026</v>
      </c>
      <c r="F12" s="108" t="str">
        <f>VLOOKUP(B12,'Tabula RefULG 2'!$K$5:$R$83,6,0)</f>
        <v>front</v>
      </c>
      <c r="G12" s="108">
        <f>VLOOKUP(B12,'Tabula RefULG 2'!$K$5:$R$83,7,0)</f>
        <v>0.31684206193169995</v>
      </c>
      <c r="H12" s="109">
        <f>VLOOKUP(B12,'Tabula RefULG 2'!$K$5:$R$83,8,0)</f>
        <v>6.2552296542392334</v>
      </c>
      <c r="I12" s="109">
        <v>1</v>
      </c>
      <c r="J12" s="99"/>
      <c r="K12" s="99"/>
      <c r="L12" s="99"/>
      <c r="M12" s="99"/>
      <c r="N12" s="99"/>
      <c r="O12" s="99"/>
      <c r="P12" s="97"/>
      <c r="U12" s="96"/>
      <c r="V12" s="102">
        <f>6</f>
        <v>6</v>
      </c>
      <c r="W12" s="103"/>
      <c r="X12" s="99" t="s">
        <v>172</v>
      </c>
      <c r="Y12" s="97"/>
    </row>
    <row r="13" spans="1:25" ht="16.5" customHeight="1" thickTop="1" thickBot="1" x14ac:dyDescent="0.3">
      <c r="A13" s="96"/>
      <c r="B13" s="107" t="str">
        <f>'Tabula RefULG 2'!K7</f>
        <v>W2</v>
      </c>
      <c r="C13" s="108">
        <f>VLOOKUP(B13,'Tabula RefULG 2'!$K$5:$R$83,3,0)</f>
        <v>1</v>
      </c>
      <c r="D13" s="108" t="str">
        <f>VLOOKUP(B13,'Tabula RefULG 2'!$K$5:$R$83,4,0)</f>
        <v>Wall External</v>
      </c>
      <c r="E13" s="108">
        <f>VLOOKUP(B13,'Tabula RefULG 2'!$K$5:$R$83,5,0)</f>
        <v>34.704039143624534</v>
      </c>
      <c r="F13" s="108" t="str">
        <f>VLOOKUP(B13,'Tabula RefULG 2'!$K$5:$R$83,6,0)</f>
        <v>right</v>
      </c>
      <c r="G13" s="108">
        <f>VLOOKUP(B13,'Tabula RefULG 2'!$K$5:$R$83,7,0)</f>
        <v>0.31684206193169995</v>
      </c>
      <c r="H13" s="109">
        <f>VLOOKUP(B13,'Tabula RefULG 2'!$K$5:$R$83,8,0)</f>
        <v>10.995699319624423</v>
      </c>
      <c r="I13" s="109">
        <v>1</v>
      </c>
      <c r="J13" s="99"/>
      <c r="K13" s="99"/>
      <c r="L13" s="99"/>
      <c r="M13" s="99"/>
      <c r="N13" s="99"/>
      <c r="O13" s="99"/>
      <c r="P13" s="97"/>
      <c r="U13" s="96"/>
      <c r="V13" s="102">
        <v>7</v>
      </c>
      <c r="W13" s="103"/>
      <c r="X13" s="99" t="s">
        <v>172</v>
      </c>
      <c r="Y13" s="97"/>
    </row>
    <row r="14" spans="1:25" ht="16.5" customHeight="1" thickTop="1" thickBot="1" x14ac:dyDescent="0.3">
      <c r="A14" s="96"/>
      <c r="B14" s="107" t="str">
        <f>'Tabula RefULG 2'!K8</f>
        <v>W3</v>
      </c>
      <c r="C14" s="108">
        <f>VLOOKUP(B14,'Tabula RefULG 2'!$K$5:$R$83,3,0)</f>
        <v>1</v>
      </c>
      <c r="D14" s="108" t="str">
        <f>VLOOKUP(B14,'Tabula RefULG 2'!$K$5:$R$83,4,0)</f>
        <v>Wall External</v>
      </c>
      <c r="E14" s="108">
        <f>VLOOKUP(B14,'Tabula RefULG 2'!$K$5:$R$83,5,0)</f>
        <v>19.742421874491026</v>
      </c>
      <c r="F14" s="108" t="str">
        <f>VLOOKUP(B14,'Tabula RefULG 2'!$K$5:$R$83,6,0)</f>
        <v>back</v>
      </c>
      <c r="G14" s="108">
        <f>VLOOKUP(B14,'Tabula RefULG 2'!$K$5:$R$83,7,0)</f>
        <v>0.31684206193169995</v>
      </c>
      <c r="H14" s="109">
        <f>VLOOKUP(B14,'Tabula RefULG 2'!$K$5:$R$83,8,0)</f>
        <v>6.2552296542392334</v>
      </c>
      <c r="I14" s="109">
        <v>1</v>
      </c>
      <c r="J14" s="99"/>
      <c r="K14" s="99"/>
      <c r="L14" s="99"/>
      <c r="M14" s="99"/>
      <c r="N14" s="99"/>
      <c r="O14" s="99"/>
      <c r="P14" s="97"/>
      <c r="U14" s="96"/>
      <c r="V14" s="102">
        <v>8</v>
      </c>
      <c r="W14" s="103"/>
      <c r="X14" s="99" t="s">
        <v>172</v>
      </c>
      <c r="Y14" s="97"/>
    </row>
    <row r="15" spans="1:25" ht="16.5" customHeight="1" thickTop="1" thickBot="1" x14ac:dyDescent="0.3">
      <c r="A15" s="96"/>
      <c r="B15" s="107" t="str">
        <f>'Tabula RefULG 2'!K9</f>
        <v>W4</v>
      </c>
      <c r="C15" s="108">
        <f>VLOOKUP(B15,'Tabula RefULG 2'!$K$5:$R$83,3,0)</f>
        <v>1</v>
      </c>
      <c r="D15" s="108" t="str">
        <f>VLOOKUP(B15,'Tabula RefULG 2'!$K$5:$R$83,4,0)</f>
        <v>Wall External</v>
      </c>
      <c r="E15" s="108">
        <f>VLOOKUP(B15,'Tabula RefULG 2'!$K$5:$R$83,5,0)</f>
        <v>0</v>
      </c>
      <c r="F15" s="108" t="str">
        <f>VLOOKUP(B15,'Tabula RefULG 2'!$K$5:$R$83,6,0)</f>
        <v>left</v>
      </c>
      <c r="G15" s="108">
        <f>VLOOKUP(B15,'Tabula RefULG 2'!$K$5:$R$83,7,0)</f>
        <v>0.31684206193169995</v>
      </c>
      <c r="H15" s="109">
        <f>VLOOKUP(B15,'Tabula RefULG 2'!$K$5:$R$83,8,0)</f>
        <v>0</v>
      </c>
      <c r="I15" s="109">
        <v>1</v>
      </c>
      <c r="J15" s="99"/>
      <c r="K15" s="99"/>
      <c r="L15" s="99"/>
      <c r="M15" s="99"/>
      <c r="N15" s="99"/>
      <c r="O15" s="99"/>
      <c r="P15" s="97"/>
      <c r="U15" s="96"/>
      <c r="V15" s="102">
        <v>9</v>
      </c>
      <c r="W15" s="103"/>
      <c r="X15" s="99" t="s">
        <v>172</v>
      </c>
      <c r="Y15" s="97"/>
    </row>
    <row r="16" spans="1:25" ht="16.5" customHeight="1" thickTop="1" thickBot="1" x14ac:dyDescent="0.3">
      <c r="A16" s="96"/>
      <c r="B16" s="107" t="str">
        <f>'Tabula RefULG 2'!K10</f>
        <v>W5</v>
      </c>
      <c r="C16" s="108">
        <f>VLOOKUP(B16,'Tabula RefULG 2'!$K$5:$R$83,3,0)</f>
        <v>1</v>
      </c>
      <c r="D16" s="108" t="str">
        <f>VLOOKUP(B16,'Tabula RefULG 2'!$K$5:$R$83,4,0)</f>
        <v>Window</v>
      </c>
      <c r="E16" s="108">
        <f>VLOOKUP(B16,'Tabula RefULG 2'!$K$5:$R$83,5,0)</f>
        <v>3.9</v>
      </c>
      <c r="F16" s="108" t="str">
        <f>VLOOKUP(B16,'Tabula RefULG 2'!$K$5:$R$83,6,0)</f>
        <v>front</v>
      </c>
      <c r="G16" s="108">
        <f>VLOOKUP(B16,'Tabula RefULG 2'!$K$5:$R$83,7,0)</f>
        <v>2</v>
      </c>
      <c r="H16" s="109">
        <f>VLOOKUP(B16,'Tabula RefULG 2'!$K$5:$R$83,8,0)</f>
        <v>7.8</v>
      </c>
      <c r="I16" s="109">
        <v>1</v>
      </c>
      <c r="J16" s="99"/>
      <c r="K16" s="99"/>
      <c r="L16" s="99"/>
      <c r="M16" s="99"/>
      <c r="N16" s="99"/>
      <c r="O16" s="99"/>
      <c r="P16" s="97"/>
      <c r="U16" s="96"/>
      <c r="V16" s="102">
        <v>10</v>
      </c>
      <c r="W16" s="103"/>
      <c r="X16" s="99" t="s">
        <v>172</v>
      </c>
      <c r="Y16" s="97"/>
    </row>
    <row r="17" spans="1:25" ht="16.5" customHeight="1" thickTop="1" thickBot="1" x14ac:dyDescent="0.3">
      <c r="A17" s="96"/>
      <c r="B17" s="107" t="str">
        <f>'Tabula RefULG 2'!K11</f>
        <v>W6</v>
      </c>
      <c r="C17" s="108">
        <f>VLOOKUP(B17,'Tabula RefULG 2'!$K$5:$R$83,3,0)</f>
        <v>1</v>
      </c>
      <c r="D17" s="108" t="str">
        <f>VLOOKUP(B17,'Tabula RefULG 2'!$K$5:$R$83,4,0)</f>
        <v>Window</v>
      </c>
      <c r="E17" s="108">
        <f>VLOOKUP(B17,'Tabula RefULG 2'!$K$5:$R$83,5,0)</f>
        <v>4</v>
      </c>
      <c r="F17" s="108" t="str">
        <f>VLOOKUP(B17,'Tabula RefULG 2'!$K$5:$R$83,6,0)</f>
        <v>right</v>
      </c>
      <c r="G17" s="108">
        <f>VLOOKUP(B17,'Tabula RefULG 2'!$K$5:$R$83,7,0)</f>
        <v>2</v>
      </c>
      <c r="H17" s="109">
        <f>VLOOKUP(B17,'Tabula RefULG 2'!$K$5:$R$83,8,0)</f>
        <v>8</v>
      </c>
      <c r="I17" s="109">
        <v>1</v>
      </c>
      <c r="J17" s="99"/>
      <c r="K17" s="99"/>
      <c r="L17" s="99"/>
      <c r="M17" s="99"/>
      <c r="N17" s="99"/>
      <c r="O17" s="99"/>
      <c r="P17" s="97"/>
      <c r="U17" s="96"/>
      <c r="V17" s="102"/>
      <c r="W17" s="103"/>
      <c r="X17" s="99"/>
      <c r="Y17" s="97"/>
    </row>
    <row r="18" spans="1:25" ht="16.5" customHeight="1" thickTop="1" thickBot="1" x14ac:dyDescent="0.3">
      <c r="A18" s="96"/>
      <c r="B18" s="107" t="str">
        <f>'Tabula RefULG 2'!K12</f>
        <v>W7</v>
      </c>
      <c r="C18" s="108">
        <f>VLOOKUP(B18,'Tabula RefULG 2'!$K$5:$R$83,3,0)</f>
        <v>1</v>
      </c>
      <c r="D18" s="108" t="str">
        <f>VLOOKUP(B18,'Tabula RefULG 2'!$K$5:$R$83,4,0)</f>
        <v>Window</v>
      </c>
      <c r="E18" s="108">
        <f>VLOOKUP(B18,'Tabula RefULG 2'!$K$5:$R$83,5,0)</f>
        <v>4.55</v>
      </c>
      <c r="F18" s="108" t="str">
        <f>VLOOKUP(B18,'Tabula RefULG 2'!$K$5:$R$83,6,0)</f>
        <v>back</v>
      </c>
      <c r="G18" s="108">
        <f>VLOOKUP(B18,'Tabula RefULG 2'!$K$5:$R$83,7,0)</f>
        <v>2</v>
      </c>
      <c r="H18" s="109">
        <f>VLOOKUP(B18,'Tabula RefULG 2'!$K$5:$R$83,8,0)</f>
        <v>9.1</v>
      </c>
      <c r="I18" s="109">
        <v>1</v>
      </c>
      <c r="J18" s="99"/>
      <c r="K18" s="99"/>
      <c r="L18" s="99"/>
      <c r="M18" s="99"/>
      <c r="N18" s="99"/>
      <c r="O18" s="99"/>
      <c r="P18" s="97"/>
      <c r="U18" s="96"/>
      <c r="V18" s="100" t="s">
        <v>179</v>
      </c>
      <c r="W18" s="101">
        <f>SUM(W7:W16)</f>
        <v>8690.8834947276591</v>
      </c>
      <c r="X18" s="289" t="s">
        <v>172</v>
      </c>
      <c r="Y18" s="97"/>
    </row>
    <row r="19" spans="1:25" ht="16.5" customHeight="1" thickTop="1" thickBot="1" x14ac:dyDescent="0.3">
      <c r="A19" s="96"/>
      <c r="B19" s="107" t="str">
        <f>'Tabula RefULG 2'!K13</f>
        <v>W8</v>
      </c>
      <c r="C19" s="108">
        <f>VLOOKUP(B19,'Tabula RefULG 2'!$K$5:$R$83,3,0)</f>
        <v>1</v>
      </c>
      <c r="D19" s="108" t="str">
        <f>VLOOKUP(B19,'Tabula RefULG 2'!$K$5:$R$83,4,0)</f>
        <v>Window</v>
      </c>
      <c r="E19" s="108">
        <f>VLOOKUP(B19,'Tabula RefULG 2'!$K$5:$R$83,5,0)</f>
        <v>3.7</v>
      </c>
      <c r="F19" s="108" t="str">
        <f>VLOOKUP(B19,'Tabula RefULG 2'!$K$5:$R$83,6,0)</f>
        <v>left</v>
      </c>
      <c r="G19" s="108">
        <f>VLOOKUP(B19,'Tabula RefULG 2'!$K$5:$R$83,7,0)</f>
        <v>2</v>
      </c>
      <c r="H19" s="109">
        <f>VLOOKUP(B19,'Tabula RefULG 2'!$K$5:$R$83,8,0)</f>
        <v>7.4</v>
      </c>
      <c r="I19" s="109">
        <v>1</v>
      </c>
      <c r="J19" s="99"/>
      <c r="K19" s="99"/>
      <c r="L19" s="99"/>
      <c r="M19" s="99"/>
      <c r="N19" s="99"/>
      <c r="O19" s="99"/>
      <c r="P19" s="97"/>
      <c r="U19" s="110"/>
      <c r="V19" s="111"/>
      <c r="W19" s="111"/>
      <c r="X19" s="111"/>
      <c r="Y19" s="112"/>
    </row>
    <row r="20" spans="1:25" ht="16.5" customHeight="1" thickTop="1" thickBot="1" x14ac:dyDescent="0.3">
      <c r="A20" s="96"/>
      <c r="B20" s="107"/>
      <c r="C20" s="108"/>
      <c r="D20" s="108"/>
      <c r="E20" s="108"/>
      <c r="F20" s="108"/>
      <c r="G20" s="108"/>
      <c r="H20" s="109"/>
      <c r="I20" s="109"/>
      <c r="J20" s="99"/>
      <c r="K20" s="99"/>
      <c r="L20" s="99"/>
      <c r="M20" s="99"/>
      <c r="N20" s="99"/>
      <c r="O20" s="99"/>
      <c r="P20" s="97"/>
      <c r="U20" s="99"/>
      <c r="V20" s="99"/>
      <c r="W20" s="99"/>
      <c r="X20" s="99"/>
      <c r="Y20" s="99"/>
    </row>
    <row r="21" spans="1:25" ht="16.5" customHeight="1" thickTop="1" thickBot="1" x14ac:dyDescent="0.3">
      <c r="A21" s="96"/>
      <c r="B21" s="107" t="str">
        <f>'Gebouwgegevens Allacker'!J15</f>
        <v>W10</v>
      </c>
      <c r="C21" s="108">
        <f>VLOOKUP(B21,'Tabula RefULG 2'!$K$5:$R$83,3,0)</f>
        <v>1</v>
      </c>
      <c r="D21" s="108" t="str">
        <f>VLOOKUP(B21,'Tabula RefULG 2'!$K$5:$R$83,4,0)</f>
        <v>Roof</v>
      </c>
      <c r="E21" s="108">
        <f>VLOOKUP(B21,'Tabula RefULG 2'!$K$5:$R$83,5,0)</f>
        <v>0</v>
      </c>
      <c r="F21" s="108">
        <f>VLOOKUP(B21,'Tabula RefULG 2'!$K$5:$R$83,6,0)</f>
        <v>0</v>
      </c>
      <c r="G21" s="108">
        <f>VLOOKUP(B21,'Tabula RefULG 2'!$K$5:$R$83,7,0)</f>
        <v>0.3127301569316186</v>
      </c>
      <c r="H21" s="109">
        <f>VLOOKUP(B21,'Tabula RefULG 2'!$K$5:$R$83,8,0)</f>
        <v>0</v>
      </c>
      <c r="I21" s="109">
        <v>1</v>
      </c>
      <c r="J21" s="99"/>
      <c r="K21" s="99"/>
      <c r="L21" s="99"/>
      <c r="M21" s="99"/>
      <c r="N21" s="99"/>
      <c r="O21" s="99"/>
      <c r="P21" s="97"/>
      <c r="U21" s="99"/>
      <c r="V21" s="99" t="s">
        <v>269</v>
      </c>
      <c r="W21" s="99">
        <f>1.1*W7</f>
        <v>5819.9514459640259</v>
      </c>
      <c r="X21" s="99"/>
      <c r="Y21" s="99"/>
    </row>
    <row r="22" spans="1:25" ht="16.5" customHeight="1" thickTop="1" thickBot="1" x14ac:dyDescent="0.3">
      <c r="A22" s="96"/>
      <c r="B22" s="107" t="str">
        <f>'Gebouwgegevens Allacker'!J16</f>
        <v>W11</v>
      </c>
      <c r="C22" s="108">
        <f>VLOOKUP(B22,'Tabula RefULG 2'!$K$5:$R$83,3,0)</f>
        <v>1</v>
      </c>
      <c r="D22" s="108" t="str">
        <f>VLOOKUP(B22,'Tabula RefULG 2'!$K$5:$R$83,4,0)</f>
        <v>Door</v>
      </c>
      <c r="E22" s="108">
        <f>VLOOKUP(B22,'Tabula RefULG 2'!$K$5:$R$83,5,0)</f>
        <v>9.5</v>
      </c>
      <c r="F22" s="108">
        <f>VLOOKUP(B22,'Tabula RefULG 2'!$K$5:$R$83,6,0)</f>
        <v>0</v>
      </c>
      <c r="G22" s="108">
        <f>VLOOKUP(B22,'Tabula RefULG 2'!$K$5:$R$83,7,0)</f>
        <v>4</v>
      </c>
      <c r="H22" s="109">
        <f>VLOOKUP(B22,'Tabula RefULG 2'!$K$5:$R$83,8,0)</f>
        <v>38</v>
      </c>
      <c r="I22" s="109">
        <v>1</v>
      </c>
      <c r="J22" s="99"/>
      <c r="K22" s="99"/>
      <c r="L22" s="99"/>
      <c r="M22" s="99"/>
      <c r="N22" s="99"/>
      <c r="O22" s="99"/>
      <c r="P22" s="97"/>
      <c r="U22" s="99"/>
      <c r="V22" s="99"/>
      <c r="W22" s="99"/>
      <c r="X22" s="99"/>
      <c r="Y22" s="99"/>
    </row>
    <row r="23" spans="1:25" ht="16.5" customHeight="1" thickTop="1" thickBot="1" x14ac:dyDescent="0.3">
      <c r="A23" s="96"/>
      <c r="B23" s="107"/>
      <c r="C23" s="108"/>
      <c r="D23" s="108"/>
      <c r="E23" s="108"/>
      <c r="F23" s="108"/>
      <c r="G23" s="108"/>
      <c r="H23" s="109"/>
      <c r="I23" s="109"/>
      <c r="J23" s="99"/>
      <c r="K23" s="99"/>
      <c r="L23" s="99"/>
      <c r="M23" s="99"/>
      <c r="N23" s="99"/>
      <c r="O23" s="99"/>
      <c r="P23" s="97"/>
      <c r="U23" s="99"/>
      <c r="V23" s="99"/>
      <c r="W23" s="99"/>
      <c r="X23" s="99"/>
      <c r="Y23" s="99"/>
    </row>
    <row r="24" spans="1:25" ht="15.75" customHeight="1" thickTop="1" x14ac:dyDescent="0.25">
      <c r="A24" s="96"/>
      <c r="B24" s="113"/>
      <c r="C24" s="114"/>
      <c r="D24" s="114"/>
      <c r="E24" s="114"/>
      <c r="F24" s="114"/>
      <c r="G24" s="114"/>
      <c r="H24" s="109"/>
      <c r="I24" s="109"/>
      <c r="J24" s="99"/>
      <c r="K24" s="99"/>
      <c r="L24" s="99"/>
      <c r="M24" s="99"/>
      <c r="N24" s="99"/>
      <c r="O24" s="99"/>
      <c r="P24" s="97"/>
      <c r="U24" s="99"/>
      <c r="V24" s="99"/>
      <c r="W24" s="99"/>
      <c r="X24" s="99"/>
      <c r="Y24" s="99"/>
    </row>
    <row r="25" spans="1:25" ht="15" customHeight="1" x14ac:dyDescent="0.25">
      <c r="A25" s="96"/>
      <c r="B25" s="113"/>
      <c r="C25" s="114"/>
      <c r="D25" s="114"/>
      <c r="E25" s="114"/>
      <c r="F25" s="114"/>
      <c r="G25" s="114"/>
      <c r="H25" s="109"/>
      <c r="I25" s="109"/>
      <c r="J25" s="99"/>
      <c r="K25" s="99"/>
      <c r="L25" s="99"/>
      <c r="M25" s="99"/>
      <c r="N25" s="99"/>
      <c r="O25" s="99"/>
      <c r="P25" s="97"/>
      <c r="U25" s="99"/>
      <c r="V25" s="99"/>
      <c r="W25" s="99"/>
      <c r="X25" s="99"/>
      <c r="Y25" s="99"/>
    </row>
    <row r="26" spans="1:25" ht="15" customHeight="1" x14ac:dyDescent="0.25">
      <c r="A26" s="104" t="s">
        <v>180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7"/>
    </row>
    <row r="27" spans="1:25" ht="15.75" customHeight="1" x14ac:dyDescent="0.25">
      <c r="A27" s="96"/>
      <c r="B27" s="58" t="s">
        <v>10</v>
      </c>
      <c r="C27" s="58" t="s">
        <v>181</v>
      </c>
      <c r="D27" s="58" t="s">
        <v>175</v>
      </c>
      <c r="E27" s="58" t="s">
        <v>182</v>
      </c>
      <c r="F27" s="58" t="s">
        <v>16</v>
      </c>
      <c r="G27" s="115" t="s">
        <v>17</v>
      </c>
      <c r="H27" s="115" t="s">
        <v>178</v>
      </c>
      <c r="I27" s="58" t="s">
        <v>183</v>
      </c>
      <c r="J27" s="58" t="s">
        <v>184</v>
      </c>
      <c r="K27" s="58" t="s">
        <v>185</v>
      </c>
      <c r="L27" s="116" t="s">
        <v>186</v>
      </c>
      <c r="M27" s="116" t="s">
        <v>187</v>
      </c>
      <c r="N27" s="116" t="s">
        <v>188</v>
      </c>
      <c r="O27" s="99"/>
      <c r="P27" s="97"/>
    </row>
    <row r="28" spans="1:25" ht="16.5" customHeight="1" thickBot="1" x14ac:dyDescent="0.3">
      <c r="A28" s="96"/>
      <c r="B28" s="117" t="s">
        <v>61</v>
      </c>
      <c r="C28" s="118">
        <f>VLOOKUP(B28,'Tabula RefULG 2'!$K$5:$R$83,3,0)</f>
        <v>1</v>
      </c>
      <c r="D28" s="118" t="str">
        <f>VLOOKUP(B28,'Tabula RefULG 2'!$K$5:$R$83,4,0)</f>
        <v>Floor</v>
      </c>
      <c r="E28" s="118">
        <f>VLOOKUP(B28,'Tabula RefULG 2'!$K$5:$R$83,5,0)</f>
        <v>96</v>
      </c>
      <c r="F28" s="118">
        <f>VLOOKUP(B28,'Tabula RefULG 2'!$K$5:$R$83,7,0)</f>
        <v>0.3056768558951965</v>
      </c>
      <c r="G28" s="119">
        <f>VLOOKUP(B28,'Tabula RefULG 2'!$K$5:$R$83,8,0)</f>
        <v>29.344978165938862</v>
      </c>
      <c r="H28" s="119">
        <f>N28/F28/29*9*1.45</f>
        <v>0.32699059695931532</v>
      </c>
      <c r="I28" s="118">
        <f>'Tabula RefULG 2'!O14</f>
        <v>96</v>
      </c>
      <c r="J28" s="117">
        <f>SQRT(I28)*4</f>
        <v>39.191835884530846</v>
      </c>
      <c r="K28" s="117">
        <f>SUM('Tabula RefULG 2'!Z16:Z19)</f>
        <v>0.2225</v>
      </c>
      <c r="L28" s="120">
        <f>I28/(0.5*J28)</f>
        <v>4.8989794855663567</v>
      </c>
      <c r="M28" s="120">
        <f>K28+2*(1/F28)</f>
        <v>6.7653571428571428</v>
      </c>
      <c r="N28" s="121">
        <f>IF(M28&lt;L28,2*2/(PI()*L28+M28)*LN(PI()*L28/M28+1),2/(0.457*L28+M28))</f>
        <v>0.22211879463514869</v>
      </c>
      <c r="O28" s="99"/>
      <c r="P28" s="97"/>
    </row>
    <row r="29" spans="1:25" ht="15.75" customHeight="1" thickTop="1" x14ac:dyDescent="0.25">
      <c r="A29" s="9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9"/>
      <c r="P29" s="97"/>
    </row>
    <row r="30" spans="1:25" ht="15" customHeight="1" x14ac:dyDescent="0.25">
      <c r="A30" s="96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7"/>
    </row>
    <row r="31" spans="1:25" ht="15" customHeight="1" x14ac:dyDescent="0.25">
      <c r="A31" s="104" t="s">
        <v>189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7"/>
      <c r="V31" s="153">
        <f>1.1*W18</f>
        <v>9559.971844200425</v>
      </c>
    </row>
    <row r="32" spans="1:25" ht="15.75" customHeight="1" thickBot="1" x14ac:dyDescent="0.3">
      <c r="A32" s="96"/>
      <c r="B32" s="58" t="s">
        <v>10</v>
      </c>
      <c r="C32" s="58" t="s">
        <v>190</v>
      </c>
      <c r="D32" s="58" t="s">
        <v>191</v>
      </c>
      <c r="E32" s="58" t="s">
        <v>135</v>
      </c>
      <c r="F32" s="58" t="s">
        <v>192</v>
      </c>
      <c r="G32" s="58" t="s">
        <v>193</v>
      </c>
      <c r="H32" s="58" t="s">
        <v>194</v>
      </c>
      <c r="I32" s="58" t="s">
        <v>16</v>
      </c>
      <c r="J32" s="115" t="s">
        <v>17</v>
      </c>
      <c r="K32" s="115" t="s">
        <v>178</v>
      </c>
      <c r="L32" s="99"/>
      <c r="M32" s="99"/>
      <c r="N32" s="99"/>
      <c r="O32" s="99"/>
      <c r="P32" s="97"/>
    </row>
    <row r="33" spans="1:16" ht="16.5" customHeight="1" thickTop="1" thickBot="1" x14ac:dyDescent="0.3">
      <c r="A33" s="96"/>
      <c r="B33" s="122" t="s">
        <v>98</v>
      </c>
      <c r="C33" s="123">
        <f>IF(VLOOKUP(B33,'Tabula RefULG 2'!$K$5:$R$83,2,0)=B$6,VLOOKUP(B33,'Tabula RefULG 2'!$K$5:$R$83,2,0),VLOOKUP(B33,'Tabula RefULG 2'!$K$5:$R$83,3,0))</f>
        <v>1</v>
      </c>
      <c r="D33" s="123">
        <f>IF(VLOOKUP(B33,'Tabula RefULG 2'!$K$5:$R$83,2,0)=B$6,VLOOKUP(B33,'Tabula RefULG 2'!$K$5:$R$83,3,0),VLOOKUP(B33,'Tabula RefULG 2'!$K$5:$R$83,2,0))</f>
        <v>2</v>
      </c>
      <c r="E33" s="123" t="str">
        <f>VLOOKUP(B33,'Tabula RefULG 2'!$K$5:$R$83,4,0)</f>
        <v>Floor internal</v>
      </c>
      <c r="F33" s="123">
        <f>VLOOKUP(B33,'Tabula RefULG 2'!$K$5:$R$83,5,0)</f>
        <v>89.300000000000011</v>
      </c>
      <c r="G33" s="123">
        <f>VLOOKUP('Verwarming Tabula 2zone RefULG2'!C33,'Tabula RefULG 2'!$A$34:$F$45,5,0)</f>
        <v>21</v>
      </c>
      <c r="H33" s="123">
        <f>VLOOKUP('Verwarming Tabula 2zone RefULG2'!D33,'Tabula RefULG 2'!$A$34:$F$45,5,0)</f>
        <v>16</v>
      </c>
      <c r="I33" s="123">
        <f>VLOOKUP(B33,'Tabula RefULG 2'!$K$5:$R$83,7,0)</f>
        <v>1.0668924640135478</v>
      </c>
      <c r="J33" s="119">
        <f>VLOOKUP(B33,'Tabula RefULG 2'!$K$5:$R$83,8,0)</f>
        <v>95.273497036409822</v>
      </c>
      <c r="K33" s="119">
        <f>(G33-H33)/(G33-$B$4)</f>
        <v>0.17241379310344829</v>
      </c>
      <c r="L33" s="99"/>
      <c r="M33" s="99"/>
      <c r="N33" s="99"/>
      <c r="O33" s="99"/>
      <c r="P33" s="97"/>
    </row>
    <row r="34" spans="1:16" ht="16.5" customHeight="1" thickTop="1" thickBot="1" x14ac:dyDescent="0.3">
      <c r="A34" s="96"/>
      <c r="B34" s="122" t="s">
        <v>101</v>
      </c>
      <c r="C34" s="123">
        <f>IF(VLOOKUP(B34,'Tabula RefULG 2'!$K$5:$R$83,2,0)=B$6,VLOOKUP(B34,'Tabula RefULG 2'!$K$5:$R$83,2,0),VLOOKUP(B34,'Tabula RefULG 2'!$K$5:$R$83,3,0))</f>
        <v>1</v>
      </c>
      <c r="D34" s="123">
        <f>IF(VLOOKUP(B34,'Tabula RefULG 2'!$K$5:$R$83,2,0)=B$6,VLOOKUP(B34,'Tabula RefULG 2'!$K$5:$R$83,3,0),VLOOKUP(B34,'Tabula RefULG 2'!$K$5:$R$83,2,0))</f>
        <v>1</v>
      </c>
      <c r="E34" s="123" t="str">
        <f>VLOOKUP(B34,'Tabula RefULG 2'!$K$5:$R$83,4,0)</f>
        <v>Wall internal</v>
      </c>
      <c r="F34" s="123">
        <f>VLOOKUP(B34,'Tabula RefULG 2'!$K$5:$R$83,5,0)</f>
        <v>74.188882892606586</v>
      </c>
      <c r="G34" s="123">
        <f>VLOOKUP('Verwarming Tabula 2zone RefULG2'!C34,'Tabula RefULG 2'!$A$34:$F$45,5,0)</f>
        <v>21</v>
      </c>
      <c r="H34" s="123">
        <f>VLOOKUP('Verwarming Tabula 2zone RefULG2'!D34,'Tabula RefULG 2'!$A$34:$F$45,5,0)</f>
        <v>21</v>
      </c>
      <c r="I34" s="123">
        <f>VLOOKUP(B34,'Tabula RefULG 2'!$K$5:$R$83,7,0)</f>
        <v>1.210762331838565</v>
      </c>
      <c r="J34" s="119">
        <f>VLOOKUP(B34,'Tabula RefULG 2'!$K$5:$R$83,8,0)</f>
        <v>89.825104847550577</v>
      </c>
      <c r="K34" s="119">
        <f>(G34-H34)/(G34-$B$4)</f>
        <v>0</v>
      </c>
      <c r="L34" s="99"/>
      <c r="M34" s="99"/>
      <c r="N34" s="99"/>
      <c r="O34" s="99"/>
      <c r="P34" s="97"/>
    </row>
    <row r="35" spans="1:16" ht="16.5" customHeight="1" thickTop="1" thickBot="1" x14ac:dyDescent="0.3">
      <c r="A35" s="96"/>
      <c r="B35" s="122"/>
      <c r="C35" s="123"/>
      <c r="D35" s="123"/>
      <c r="E35" s="123"/>
      <c r="F35" s="123"/>
      <c r="G35" s="123"/>
      <c r="H35" s="123"/>
      <c r="I35" s="123"/>
      <c r="J35" s="119"/>
      <c r="K35" s="119"/>
      <c r="L35" s="99"/>
      <c r="M35" s="99"/>
      <c r="N35" s="99"/>
      <c r="O35" s="99"/>
      <c r="P35" s="97"/>
    </row>
    <row r="36" spans="1:16" ht="16.5" customHeight="1" thickTop="1" thickBot="1" x14ac:dyDescent="0.3">
      <c r="A36" s="96"/>
      <c r="B36" s="93"/>
      <c r="C36" s="123"/>
      <c r="D36" s="123"/>
      <c r="E36" s="123"/>
      <c r="F36" s="123"/>
      <c r="G36" s="123"/>
      <c r="H36" s="123"/>
      <c r="I36" s="123"/>
      <c r="J36" s="119"/>
      <c r="K36" s="119"/>
      <c r="L36" s="99"/>
      <c r="M36" s="99"/>
      <c r="N36" s="99"/>
      <c r="O36" s="99"/>
      <c r="P36" s="97"/>
    </row>
    <row r="37" spans="1:16" ht="16.5" customHeight="1" thickTop="1" thickBot="1" x14ac:dyDescent="0.3">
      <c r="A37" s="96"/>
      <c r="B37" s="124"/>
      <c r="C37" s="123"/>
      <c r="D37" s="123"/>
      <c r="E37" s="123"/>
      <c r="F37" s="123"/>
      <c r="G37" s="123"/>
      <c r="H37" s="123"/>
      <c r="I37" s="123"/>
      <c r="J37" s="119"/>
      <c r="K37" s="119"/>
      <c r="L37" s="99"/>
      <c r="M37" s="99"/>
      <c r="N37" s="99"/>
      <c r="O37" s="99"/>
      <c r="P37" s="97"/>
    </row>
    <row r="38" spans="1:16" ht="16.5" customHeight="1" thickTop="1" thickBot="1" x14ac:dyDescent="0.3">
      <c r="A38" s="96"/>
      <c r="B38" s="124"/>
      <c r="C38" s="123"/>
      <c r="D38" s="123"/>
      <c r="E38" s="123"/>
      <c r="F38" s="123"/>
      <c r="G38" s="123"/>
      <c r="H38" s="123"/>
      <c r="I38" s="123"/>
      <c r="J38" s="119"/>
      <c r="K38" s="119"/>
      <c r="L38" s="99"/>
      <c r="M38" s="99"/>
      <c r="N38" s="99"/>
      <c r="O38" s="99"/>
      <c r="P38" s="97"/>
    </row>
    <row r="39" spans="1:16" ht="15.75" customHeight="1" thickTop="1" x14ac:dyDescent="0.25">
      <c r="A39" s="96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9"/>
      <c r="M39" s="99"/>
      <c r="N39" s="99"/>
      <c r="O39" s="99"/>
      <c r="P39" s="97"/>
    </row>
    <row r="40" spans="1:16" ht="15" customHeight="1" x14ac:dyDescent="0.25">
      <c r="A40" s="96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7"/>
    </row>
    <row r="41" spans="1:16" ht="15.75" customHeight="1" x14ac:dyDescent="0.25">
      <c r="A41" s="104" t="s">
        <v>195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7"/>
    </row>
    <row r="42" spans="1:16" ht="16.5" customHeight="1" x14ac:dyDescent="0.25">
      <c r="A42" s="125" t="s">
        <v>196</v>
      </c>
      <c r="B42" s="119">
        <f>SUMPRODUCT(H12:H22,I12:I22)+SUMPRODUCT(G28,H28)+SUMPRODUCT(J33:J38,K33:K38)</f>
        <v>119.82815556261887</v>
      </c>
      <c r="C42" s="119" t="s">
        <v>107</v>
      </c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7"/>
    </row>
    <row r="43" spans="1:16" ht="16.5" customHeight="1" x14ac:dyDescent="0.25">
      <c r="A43" s="125" t="s">
        <v>170</v>
      </c>
      <c r="B43" s="119">
        <f>B42*(G33-$B$4)</f>
        <v>3475.0165113159474</v>
      </c>
      <c r="C43" s="119" t="s">
        <v>172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7"/>
    </row>
    <row r="44" spans="1:16" ht="15.75" customHeight="1" thickBot="1" x14ac:dyDescent="0.3">
      <c r="A44" s="110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2"/>
    </row>
    <row r="45" spans="1:16" ht="15.75" customHeight="1" thickTop="1" x14ac:dyDescent="0.25">
      <c r="A45" s="312" t="s">
        <v>197</v>
      </c>
      <c r="B45" s="312"/>
      <c r="C45" s="312"/>
      <c r="D45" s="126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95"/>
    </row>
    <row r="46" spans="1:16" ht="15" customHeight="1" x14ac:dyDescent="0.25">
      <c r="A46" s="96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7"/>
    </row>
    <row r="47" spans="1:16" ht="15" customHeight="1" thickBot="1" x14ac:dyDescent="0.3">
      <c r="A47" s="127" t="s">
        <v>198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7"/>
    </row>
    <row r="48" spans="1:16" ht="15" customHeight="1" thickTop="1" thickBot="1" x14ac:dyDescent="0.3">
      <c r="A48" s="128" t="s">
        <v>199</v>
      </c>
      <c r="B48" s="122">
        <f>'Tabula data'!E34</f>
        <v>4.5871271585557301</v>
      </c>
      <c r="C48" s="121" t="s">
        <v>200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7"/>
    </row>
    <row r="49" spans="1:16" ht="15" customHeight="1" thickTop="1" thickBot="1" x14ac:dyDescent="0.3">
      <c r="A49" s="128" t="s">
        <v>201</v>
      </c>
      <c r="B49" s="122">
        <v>0.03</v>
      </c>
      <c r="C49" s="121" t="s">
        <v>202</v>
      </c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7"/>
    </row>
    <row r="50" spans="1:16" ht="15.75" customHeight="1" thickTop="1" thickBot="1" x14ac:dyDescent="0.3">
      <c r="A50" s="128" t="s">
        <v>203</v>
      </c>
      <c r="B50" s="122">
        <v>1</v>
      </c>
      <c r="C50" s="121" t="s">
        <v>204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7"/>
    </row>
    <row r="51" spans="1:16" ht="16.5" customHeight="1" thickTop="1" x14ac:dyDescent="0.25">
      <c r="A51" s="125" t="s">
        <v>205</v>
      </c>
      <c r="B51" s="119">
        <f>B48/20*'Tabula RefULG 2'!B34</f>
        <v>77.06373626373626</v>
      </c>
      <c r="C51" s="119" t="s">
        <v>206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7"/>
    </row>
    <row r="52" spans="1:16" ht="15.75" customHeight="1" x14ac:dyDescent="0.25">
      <c r="A52" s="96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7"/>
    </row>
    <row r="53" spans="1:16" ht="15" customHeight="1" x14ac:dyDescent="0.25">
      <c r="A53" s="127" t="s">
        <v>207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7"/>
    </row>
    <row r="54" spans="1:16" ht="15.75" customHeight="1" x14ac:dyDescent="0.25">
      <c r="A54" s="96" t="s">
        <v>183</v>
      </c>
      <c r="B54" s="99">
        <f>'Tabula RefULG 2'!G34</f>
        <v>96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7"/>
    </row>
    <row r="55" spans="1:16" ht="16.5" customHeight="1" x14ac:dyDescent="0.25">
      <c r="A55" s="125" t="s">
        <v>208</v>
      </c>
      <c r="B55" s="129"/>
      <c r="C55" s="119" t="s">
        <v>206</v>
      </c>
      <c r="D55" s="99"/>
      <c r="E55" s="99" t="s">
        <v>209</v>
      </c>
      <c r="F55" s="99">
        <v>0</v>
      </c>
      <c r="G55" s="99"/>
      <c r="H55" s="99"/>
      <c r="I55" s="99"/>
      <c r="J55" s="99"/>
      <c r="K55" s="99"/>
      <c r="L55" s="99"/>
      <c r="M55" s="99"/>
      <c r="N55" s="99"/>
      <c r="O55" s="99"/>
      <c r="P55" s="97"/>
    </row>
    <row r="56" spans="1:16" ht="15.75" customHeight="1" x14ac:dyDescent="0.25">
      <c r="A56" s="96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7"/>
    </row>
    <row r="57" spans="1:16" ht="15.75" customHeight="1" x14ac:dyDescent="0.25">
      <c r="A57" s="96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7"/>
    </row>
    <row r="58" spans="1:16" ht="16.5" customHeight="1" x14ac:dyDescent="0.25">
      <c r="A58" s="125" t="s">
        <v>210</v>
      </c>
      <c r="B58" s="119">
        <f>B51+B55</f>
        <v>77.06373626373626</v>
      </c>
      <c r="C58" s="119" t="s">
        <v>206</v>
      </c>
      <c r="D58" s="99"/>
      <c r="E58" s="99"/>
      <c r="F58" s="119" t="s">
        <v>211</v>
      </c>
      <c r="G58" s="119">
        <f>B58/VLOOKUP(B6,'Gebouwgegevens Allacker'!$A$35:$B$46,2,0)</f>
        <v>0.37135212779240884</v>
      </c>
      <c r="H58" s="99"/>
      <c r="I58" s="99"/>
      <c r="J58" s="99"/>
      <c r="K58" s="99"/>
      <c r="L58" s="99"/>
      <c r="M58" s="99"/>
      <c r="N58" s="99"/>
      <c r="O58" s="99"/>
      <c r="P58" s="97"/>
    </row>
    <row r="59" spans="1:16" ht="16.5" customHeight="1" x14ac:dyDescent="0.25">
      <c r="A59" s="96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7"/>
    </row>
    <row r="60" spans="1:16" ht="16.5" customHeight="1" x14ac:dyDescent="0.25">
      <c r="A60" s="125" t="s">
        <v>212</v>
      </c>
      <c r="B60" s="119">
        <f>0.34*B58</f>
        <v>26.201670329670332</v>
      </c>
      <c r="C60" s="119" t="s">
        <v>107</v>
      </c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7"/>
    </row>
    <row r="61" spans="1:16" ht="16.5" customHeight="1" x14ac:dyDescent="0.25">
      <c r="A61" s="125" t="s">
        <v>170</v>
      </c>
      <c r="B61" s="119">
        <f>B60*('Gebouwgegevens Tabula'!E35-$B$4)</f>
        <v>759.8484395604396</v>
      </c>
      <c r="C61" s="119" t="s">
        <v>172</v>
      </c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7"/>
    </row>
    <row r="62" spans="1:16" ht="15.75" customHeight="1" thickBot="1" x14ac:dyDescent="0.3">
      <c r="A62" s="110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2"/>
    </row>
    <row r="63" spans="1:16" ht="15.75" customHeight="1" thickTop="1" x14ac:dyDescent="0.25">
      <c r="A63" s="312" t="s">
        <v>213</v>
      </c>
      <c r="B63" s="312"/>
      <c r="C63" s="312"/>
      <c r="D63" s="312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7"/>
    </row>
    <row r="64" spans="1:16" ht="15" customHeight="1" thickBot="1" x14ac:dyDescent="0.3">
      <c r="A64" s="96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7"/>
    </row>
    <row r="65" spans="1:16" ht="15" customHeight="1" thickTop="1" thickBot="1" x14ac:dyDescent="0.3">
      <c r="A65" s="128" t="s">
        <v>214</v>
      </c>
      <c r="B65" s="122">
        <v>11</v>
      </c>
      <c r="C65" s="58" t="s">
        <v>215</v>
      </c>
      <c r="D65" s="58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7"/>
    </row>
    <row r="66" spans="1:16" ht="15.75" customHeight="1" thickTop="1" thickBot="1" x14ac:dyDescent="0.3">
      <c r="A66" s="128" t="s">
        <v>113</v>
      </c>
      <c r="B66" s="122">
        <f>'Tabula RefULG 2'!B7</f>
        <v>96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7"/>
    </row>
    <row r="67" spans="1:16" ht="16.5" customHeight="1" thickTop="1" x14ac:dyDescent="0.25">
      <c r="A67" s="125" t="s">
        <v>216</v>
      </c>
      <c r="B67" s="119">
        <f>B68/('Gebouwgegevens Tabula'!E35-'Verwarming Tabula 2zone RefULG2'!$B$4)</f>
        <v>36.413793103448278</v>
      </c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7"/>
    </row>
    <row r="68" spans="1:16" ht="16.5" customHeight="1" x14ac:dyDescent="0.25">
      <c r="A68" s="125" t="s">
        <v>170</v>
      </c>
      <c r="B68" s="119">
        <f>B65*B66</f>
        <v>1056</v>
      </c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7"/>
    </row>
    <row r="69" spans="1:16" ht="15.75" customHeight="1" x14ac:dyDescent="0.25">
      <c r="A69" s="96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7"/>
    </row>
    <row r="70" spans="1:16" ht="15.75" customHeight="1" thickBot="1" x14ac:dyDescent="0.3">
      <c r="A70" s="96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7"/>
    </row>
    <row r="71" spans="1:16" ht="15.75" customHeight="1" thickTop="1" thickBot="1" x14ac:dyDescent="0.3">
      <c r="A71" s="130" t="s">
        <v>217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2"/>
    </row>
    <row r="72" spans="1:16" ht="16.5" customHeight="1" thickTop="1" x14ac:dyDescent="0.25">
      <c r="A72" s="125" t="s">
        <v>218</v>
      </c>
      <c r="B72" s="119">
        <f>SUM(B42,B60,B67)</f>
        <v>182.44361899573749</v>
      </c>
      <c r="C72" s="119" t="s">
        <v>107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4"/>
    </row>
    <row r="73" spans="1:16" ht="16.5" customHeight="1" x14ac:dyDescent="0.25">
      <c r="A73" s="125" t="s">
        <v>170</v>
      </c>
      <c r="B73" s="119">
        <f>SUM(B43,B61,B68)</f>
        <v>5290.8649508763865</v>
      </c>
      <c r="C73" s="119" t="s">
        <v>172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4"/>
    </row>
    <row r="74" spans="1:16" ht="16.5" customHeight="1" thickBot="1" x14ac:dyDescent="0.3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7"/>
    </row>
    <row r="75" spans="1:16" ht="15" customHeight="1" thickTop="1" x14ac:dyDescent="0.25">
      <c r="A75" s="138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</row>
    <row r="76" spans="1:16" ht="15.75" customHeight="1" thickBot="1" x14ac:dyDescent="0.3">
      <c r="A76" s="138"/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</row>
    <row r="77" spans="1:16" ht="15" customHeight="1" thickTop="1" thickBot="1" x14ac:dyDescent="0.3">
      <c r="A77" s="94"/>
      <c r="B77" s="289"/>
      <c r="C77" s="289"/>
      <c r="D77" s="289"/>
      <c r="E77" s="289"/>
      <c r="F77" s="289"/>
      <c r="G77" s="289"/>
      <c r="H77" s="289"/>
      <c r="I77" s="289"/>
      <c r="J77" s="289"/>
      <c r="K77" s="289"/>
      <c r="L77" s="289"/>
      <c r="M77" s="289"/>
      <c r="N77" s="289"/>
      <c r="O77" s="289"/>
      <c r="P77" s="95"/>
    </row>
    <row r="78" spans="1:16" ht="17.25" customHeight="1" thickTop="1" thickBot="1" x14ac:dyDescent="0.35">
      <c r="A78" s="98" t="s">
        <v>169</v>
      </c>
      <c r="B78" s="93">
        <v>2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7"/>
    </row>
    <row r="79" spans="1:16" ht="15.75" customHeight="1" thickTop="1" x14ac:dyDescent="0.25">
      <c r="A79" s="312" t="s">
        <v>171</v>
      </c>
      <c r="B79" s="312"/>
      <c r="C79" s="312"/>
      <c r="D79" s="312"/>
      <c r="E79" s="289"/>
      <c r="F79" s="289"/>
      <c r="G79" s="289"/>
      <c r="H79" s="289"/>
      <c r="I79" s="289"/>
      <c r="J79" s="289"/>
      <c r="K79" s="289"/>
      <c r="L79" s="289"/>
      <c r="M79" s="289"/>
      <c r="N79" s="289"/>
      <c r="O79" s="289"/>
      <c r="P79" s="95"/>
    </row>
    <row r="80" spans="1:16" ht="15" customHeight="1" x14ac:dyDescent="0.25">
      <c r="A80" s="96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7"/>
    </row>
    <row r="81" spans="1:16" ht="15" customHeight="1" x14ac:dyDescent="0.25">
      <c r="A81" s="104" t="s">
        <v>173</v>
      </c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7"/>
    </row>
    <row r="82" spans="1:16" ht="15" customHeight="1" x14ac:dyDescent="0.25">
      <c r="A82" s="96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7"/>
    </row>
    <row r="83" spans="1:16" ht="15.75" customHeight="1" thickBot="1" x14ac:dyDescent="0.3">
      <c r="A83" s="96"/>
      <c r="B83" s="105" t="s">
        <v>10</v>
      </c>
      <c r="C83" s="105" t="s">
        <v>174</v>
      </c>
      <c r="D83" s="105" t="s">
        <v>175</v>
      </c>
      <c r="E83" s="105" t="s">
        <v>176</v>
      </c>
      <c r="F83" s="105" t="s">
        <v>177</v>
      </c>
      <c r="G83" s="105" t="s">
        <v>16</v>
      </c>
      <c r="H83" s="106" t="s">
        <v>17</v>
      </c>
      <c r="I83" s="106" t="s">
        <v>178</v>
      </c>
      <c r="J83" s="99"/>
      <c r="K83" s="99"/>
      <c r="L83" s="99"/>
      <c r="M83" s="99"/>
      <c r="N83" s="99"/>
      <c r="O83" s="99"/>
      <c r="P83" s="97"/>
    </row>
    <row r="84" spans="1:16" ht="16.5" customHeight="1" thickTop="1" thickBot="1" x14ac:dyDescent="0.3">
      <c r="A84" s="96"/>
      <c r="B84" s="107" t="s">
        <v>71</v>
      </c>
      <c r="C84" s="108">
        <f>VLOOKUP(B84,'Tabula RefULG 2'!$K$5:$R$83,3,0)</f>
        <v>2</v>
      </c>
      <c r="D84" s="108" t="str">
        <f>VLOOKUP(B84,'Tabula RefULG 2'!$K$5:$R$83,4,0)</f>
        <v>Wall External</v>
      </c>
      <c r="E84" s="108">
        <f>VLOOKUP(B84,'Tabula RefULG 2'!$K$5:$R$83,5,0)</f>
        <v>18.364565347833842</v>
      </c>
      <c r="F84" s="108" t="str">
        <f>VLOOKUP(B84,'Tabula RefULG 2'!$K$5:$R$83,6,0)</f>
        <v>front</v>
      </c>
      <c r="G84" s="108">
        <f>VLOOKUP(B84,'Tabula RefULG 2'!$K$5:$R$83,7,0)</f>
        <v>0.31684206193169995</v>
      </c>
      <c r="H84" s="109">
        <f>VLOOKUP(B84,'Tabula RefULG 2'!$K$5:$R$83,8,0)</f>
        <v>5.8186667512871209</v>
      </c>
      <c r="I84" s="109">
        <v>1</v>
      </c>
      <c r="J84" s="99"/>
      <c r="K84" s="99"/>
      <c r="L84" s="99"/>
      <c r="M84" s="99"/>
      <c r="N84" s="99"/>
      <c r="O84" s="99"/>
      <c r="P84" s="97"/>
    </row>
    <row r="85" spans="1:16" ht="16.5" customHeight="1" thickTop="1" thickBot="1" x14ac:dyDescent="0.3">
      <c r="A85" s="96"/>
      <c r="B85" s="107" t="s">
        <v>75</v>
      </c>
      <c r="C85" s="108">
        <f>VLOOKUP(B85,'Tabula RefULG 2'!$K$5:$R$83,3,0)</f>
        <v>2</v>
      </c>
      <c r="D85" s="108" t="str">
        <f>VLOOKUP(B85,'Tabula RefULG 2'!$K$5:$R$83,4,0)</f>
        <v>Wall External</v>
      </c>
      <c r="E85" s="108">
        <f>VLOOKUP(B85,'Tabula RefULG 2'!$K$5:$R$83,5,0)</f>
        <v>32.281986411725747</v>
      </c>
      <c r="F85" s="108" t="str">
        <f>VLOOKUP(B85,'Tabula RefULG 2'!$K$5:$R$83,6,0)</f>
        <v>right</v>
      </c>
      <c r="G85" s="108">
        <f>VLOOKUP(B85,'Tabula RefULG 2'!$K$5:$R$83,7,0)</f>
        <v>0.31684206193169995</v>
      </c>
      <c r="H85" s="109">
        <f>VLOOKUP(B85,'Tabula RefULG 2'!$K$5:$R$83,8,0)</f>
        <v>10.228291137942305</v>
      </c>
      <c r="I85" s="109">
        <v>1</v>
      </c>
      <c r="J85" s="99"/>
      <c r="K85" s="99"/>
      <c r="L85" s="99"/>
      <c r="M85" s="99"/>
      <c r="N85" s="99"/>
      <c r="O85" s="99"/>
      <c r="P85" s="97"/>
    </row>
    <row r="86" spans="1:16" ht="16.5" customHeight="1" thickTop="1" thickBot="1" x14ac:dyDescent="0.3">
      <c r="A86" s="96"/>
      <c r="B86" s="107" t="s">
        <v>79</v>
      </c>
      <c r="C86" s="108">
        <f>VLOOKUP(B86,'Tabula RefULG 2'!$K$5:$R$83,3,0)</f>
        <v>2</v>
      </c>
      <c r="D86" s="108" t="str">
        <f>VLOOKUP(B86,'Tabula RefULG 2'!$K$5:$R$83,4,0)</f>
        <v>Wall External</v>
      </c>
      <c r="E86" s="108">
        <f>VLOOKUP(B86,'Tabula RefULG 2'!$K$5:$R$83,5,0)</f>
        <v>18.364565347833842</v>
      </c>
      <c r="F86" s="108" t="str">
        <f>VLOOKUP(B86,'Tabula RefULG 2'!$K$5:$R$83,6,0)</f>
        <v>back</v>
      </c>
      <c r="G86" s="108">
        <f>VLOOKUP(B86,'Tabula RefULG 2'!$K$5:$R$83,7,0)</f>
        <v>0.31684206193169995</v>
      </c>
      <c r="H86" s="109">
        <f>VLOOKUP(B86,'Tabula RefULG 2'!$K$5:$R$83,8,0)</f>
        <v>5.8186667512871209</v>
      </c>
      <c r="I86" s="109">
        <v>1</v>
      </c>
      <c r="J86" s="99"/>
      <c r="K86" s="99"/>
      <c r="L86" s="99"/>
      <c r="M86" s="99"/>
      <c r="N86" s="99"/>
      <c r="O86" s="99"/>
      <c r="P86" s="97"/>
    </row>
    <row r="87" spans="1:16" ht="16.5" customHeight="1" thickTop="1" thickBot="1" x14ac:dyDescent="0.3">
      <c r="A87" s="96"/>
      <c r="B87" s="107" t="s">
        <v>82</v>
      </c>
      <c r="C87" s="108">
        <f>VLOOKUP(B87,'Tabula RefULG 2'!$K$5:$R$83,3,0)</f>
        <v>2</v>
      </c>
      <c r="D87" s="108" t="str">
        <f>VLOOKUP(B87,'Tabula RefULG 2'!$K$5:$R$83,4,0)</f>
        <v>Wall External</v>
      </c>
      <c r="E87" s="108">
        <f>VLOOKUP(B87,'Tabula RefULG 2'!$K$5:$R$83,5,0)</f>
        <v>0</v>
      </c>
      <c r="F87" s="108" t="str">
        <f>VLOOKUP(B87,'Tabula RefULG 2'!$K$5:$R$83,6,0)</f>
        <v>left</v>
      </c>
      <c r="G87" s="108">
        <f>VLOOKUP(B87,'Tabula RefULG 2'!$K$5:$R$83,7,0)</f>
        <v>0.31684206193169995</v>
      </c>
      <c r="H87" s="109">
        <f>VLOOKUP(B87,'Tabula RefULG 2'!$K$5:$R$83,8,0)</f>
        <v>0</v>
      </c>
      <c r="I87" s="109">
        <v>1</v>
      </c>
      <c r="J87" s="99"/>
      <c r="K87" s="99"/>
      <c r="L87" s="99"/>
      <c r="M87" s="99"/>
      <c r="N87" s="99"/>
      <c r="O87" s="99"/>
      <c r="P87" s="97"/>
    </row>
    <row r="88" spans="1:16" ht="16.5" customHeight="1" thickTop="1" thickBot="1" x14ac:dyDescent="0.3">
      <c r="A88" s="96"/>
      <c r="B88" s="107" t="s">
        <v>84</v>
      </c>
      <c r="C88" s="108">
        <f>VLOOKUP(B88,'Tabula RefULG 2'!$K$5:$R$83,3,0)</f>
        <v>2</v>
      </c>
      <c r="D88" s="108" t="str">
        <f>VLOOKUP(B88,'Tabula RefULG 2'!$K$5:$R$83,4,0)</f>
        <v>Window</v>
      </c>
      <c r="E88" s="108">
        <f>VLOOKUP(B88,'Tabula RefULG 2'!$K$5:$R$83,5,0)</f>
        <v>3.9</v>
      </c>
      <c r="F88" s="108" t="str">
        <f>VLOOKUP(B88,'Tabula RefULG 2'!$K$5:$R$83,6,0)</f>
        <v>front</v>
      </c>
      <c r="G88" s="108">
        <f>VLOOKUP(B88,'Tabula RefULG 2'!$K$5:$R$83,7,0)</f>
        <v>2</v>
      </c>
      <c r="H88" s="109">
        <f>VLOOKUP(B88,'Tabula RefULG 2'!$K$5:$R$83,8,0)</f>
        <v>7.8</v>
      </c>
      <c r="I88" s="109">
        <v>1</v>
      </c>
      <c r="J88" s="99"/>
      <c r="K88" s="99"/>
      <c r="L88" s="99"/>
      <c r="M88" s="99"/>
      <c r="N88" s="99"/>
      <c r="O88" s="99"/>
      <c r="P88" s="97"/>
    </row>
    <row r="89" spans="1:16" ht="16.5" customHeight="1" thickTop="1" thickBot="1" x14ac:dyDescent="0.3">
      <c r="A89" s="96"/>
      <c r="B89" s="107" t="s">
        <v>87</v>
      </c>
      <c r="C89" s="108">
        <f>VLOOKUP(B89,'Tabula RefULG 2'!$K$5:$R$83,3,0)</f>
        <v>2</v>
      </c>
      <c r="D89" s="108" t="str">
        <f>VLOOKUP(B89,'Tabula RefULG 2'!$K$5:$R$83,4,0)</f>
        <v>Window</v>
      </c>
      <c r="E89" s="108">
        <f>VLOOKUP(B89,'Tabula RefULG 2'!$K$5:$R$83,5,0)</f>
        <v>4</v>
      </c>
      <c r="F89" s="108" t="str">
        <f>VLOOKUP(B89,'Tabula RefULG 2'!$K$5:$R$83,6,0)</f>
        <v>right</v>
      </c>
      <c r="G89" s="108">
        <f>VLOOKUP(B89,'Tabula RefULG 2'!$K$5:$R$83,7,0)</f>
        <v>2</v>
      </c>
      <c r="H89" s="109">
        <f>VLOOKUP(B89,'Tabula RefULG 2'!$K$5:$R$83,8,0)</f>
        <v>8</v>
      </c>
      <c r="I89" s="109">
        <v>1</v>
      </c>
      <c r="J89" s="99"/>
      <c r="K89" s="99"/>
      <c r="L89" s="99"/>
      <c r="M89" s="99"/>
      <c r="N89" s="99"/>
      <c r="O89" s="99"/>
      <c r="P89" s="97"/>
    </row>
    <row r="90" spans="1:16" ht="16.5" customHeight="1" thickTop="1" thickBot="1" x14ac:dyDescent="0.3">
      <c r="A90" s="96"/>
      <c r="B90" s="107" t="s">
        <v>89</v>
      </c>
      <c r="C90" s="108">
        <f>VLOOKUP(B90,'Tabula RefULG 2'!$K$5:$R$83,3,0)</f>
        <v>2</v>
      </c>
      <c r="D90" s="108" t="str">
        <f>VLOOKUP(B90,'Tabula RefULG 2'!$K$5:$R$83,4,0)</f>
        <v>Window</v>
      </c>
      <c r="E90" s="108">
        <f>VLOOKUP(B90,'Tabula RefULG 2'!$K$5:$R$83,5,0)</f>
        <v>4.55</v>
      </c>
      <c r="F90" s="108" t="str">
        <f>VLOOKUP(B90,'Tabula RefULG 2'!$K$5:$R$83,6,0)</f>
        <v>back</v>
      </c>
      <c r="G90" s="108">
        <f>VLOOKUP(B90,'Tabula RefULG 2'!$K$5:$R$83,7,0)</f>
        <v>2</v>
      </c>
      <c r="H90" s="109">
        <f>VLOOKUP(B90,'Tabula RefULG 2'!$K$5:$R$83,8,0)</f>
        <v>9.1</v>
      </c>
      <c r="I90" s="109">
        <v>1</v>
      </c>
      <c r="J90" s="99"/>
      <c r="K90" s="99"/>
      <c r="L90" s="99"/>
      <c r="M90" s="99"/>
      <c r="N90" s="99"/>
      <c r="O90" s="99"/>
      <c r="P90" s="97"/>
    </row>
    <row r="91" spans="1:16" ht="16.5" customHeight="1" thickTop="1" thickBot="1" x14ac:dyDescent="0.3">
      <c r="A91" s="96"/>
      <c r="B91" s="107" t="s">
        <v>92</v>
      </c>
      <c r="C91" s="108">
        <f>VLOOKUP(B91,'Tabula RefULG 2'!$K$5:$R$83,3,0)</f>
        <v>2</v>
      </c>
      <c r="D91" s="108" t="str">
        <f>VLOOKUP(B91,'Tabula RefULG 2'!$K$5:$R$83,4,0)</f>
        <v>Window</v>
      </c>
      <c r="E91" s="108">
        <f>VLOOKUP(B91,'Tabula RefULG 2'!$K$5:$R$83,5,0)</f>
        <v>3.7</v>
      </c>
      <c r="F91" s="108" t="str">
        <f>VLOOKUP(B91,'Tabula RefULG 2'!$K$5:$R$83,6,0)</f>
        <v>left</v>
      </c>
      <c r="G91" s="108">
        <f>VLOOKUP(B91,'Tabula RefULG 2'!$K$5:$R$83,7,0)</f>
        <v>2</v>
      </c>
      <c r="H91" s="109">
        <f>VLOOKUP(B91,'Tabula RefULG 2'!$K$5:$R$83,8,0)</f>
        <v>7.4</v>
      </c>
      <c r="I91" s="109">
        <v>1</v>
      </c>
      <c r="J91" s="99"/>
      <c r="K91" s="99"/>
      <c r="L91" s="99"/>
      <c r="M91" s="99"/>
      <c r="N91" s="99"/>
      <c r="O91" s="99"/>
      <c r="P91" s="97"/>
    </row>
    <row r="92" spans="1:16" ht="16.5" customHeight="1" thickTop="1" thickBot="1" x14ac:dyDescent="0.3">
      <c r="A92" s="96"/>
      <c r="B92" s="107" t="s">
        <v>96</v>
      </c>
      <c r="C92" s="108">
        <f>VLOOKUP(B92,'Tabula RefULG 2'!$K$5:$R$83,3,0)</f>
        <v>2</v>
      </c>
      <c r="D92" s="108" t="str">
        <f>VLOOKUP(B92,'Tabula RefULG 2'!$K$5:$R$83,4,0)</f>
        <v>Roof</v>
      </c>
      <c r="E92" s="108">
        <f>VLOOKUP(B92,'Tabula RefULG 2'!$K$5:$R$83,5,0)</f>
        <v>108.5</v>
      </c>
      <c r="F92" s="108" t="str">
        <f>VLOOKUP(B92,'Tabula RefULG 2'!$K$5:$R$83,6,0)</f>
        <v>front/back</v>
      </c>
      <c r="G92" s="108">
        <f>VLOOKUP(B92,'Tabula RefULG 2'!$K$5:$R$83,7,0)</f>
        <v>0.3127301569316186</v>
      </c>
      <c r="H92" s="109">
        <f>VLOOKUP(B92,'Tabula RefULG 2'!$K$5:$R$83,8,0)</f>
        <v>33.931222027080615</v>
      </c>
      <c r="I92" s="109">
        <v>1</v>
      </c>
      <c r="J92" s="99"/>
      <c r="K92" s="99"/>
      <c r="L92" s="99"/>
      <c r="M92" s="99"/>
      <c r="N92" s="99"/>
      <c r="O92" s="99"/>
      <c r="P92" s="97"/>
    </row>
    <row r="93" spans="1:16" ht="16.5" customHeight="1" thickTop="1" thickBot="1" x14ac:dyDescent="0.3">
      <c r="A93" s="96"/>
      <c r="B93" s="107"/>
      <c r="C93" s="108"/>
      <c r="D93" s="108"/>
      <c r="E93" s="108"/>
      <c r="F93" s="108"/>
      <c r="G93" s="108"/>
      <c r="H93" s="109"/>
      <c r="I93" s="109"/>
      <c r="J93" s="99"/>
      <c r="K93" s="99"/>
      <c r="L93" s="99"/>
      <c r="M93" s="99"/>
      <c r="N93" s="99"/>
      <c r="O93" s="99"/>
      <c r="P93" s="97"/>
    </row>
    <row r="94" spans="1:16" ht="16.5" customHeight="1" thickTop="1" thickBot="1" x14ac:dyDescent="0.3">
      <c r="A94" s="96"/>
      <c r="B94" s="107"/>
      <c r="C94" s="108"/>
      <c r="D94" s="108"/>
      <c r="E94" s="108"/>
      <c r="F94" s="108"/>
      <c r="G94" s="108"/>
      <c r="H94" s="109"/>
      <c r="I94" s="109"/>
      <c r="J94" s="99"/>
      <c r="K94" s="99"/>
      <c r="L94" s="99"/>
      <c r="M94" s="99"/>
      <c r="N94" s="99"/>
      <c r="O94" s="99"/>
      <c r="P94" s="97"/>
    </row>
    <row r="95" spans="1:16" ht="16.5" customHeight="1" thickTop="1" thickBot="1" x14ac:dyDescent="0.3">
      <c r="A95" s="96"/>
      <c r="B95" s="107"/>
      <c r="C95" s="108"/>
      <c r="D95" s="108"/>
      <c r="E95" s="108"/>
      <c r="F95" s="108"/>
      <c r="G95" s="108"/>
      <c r="H95" s="109"/>
      <c r="I95" s="109"/>
      <c r="J95" s="99"/>
      <c r="K95" s="99"/>
      <c r="L95" s="99"/>
      <c r="M95" s="99"/>
      <c r="N95" s="99"/>
      <c r="O95" s="99"/>
      <c r="P95" s="97"/>
    </row>
    <row r="96" spans="1:16" ht="15.75" customHeight="1" thickTop="1" x14ac:dyDescent="0.25">
      <c r="A96" s="96"/>
      <c r="B96" s="58"/>
      <c r="C96" s="58"/>
      <c r="D96" s="58"/>
      <c r="E96" s="58"/>
      <c r="F96" s="58"/>
      <c r="G96" s="115"/>
      <c r="H96" s="58"/>
      <c r="I96" s="58"/>
      <c r="J96" s="99"/>
      <c r="K96" s="99"/>
      <c r="L96" s="99"/>
      <c r="M96" s="99"/>
      <c r="N96" s="99"/>
      <c r="O96" s="99"/>
      <c r="P96" s="97"/>
    </row>
    <row r="97" spans="1:16" ht="15" customHeight="1" x14ac:dyDescent="0.25">
      <c r="A97" s="96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7"/>
    </row>
    <row r="98" spans="1:16" ht="15" customHeight="1" x14ac:dyDescent="0.25">
      <c r="A98" s="104" t="s">
        <v>180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7"/>
    </row>
    <row r="99" spans="1:16" ht="15.75" customHeight="1" x14ac:dyDescent="0.25">
      <c r="A99" s="96"/>
      <c r="B99" s="58" t="s">
        <v>10</v>
      </c>
      <c r="C99" s="58" t="s">
        <v>181</v>
      </c>
      <c r="D99" s="58" t="s">
        <v>175</v>
      </c>
      <c r="E99" s="58" t="s">
        <v>182</v>
      </c>
      <c r="F99" s="58" t="s">
        <v>16</v>
      </c>
      <c r="G99" s="115" t="s">
        <v>17</v>
      </c>
      <c r="H99" s="115" t="s">
        <v>178</v>
      </c>
      <c r="I99" s="58" t="s">
        <v>183</v>
      </c>
      <c r="J99" s="58" t="s">
        <v>184</v>
      </c>
      <c r="K99" s="58" t="s">
        <v>185</v>
      </c>
      <c r="L99" s="116" t="s">
        <v>186</v>
      </c>
      <c r="M99" s="116" t="s">
        <v>187</v>
      </c>
      <c r="N99" s="116" t="s">
        <v>188</v>
      </c>
      <c r="O99" s="99"/>
      <c r="P99" s="97"/>
    </row>
    <row r="100" spans="1:16" ht="18.75" customHeight="1" thickBot="1" x14ac:dyDescent="0.3">
      <c r="A100" s="96"/>
      <c r="B100" s="117"/>
      <c r="C100" s="118"/>
      <c r="D100" s="118"/>
      <c r="E100" s="118"/>
      <c r="F100" s="118"/>
      <c r="G100" s="119"/>
      <c r="H100" s="119"/>
      <c r="I100" s="118"/>
      <c r="J100" s="117"/>
      <c r="K100" s="117"/>
      <c r="L100" s="120"/>
      <c r="M100" s="120"/>
      <c r="N100" s="121"/>
      <c r="O100" s="99"/>
      <c r="P100" s="97"/>
    </row>
    <row r="101" spans="1:16" ht="18.75" customHeight="1" thickTop="1" thickBot="1" x14ac:dyDescent="0.3">
      <c r="A101" s="96"/>
      <c r="B101" s="117"/>
      <c r="C101" s="118"/>
      <c r="D101" s="118"/>
      <c r="E101" s="118"/>
      <c r="F101" s="118"/>
      <c r="G101" s="119"/>
      <c r="H101" s="119"/>
      <c r="I101" s="118"/>
      <c r="J101" s="117"/>
      <c r="K101" s="117"/>
      <c r="L101" s="120"/>
      <c r="M101" s="120"/>
      <c r="N101" s="121"/>
      <c r="O101" s="99"/>
      <c r="P101" s="97"/>
    </row>
    <row r="102" spans="1:16" ht="18.75" customHeight="1" thickTop="1" thickBot="1" x14ac:dyDescent="0.3">
      <c r="A102" s="96"/>
      <c r="B102" s="117"/>
      <c r="C102" s="118"/>
      <c r="D102" s="118"/>
      <c r="E102" s="118"/>
      <c r="F102" s="118"/>
      <c r="G102" s="119"/>
      <c r="H102" s="119"/>
      <c r="I102" s="118"/>
      <c r="J102" s="117"/>
      <c r="K102" s="117"/>
      <c r="L102" s="120"/>
      <c r="M102" s="120"/>
      <c r="N102" s="121"/>
      <c r="O102" s="99"/>
      <c r="P102" s="97"/>
    </row>
    <row r="103" spans="1:16" ht="18.75" customHeight="1" thickTop="1" thickBot="1" x14ac:dyDescent="0.3">
      <c r="A103" s="96"/>
      <c r="B103" s="117"/>
      <c r="C103" s="118"/>
      <c r="D103" s="118"/>
      <c r="E103" s="118"/>
      <c r="F103" s="118"/>
      <c r="G103" s="119"/>
      <c r="H103" s="119"/>
      <c r="I103" s="118"/>
      <c r="J103" s="117"/>
      <c r="K103" s="117"/>
      <c r="L103" s="120"/>
      <c r="M103" s="120"/>
      <c r="N103" s="121"/>
      <c r="O103" s="99"/>
      <c r="P103" s="97"/>
    </row>
    <row r="104" spans="1:16" ht="16.5" customHeight="1" thickTop="1" thickBot="1" x14ac:dyDescent="0.3">
      <c r="A104" s="139"/>
      <c r="B104" s="117"/>
      <c r="C104" s="118"/>
      <c r="D104" s="118"/>
      <c r="E104" s="118"/>
      <c r="F104" s="118"/>
      <c r="G104" s="119"/>
      <c r="H104" s="119"/>
      <c r="I104" s="118"/>
      <c r="J104" s="117"/>
      <c r="K104" s="117"/>
      <c r="L104" s="120"/>
      <c r="M104" s="120"/>
      <c r="N104" s="121"/>
      <c r="O104" s="99"/>
      <c r="P104" s="97"/>
    </row>
    <row r="105" spans="1:16" ht="15.75" customHeight="1" thickTop="1" x14ac:dyDescent="0.25">
      <c r="A105" s="96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7"/>
    </row>
    <row r="106" spans="1:16" ht="15" customHeight="1" x14ac:dyDescent="0.25">
      <c r="A106" s="104" t="s">
        <v>189</v>
      </c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7"/>
    </row>
    <row r="107" spans="1:16" ht="15.75" customHeight="1" thickBot="1" x14ac:dyDescent="0.3">
      <c r="A107" s="96"/>
      <c r="B107" s="58" t="s">
        <v>10</v>
      </c>
      <c r="C107" s="58" t="s">
        <v>190</v>
      </c>
      <c r="D107" s="58" t="s">
        <v>191</v>
      </c>
      <c r="E107" s="58" t="s">
        <v>135</v>
      </c>
      <c r="F107" s="58" t="s">
        <v>192</v>
      </c>
      <c r="G107" s="58" t="s">
        <v>193</v>
      </c>
      <c r="H107" s="58" t="s">
        <v>194</v>
      </c>
      <c r="I107" s="58" t="s">
        <v>16</v>
      </c>
      <c r="J107" s="115" t="s">
        <v>17</v>
      </c>
      <c r="K107" s="115" t="s">
        <v>178</v>
      </c>
      <c r="L107" s="99"/>
      <c r="M107" s="99"/>
      <c r="N107" s="99"/>
      <c r="O107" s="99"/>
      <c r="P107" s="97"/>
    </row>
    <row r="108" spans="1:16" ht="16.5" customHeight="1" thickTop="1" thickBot="1" x14ac:dyDescent="0.3">
      <c r="A108" s="96"/>
      <c r="B108" s="122" t="s">
        <v>98</v>
      </c>
      <c r="C108" s="123">
        <f>IF(VLOOKUP(B108,'Tabula RefULG 2'!$K$5:$R$83,2,0)=$B$78,VLOOKUP(B108,'Tabula RefULG 2'!$K$5:$R$83,2,0),VLOOKUP(B108,'Tabula RefULG 2'!$K$5:$R$83,3,0))</f>
        <v>2</v>
      </c>
      <c r="D108" s="123">
        <f>IF(VLOOKUP(B108,'Tabula RefULG 2'!$K$5:$R$83,2,0)=$B$78,VLOOKUP(B108,'Tabula RefULG 2'!$K$5:$R$83,3,0),VLOOKUP(B108,'Tabula RefULG 2'!$K$5:$R$83,2,0))</f>
        <v>1</v>
      </c>
      <c r="E108" s="123" t="str">
        <f>VLOOKUP(B108,'Tabula RefULG 2'!$K$5:$R$83,4,0)</f>
        <v>Floor internal</v>
      </c>
      <c r="F108" s="123">
        <f>VLOOKUP(B108,'Tabula RefULG 2'!$K$5:$R$83,5,0)</f>
        <v>89.300000000000011</v>
      </c>
      <c r="G108" s="123">
        <f>VLOOKUP('Verwarming Tabula 2zone RefULG2'!C108,'Tabula RefULG 2'!$A$34:$F$45,5,0)</f>
        <v>16</v>
      </c>
      <c r="H108" s="123">
        <f>VLOOKUP('Verwarming Tabula 2zone RefULG2'!D108,'Tabula RefULG 2'!$A$34:$F$45,5,0)</f>
        <v>21</v>
      </c>
      <c r="I108" s="123">
        <f>VLOOKUP(B108,'Tabula RefULG 2'!$K$5:$R$83,7,0)</f>
        <v>1.0668924640135478</v>
      </c>
      <c r="J108" s="119">
        <f>VLOOKUP(B108,'Tabula RefULG 2'!$K$5:$R$83,8,0)</f>
        <v>95.273497036409822</v>
      </c>
      <c r="K108" s="119">
        <f>(G108-H108)/(G108-$B$4)</f>
        <v>-0.20833333333333334</v>
      </c>
      <c r="L108" s="99"/>
      <c r="M108" s="99"/>
      <c r="N108" s="99"/>
      <c r="O108" s="99"/>
      <c r="P108" s="97"/>
    </row>
    <row r="109" spans="1:16" ht="16.5" customHeight="1" thickTop="1" thickBot="1" x14ac:dyDescent="0.3">
      <c r="A109" s="96"/>
      <c r="B109" s="122" t="s">
        <v>102</v>
      </c>
      <c r="C109" s="123">
        <f>IF(VLOOKUP(B109,'Tabula RefULG 2'!$K$5:$R$83,2,0)=$B$78,VLOOKUP(B109,'Tabula RefULG 2'!$K$5:$R$83,2,0),VLOOKUP(B109,'Tabula RefULG 2'!$K$5:$R$83,3,0))</f>
        <v>2</v>
      </c>
      <c r="D109" s="123">
        <f>IF(VLOOKUP(B109,'Tabula RefULG 2'!$K$5:$R$83,2,0)=$B$78,VLOOKUP(B109,'Tabula RefULG 2'!$K$5:$R$83,3,0),VLOOKUP(B109,'Tabula RefULG 2'!$K$5:$R$83,2,0))</f>
        <v>2</v>
      </c>
      <c r="E109" s="123" t="str">
        <f>VLOOKUP(B109,'Tabula RefULG 2'!$K$5:$R$83,4,0)</f>
        <v>Wall internal</v>
      </c>
      <c r="F109" s="123">
        <f>VLOOKUP(B109,'Tabula RefULG 2'!$K$5:$R$83,5,0)</f>
        <v>69.011117107393432</v>
      </c>
      <c r="G109" s="123">
        <f>VLOOKUP('Verwarming Tabula 2zone RefULG2'!C109,'Tabula RefULG 2'!$A$34:$F$45,5,0)</f>
        <v>16</v>
      </c>
      <c r="H109" s="123">
        <f>VLOOKUP('Verwarming Tabula 2zone RefULG2'!D109,'Tabula RefULG 2'!$A$34:$F$45,5,0)</f>
        <v>16</v>
      </c>
      <c r="I109" s="123">
        <f>VLOOKUP(B109,'Tabula RefULG 2'!$K$5:$R$83,7,0)</f>
        <v>1.210762331838565</v>
      </c>
      <c r="J109" s="119">
        <f>VLOOKUP(B109,'Tabula RefULG 2'!$K$5:$R$83,8,0)</f>
        <v>83.556061071731961</v>
      </c>
      <c r="K109" s="119">
        <f>(G109-H109)/(G109-$B$4)</f>
        <v>0</v>
      </c>
      <c r="L109" s="99"/>
      <c r="M109" s="99"/>
      <c r="N109" s="99"/>
      <c r="O109" s="99"/>
      <c r="P109" s="97"/>
    </row>
    <row r="110" spans="1:16" ht="16.5" customHeight="1" thickTop="1" thickBot="1" x14ac:dyDescent="0.3">
      <c r="A110" s="96"/>
      <c r="B110" s="122"/>
      <c r="C110" s="123"/>
      <c r="D110" s="123"/>
      <c r="E110" s="123"/>
      <c r="F110" s="123"/>
      <c r="G110" s="123"/>
      <c r="H110" s="123"/>
      <c r="I110" s="123"/>
      <c r="J110" s="119"/>
      <c r="K110" s="119"/>
      <c r="L110" s="99"/>
      <c r="M110" s="99"/>
      <c r="N110" s="99"/>
      <c r="O110" s="99"/>
      <c r="P110" s="97"/>
    </row>
    <row r="111" spans="1:16" ht="16.5" customHeight="1" thickTop="1" thickBot="1" x14ac:dyDescent="0.3">
      <c r="A111" s="96"/>
      <c r="B111" s="93"/>
      <c r="C111" s="123"/>
      <c r="D111" s="123"/>
      <c r="E111" s="123"/>
      <c r="F111" s="123"/>
      <c r="G111" s="123"/>
      <c r="H111" s="123"/>
      <c r="I111" s="123"/>
      <c r="J111" s="119"/>
      <c r="K111" s="119"/>
      <c r="L111" s="99"/>
      <c r="M111" s="99"/>
      <c r="N111" s="99"/>
      <c r="O111" s="99"/>
      <c r="P111" s="97"/>
    </row>
    <row r="112" spans="1:16" ht="16.5" customHeight="1" thickTop="1" thickBot="1" x14ac:dyDescent="0.3">
      <c r="A112" s="96"/>
      <c r="B112" s="124"/>
      <c r="C112" s="140"/>
      <c r="D112" s="123"/>
      <c r="E112" s="123"/>
      <c r="F112" s="123"/>
      <c r="G112" s="123"/>
      <c r="H112" s="123"/>
      <c r="I112" s="123"/>
      <c r="J112" s="119"/>
      <c r="K112" s="119"/>
      <c r="L112" s="99"/>
      <c r="M112" s="99"/>
      <c r="N112" s="99"/>
      <c r="O112" s="99"/>
      <c r="P112" s="97"/>
    </row>
    <row r="113" spans="1:16" ht="16.5" customHeight="1" thickTop="1" thickBot="1" x14ac:dyDescent="0.3">
      <c r="A113" s="96"/>
      <c r="B113" s="124"/>
      <c r="C113" s="140"/>
      <c r="D113" s="123"/>
      <c r="E113" s="123"/>
      <c r="F113" s="123"/>
      <c r="G113" s="123"/>
      <c r="H113" s="123"/>
      <c r="I113" s="123"/>
      <c r="J113" s="119"/>
      <c r="K113" s="119"/>
      <c r="L113" s="99"/>
      <c r="M113" s="99"/>
      <c r="N113" s="99"/>
      <c r="O113" s="99"/>
      <c r="P113" s="97"/>
    </row>
    <row r="114" spans="1:16" ht="16.5" customHeight="1" thickTop="1" thickBot="1" x14ac:dyDescent="0.3">
      <c r="A114" s="96"/>
      <c r="B114" s="124"/>
      <c r="C114" s="140"/>
      <c r="D114" s="123"/>
      <c r="E114" s="123"/>
      <c r="F114" s="123"/>
      <c r="G114" s="123"/>
      <c r="H114" s="123"/>
      <c r="I114" s="123"/>
      <c r="J114" s="119"/>
      <c r="K114" s="119"/>
      <c r="L114" s="99"/>
      <c r="M114" s="99"/>
      <c r="N114" s="99"/>
      <c r="O114" s="99"/>
      <c r="P114" s="97"/>
    </row>
    <row r="115" spans="1:16" ht="16.5" customHeight="1" thickTop="1" thickBot="1" x14ac:dyDescent="0.3">
      <c r="A115" s="96"/>
      <c r="B115" s="124"/>
      <c r="C115" s="140"/>
      <c r="D115" s="123"/>
      <c r="E115" s="123"/>
      <c r="F115" s="123"/>
      <c r="G115" s="123"/>
      <c r="H115" s="123"/>
      <c r="I115" s="123"/>
      <c r="J115" s="119"/>
      <c r="K115" s="119"/>
      <c r="L115" s="99"/>
      <c r="M115" s="99"/>
      <c r="N115" s="99"/>
      <c r="O115" s="99"/>
      <c r="P115" s="97"/>
    </row>
    <row r="116" spans="1:16" ht="16.5" customHeight="1" thickTop="1" thickBot="1" x14ac:dyDescent="0.3">
      <c r="A116" s="96"/>
      <c r="B116" s="124"/>
      <c r="C116" s="140"/>
      <c r="D116" s="123"/>
      <c r="E116" s="123"/>
      <c r="F116" s="123"/>
      <c r="G116" s="123"/>
      <c r="H116" s="123"/>
      <c r="I116" s="123"/>
      <c r="J116" s="119"/>
      <c r="K116" s="119"/>
      <c r="L116" s="99"/>
      <c r="M116" s="99"/>
      <c r="N116" s="99"/>
      <c r="O116" s="99"/>
      <c r="P116" s="97"/>
    </row>
    <row r="117" spans="1:16" ht="16.5" customHeight="1" thickTop="1" thickBot="1" x14ac:dyDescent="0.3">
      <c r="A117" s="96"/>
      <c r="B117" s="124"/>
      <c r="C117" s="140"/>
      <c r="D117" s="123"/>
      <c r="E117" s="123"/>
      <c r="F117" s="123"/>
      <c r="G117" s="123"/>
      <c r="H117" s="123"/>
      <c r="I117" s="123"/>
      <c r="J117" s="119"/>
      <c r="K117" s="119"/>
      <c r="L117" s="99"/>
      <c r="M117" s="99"/>
      <c r="N117" s="99"/>
      <c r="O117" s="99"/>
      <c r="P117" s="97"/>
    </row>
    <row r="118" spans="1:16" ht="15.75" customHeight="1" thickTop="1" x14ac:dyDescent="0.25">
      <c r="A118" s="96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9"/>
      <c r="M118" s="99"/>
      <c r="N118" s="99"/>
      <c r="O118" s="99"/>
      <c r="P118" s="97"/>
    </row>
    <row r="119" spans="1:16" ht="15" customHeight="1" x14ac:dyDescent="0.25">
      <c r="A119" s="96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7"/>
    </row>
    <row r="120" spans="1:16" ht="15.75" customHeight="1" x14ac:dyDescent="0.25">
      <c r="A120" s="104" t="s">
        <v>195</v>
      </c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7"/>
    </row>
    <row r="121" spans="1:16" ht="16.5" customHeight="1" x14ac:dyDescent="0.25">
      <c r="A121" s="125" t="s">
        <v>196</v>
      </c>
      <c r="B121" s="119">
        <f>SUMPRODUCT(H84:H95,I84:I95)+SUMPRODUCT(G100:G104,H100:H104)+SUMPRODUCT(J108:J117,K108:K117)</f>
        <v>68.248201451678455</v>
      </c>
      <c r="C121" s="119" t="s">
        <v>107</v>
      </c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7"/>
    </row>
    <row r="122" spans="1:16" ht="16.5" customHeight="1" x14ac:dyDescent="0.25">
      <c r="A122" s="125" t="s">
        <v>170</v>
      </c>
      <c r="B122" s="119">
        <f>B121*(G109-$B$4)</f>
        <v>1637.9568348402829</v>
      </c>
      <c r="C122" s="119" t="s">
        <v>172</v>
      </c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7"/>
    </row>
    <row r="123" spans="1:16" ht="15.75" customHeight="1" thickBot="1" x14ac:dyDescent="0.3">
      <c r="A123" s="110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2"/>
    </row>
    <row r="124" spans="1:16" ht="15.75" customHeight="1" thickTop="1" x14ac:dyDescent="0.25">
      <c r="A124" s="312" t="s">
        <v>197</v>
      </c>
      <c r="B124" s="312"/>
      <c r="C124" s="312"/>
      <c r="D124" s="126" t="s">
        <v>225</v>
      </c>
      <c r="E124" s="289"/>
      <c r="F124" s="289"/>
      <c r="G124" s="289"/>
      <c r="H124" s="289"/>
      <c r="I124" s="289"/>
      <c r="J124" s="289"/>
      <c r="K124" s="289"/>
      <c r="L124" s="289"/>
      <c r="M124" s="289"/>
      <c r="N124" s="289"/>
      <c r="O124" s="289"/>
      <c r="P124" s="95"/>
    </row>
    <row r="125" spans="1:16" ht="15" customHeight="1" x14ac:dyDescent="0.25">
      <c r="A125" s="96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7"/>
    </row>
    <row r="126" spans="1:16" ht="15" customHeight="1" thickBot="1" x14ac:dyDescent="0.3">
      <c r="A126" s="127" t="s">
        <v>198</v>
      </c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7"/>
    </row>
    <row r="127" spans="1:16" ht="15" customHeight="1" thickTop="1" thickBot="1" x14ac:dyDescent="0.3">
      <c r="A127" s="128" t="s">
        <v>199</v>
      </c>
      <c r="B127" s="122">
        <f>'Tabula data'!E34</f>
        <v>4.5871271585557301</v>
      </c>
      <c r="C127" s="121" t="s">
        <v>200</v>
      </c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7"/>
    </row>
    <row r="128" spans="1:16" ht="15" customHeight="1" thickTop="1" thickBot="1" x14ac:dyDescent="0.3">
      <c r="A128" s="128" t="s">
        <v>201</v>
      </c>
      <c r="B128" s="122">
        <v>0.03</v>
      </c>
      <c r="C128" s="121" t="s">
        <v>202</v>
      </c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7"/>
    </row>
    <row r="129" spans="1:16" ht="15.75" customHeight="1" thickTop="1" thickBot="1" x14ac:dyDescent="0.3">
      <c r="A129" s="128" t="s">
        <v>203</v>
      </c>
      <c r="B129" s="122">
        <v>1</v>
      </c>
      <c r="C129" s="121" t="s">
        <v>204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7"/>
    </row>
    <row r="130" spans="1:16" ht="16.5" customHeight="1" thickTop="1" x14ac:dyDescent="0.25">
      <c r="A130" s="125" t="s">
        <v>205</v>
      </c>
      <c r="B130" s="119">
        <f>2*VLOOKUP(B78,'Tabula RefULG 2'!$A$34:$F$45,2,0)*B127*B128*B129</f>
        <v>47.779516483516488</v>
      </c>
      <c r="C130" s="119" t="s">
        <v>206</v>
      </c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7"/>
    </row>
    <row r="131" spans="1:16" ht="15.75" customHeight="1" x14ac:dyDescent="0.25">
      <c r="A131" s="96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7"/>
    </row>
    <row r="132" spans="1:16" ht="15" customHeight="1" x14ac:dyDescent="0.25">
      <c r="A132" s="127" t="s">
        <v>207</v>
      </c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7"/>
    </row>
    <row r="133" spans="1:16" ht="15.75" customHeight="1" x14ac:dyDescent="0.25">
      <c r="A133" s="96" t="s">
        <v>183</v>
      </c>
      <c r="B133" s="99">
        <f>'Tabula RefULG 2'!G35</f>
        <v>89.300000000000011</v>
      </c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7"/>
    </row>
    <row r="134" spans="1:16" ht="16.5" customHeight="1" x14ac:dyDescent="0.25">
      <c r="A134" s="125" t="s">
        <v>208</v>
      </c>
      <c r="B134" s="129"/>
      <c r="C134" s="119" t="s">
        <v>206</v>
      </c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7"/>
    </row>
    <row r="135" spans="1:16" ht="15.75" customHeight="1" x14ac:dyDescent="0.25">
      <c r="A135" s="96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7"/>
    </row>
    <row r="136" spans="1:16" ht="15.75" customHeight="1" x14ac:dyDescent="0.25">
      <c r="A136" s="96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7"/>
    </row>
    <row r="137" spans="1:16" ht="16.5" customHeight="1" x14ac:dyDescent="0.25">
      <c r="A137" s="125" t="s">
        <v>210</v>
      </c>
      <c r="B137" s="119">
        <f>SUM(B130,B134)</f>
        <v>47.779516483516488</v>
      </c>
      <c r="C137" s="119" t="s">
        <v>206</v>
      </c>
      <c r="D137" s="99"/>
      <c r="E137" s="99"/>
      <c r="F137" s="119" t="s">
        <v>211</v>
      </c>
      <c r="G137" s="119">
        <f>B137/VLOOKUP(B78,'Gebouwgegevens Allacker'!$A$35:$B$46,2,0)</f>
        <v>0.29958063605736157</v>
      </c>
      <c r="H137" s="99"/>
      <c r="I137" s="99"/>
      <c r="J137" s="99"/>
      <c r="K137" s="99"/>
      <c r="L137" s="99"/>
      <c r="M137" s="99"/>
      <c r="N137" s="99"/>
      <c r="O137" s="99"/>
      <c r="P137" s="97"/>
    </row>
    <row r="138" spans="1:16" ht="16.5" customHeight="1" x14ac:dyDescent="0.25">
      <c r="A138" s="96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7"/>
    </row>
    <row r="139" spans="1:16" ht="16.5" customHeight="1" x14ac:dyDescent="0.25">
      <c r="A139" s="125" t="s">
        <v>212</v>
      </c>
      <c r="B139" s="119">
        <f>0.34*(B137+B130)</f>
        <v>32.490071208791214</v>
      </c>
      <c r="C139" s="119" t="s">
        <v>107</v>
      </c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7"/>
    </row>
    <row r="140" spans="1:16" ht="16.5" customHeight="1" x14ac:dyDescent="0.25">
      <c r="A140" s="125" t="s">
        <v>170</v>
      </c>
      <c r="B140" s="119">
        <f>B139*(G109-$B$4)</f>
        <v>779.76170901098908</v>
      </c>
      <c r="C140" s="119" t="s">
        <v>172</v>
      </c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7"/>
    </row>
    <row r="141" spans="1:16" ht="15.75" customHeight="1" thickBot="1" x14ac:dyDescent="0.3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2"/>
    </row>
    <row r="142" spans="1:16" ht="15.75" customHeight="1" thickTop="1" x14ac:dyDescent="0.25">
      <c r="A142" s="312" t="s">
        <v>213</v>
      </c>
      <c r="B142" s="312"/>
      <c r="C142" s="312"/>
      <c r="D142" s="312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7"/>
    </row>
    <row r="143" spans="1:16" ht="15" customHeight="1" thickBot="1" x14ac:dyDescent="0.3">
      <c r="A143" s="96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7"/>
    </row>
    <row r="144" spans="1:16" ht="15" customHeight="1" thickTop="1" thickBot="1" x14ac:dyDescent="0.3">
      <c r="A144" s="128" t="s">
        <v>214</v>
      </c>
      <c r="B144" s="122">
        <v>11</v>
      </c>
      <c r="C144" s="58" t="s">
        <v>215</v>
      </c>
      <c r="D144" s="58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7"/>
    </row>
    <row r="145" spans="1:16" ht="15.75" customHeight="1" thickTop="1" thickBot="1" x14ac:dyDescent="0.3">
      <c r="A145" s="128" t="s">
        <v>113</v>
      </c>
      <c r="B145" s="122">
        <f>B133</f>
        <v>89.300000000000011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7"/>
    </row>
    <row r="146" spans="1:16" ht="16.5" customHeight="1" thickTop="1" x14ac:dyDescent="0.25">
      <c r="A146" s="125" t="s">
        <v>216</v>
      </c>
      <c r="B146" s="119">
        <f>B147/('Gebouwgegevens Allacker'!E100-'Verwarming Tabula 2zone RefULG2'!$B$4)</f>
        <v>122.78750000000002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7"/>
    </row>
    <row r="147" spans="1:16" ht="16.5" customHeight="1" x14ac:dyDescent="0.25">
      <c r="A147" s="125" t="s">
        <v>170</v>
      </c>
      <c r="B147" s="119">
        <f>B144*B145</f>
        <v>982.30000000000018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7"/>
    </row>
    <row r="148" spans="1:16" ht="15.75" customHeight="1" x14ac:dyDescent="0.25">
      <c r="A148" s="96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7"/>
    </row>
    <row r="149" spans="1:16" ht="15.75" customHeight="1" thickBot="1" x14ac:dyDescent="0.3">
      <c r="A149" s="96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7"/>
    </row>
    <row r="150" spans="1:16" ht="15.75" customHeight="1" thickTop="1" thickBot="1" x14ac:dyDescent="0.3">
      <c r="A150" s="130" t="s">
        <v>217</v>
      </c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2"/>
    </row>
    <row r="151" spans="1:16" ht="16.5" customHeight="1" thickTop="1" x14ac:dyDescent="0.25">
      <c r="A151" s="125" t="s">
        <v>218</v>
      </c>
      <c r="B151" s="119">
        <f>SUM(B121,B139,B146)</f>
        <v>223.5257726604697</v>
      </c>
      <c r="C151" s="119" t="s">
        <v>107</v>
      </c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</row>
    <row r="152" spans="1:16" ht="16.5" customHeight="1" x14ac:dyDescent="0.25">
      <c r="A152" s="125" t="s">
        <v>170</v>
      </c>
      <c r="B152" s="119">
        <f>SUM(B122,B140,B147)</f>
        <v>3400.0185438512722</v>
      </c>
      <c r="C152" s="119" t="s">
        <v>172</v>
      </c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4"/>
    </row>
    <row r="153" spans="1:16" ht="16.5" customHeight="1" thickBot="1" x14ac:dyDescent="0.3">
      <c r="A153" s="135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7"/>
    </row>
    <row r="154" spans="1:16" ht="15" customHeight="1" thickTop="1" x14ac:dyDescent="0.25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38"/>
      <c r="P154" s="138"/>
    </row>
    <row r="155" spans="1:16" ht="15" customHeight="1" x14ac:dyDescent="0.2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</row>
    <row r="156" spans="1:16" ht="15.75" customHeight="1" thickBot="1" x14ac:dyDescent="0.3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</row>
    <row r="157" spans="1:16" ht="15" customHeight="1" thickTop="1" thickBot="1" x14ac:dyDescent="0.3">
      <c r="A157" s="94"/>
      <c r="B157" s="289"/>
      <c r="C157" s="289"/>
      <c r="D157" s="289"/>
      <c r="E157" s="289"/>
      <c r="F157" s="289"/>
      <c r="G157" s="289"/>
      <c r="H157" s="289"/>
      <c r="I157" s="289"/>
      <c r="J157" s="289"/>
      <c r="K157" s="289"/>
      <c r="L157" s="289"/>
      <c r="M157" s="289"/>
      <c r="N157" s="289"/>
      <c r="O157" s="289"/>
      <c r="P157" s="95"/>
    </row>
    <row r="158" spans="1:16" ht="17.25" customHeight="1" thickTop="1" thickBot="1" x14ac:dyDescent="0.35">
      <c r="A158" s="98" t="s">
        <v>169</v>
      </c>
      <c r="B158" s="93">
        <v>3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7"/>
    </row>
    <row r="159" spans="1:16" ht="15.75" customHeight="1" thickTop="1" x14ac:dyDescent="0.25">
      <c r="A159" s="312" t="s">
        <v>171</v>
      </c>
      <c r="B159" s="312"/>
      <c r="C159" s="312"/>
      <c r="D159" s="312"/>
      <c r="E159" s="289"/>
      <c r="F159" s="289"/>
      <c r="G159" s="289"/>
      <c r="H159" s="289"/>
      <c r="I159" s="289"/>
      <c r="J159" s="289"/>
      <c r="K159" s="289"/>
      <c r="L159" s="289"/>
      <c r="M159" s="289"/>
      <c r="N159" s="289"/>
      <c r="O159" s="289"/>
      <c r="P159" s="95"/>
    </row>
    <row r="160" spans="1:16" ht="15" customHeight="1" x14ac:dyDescent="0.25">
      <c r="A160" s="96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7"/>
    </row>
    <row r="161" spans="1:16" ht="15" customHeight="1" x14ac:dyDescent="0.25">
      <c r="A161" s="104" t="s">
        <v>173</v>
      </c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7"/>
    </row>
    <row r="162" spans="1:16" ht="15" customHeight="1" x14ac:dyDescent="0.25">
      <c r="A162" s="96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7"/>
    </row>
    <row r="163" spans="1:16" ht="15.75" customHeight="1" thickBot="1" x14ac:dyDescent="0.3">
      <c r="A163" s="96"/>
      <c r="B163" s="105" t="s">
        <v>10</v>
      </c>
      <c r="C163" s="105" t="s">
        <v>174</v>
      </c>
      <c r="D163" s="105" t="s">
        <v>175</v>
      </c>
      <c r="E163" s="105" t="s">
        <v>176</v>
      </c>
      <c r="F163" s="105" t="s">
        <v>177</v>
      </c>
      <c r="G163" s="105" t="s">
        <v>16</v>
      </c>
      <c r="H163" s="106" t="s">
        <v>17</v>
      </c>
      <c r="I163" s="106" t="s">
        <v>178</v>
      </c>
      <c r="J163" s="99"/>
      <c r="K163" s="99"/>
      <c r="L163" s="99"/>
      <c r="M163" s="99"/>
      <c r="N163" s="99"/>
      <c r="O163" s="99"/>
      <c r="P163" s="97"/>
    </row>
    <row r="164" spans="1:16" ht="16.5" customHeight="1" thickTop="1" thickBot="1" x14ac:dyDescent="0.3">
      <c r="A164" s="96"/>
      <c r="B164" s="107" t="s">
        <v>66</v>
      </c>
      <c r="C164" s="108">
        <f>VLOOKUP(B164,'Gebouwgegevens Allacker'!$J$5:$Q$83,3,0)</f>
        <v>1</v>
      </c>
      <c r="D164" s="108" t="str">
        <f>VLOOKUP(B164,'Gebouwgegevens Allacker'!$J$5:$Q$83,4,0)</f>
        <v>Roof</v>
      </c>
      <c r="E164" s="108">
        <f>VLOOKUP(B164,'Gebouwgegevens Allacker'!$J$5:$Q$83,5,0)</f>
        <v>29</v>
      </c>
      <c r="F164" s="108">
        <f>VLOOKUP(B164,'Gebouwgegevens Allacker'!$J$5:$Q$83,6,0)</f>
        <v>0</v>
      </c>
      <c r="G164" s="108">
        <f>VLOOKUP(B164,'Gebouwgegevens Allacker'!$J$5:$Q$83,7,0)</f>
        <v>1.6975498473547073</v>
      </c>
      <c r="H164" s="109">
        <f>VLOOKUP(B164,'Gebouwgegevens Allacker'!$J$5:$Q$83,8,0)</f>
        <v>49.228945573286509</v>
      </c>
      <c r="I164" s="109">
        <v>1</v>
      </c>
      <c r="J164" s="99"/>
      <c r="K164" s="99"/>
      <c r="L164" s="99"/>
      <c r="M164" s="99"/>
      <c r="N164" s="99"/>
      <c r="O164" s="99"/>
      <c r="P164" s="97"/>
    </row>
    <row r="165" spans="1:16" ht="16.5" customHeight="1" thickTop="1" thickBot="1" x14ac:dyDescent="0.3">
      <c r="A165" s="96"/>
      <c r="B165" s="107" t="s">
        <v>67</v>
      </c>
      <c r="C165" s="108">
        <f>VLOOKUP(B165,'Gebouwgegevens Allacker'!$J$5:$Q$83,3,0)</f>
        <v>1</v>
      </c>
      <c r="D165" s="108" t="str">
        <f>VLOOKUP(B165,'Gebouwgegevens Allacker'!$J$5:$Q$83,4,0)</f>
        <v>Door</v>
      </c>
      <c r="E165" s="108">
        <f>VLOOKUP(B165,'Gebouwgegevens Allacker'!$J$5:$Q$83,5,0)</f>
        <v>7.5</v>
      </c>
      <c r="F165" s="108">
        <f>VLOOKUP(B165,'Gebouwgegevens Allacker'!$J$5:$Q$83,6,0)</f>
        <v>0</v>
      </c>
      <c r="G165" s="108">
        <f>VLOOKUP(B165,'Gebouwgegevens Allacker'!$J$5:$Q$83,7,0)</f>
        <v>4</v>
      </c>
      <c r="H165" s="109">
        <f>VLOOKUP(B165,'Gebouwgegevens Allacker'!$J$5:$Q$83,8,0)</f>
        <v>30</v>
      </c>
      <c r="I165" s="109">
        <v>1</v>
      </c>
      <c r="J165" s="99"/>
      <c r="K165" s="99"/>
      <c r="L165" s="99"/>
      <c r="M165" s="99"/>
      <c r="N165" s="99"/>
      <c r="O165" s="99"/>
      <c r="P165" s="97"/>
    </row>
    <row r="166" spans="1:16" ht="16.5" customHeight="1" thickTop="1" thickBot="1" x14ac:dyDescent="0.3">
      <c r="A166" s="96"/>
      <c r="B166" s="107"/>
      <c r="C166" s="108"/>
      <c r="D166" s="108"/>
      <c r="E166" s="108"/>
      <c r="F166" s="108"/>
      <c r="G166" s="108"/>
      <c r="H166" s="109"/>
      <c r="I166" s="109"/>
      <c r="J166" s="99"/>
      <c r="K166" s="99"/>
      <c r="L166" s="99"/>
      <c r="M166" s="99"/>
      <c r="N166" s="99"/>
      <c r="O166" s="99"/>
      <c r="P166" s="97"/>
    </row>
    <row r="167" spans="1:16" ht="16.5" customHeight="1" thickTop="1" thickBot="1" x14ac:dyDescent="0.3">
      <c r="A167" s="96"/>
      <c r="B167" s="107"/>
      <c r="C167" s="108"/>
      <c r="D167" s="108"/>
      <c r="E167" s="108"/>
      <c r="F167" s="108"/>
      <c r="G167" s="108"/>
      <c r="H167" s="109"/>
      <c r="I167" s="109"/>
      <c r="J167" s="99"/>
      <c r="K167" s="99"/>
      <c r="L167" s="99"/>
      <c r="M167" s="99"/>
      <c r="N167" s="99"/>
      <c r="O167" s="99"/>
      <c r="P167" s="97"/>
    </row>
    <row r="168" spans="1:16" ht="16.5" customHeight="1" thickTop="1" thickBot="1" x14ac:dyDescent="0.3">
      <c r="A168" s="96"/>
      <c r="B168" s="107"/>
      <c r="C168" s="108"/>
      <c r="D168" s="108"/>
      <c r="E168" s="108"/>
      <c r="F168" s="108"/>
      <c r="G168" s="108"/>
      <c r="H168" s="109"/>
      <c r="I168" s="109"/>
      <c r="J168" s="99"/>
      <c r="K168" s="99"/>
      <c r="L168" s="99"/>
      <c r="M168" s="99"/>
      <c r="N168" s="99"/>
      <c r="O168" s="99"/>
      <c r="P168" s="97"/>
    </row>
    <row r="169" spans="1:16" ht="16.5" customHeight="1" thickTop="1" thickBot="1" x14ac:dyDescent="0.3">
      <c r="A169" s="96"/>
      <c r="B169" s="107"/>
      <c r="C169" s="108"/>
      <c r="D169" s="108"/>
      <c r="E169" s="108"/>
      <c r="F169" s="108"/>
      <c r="G169" s="108"/>
      <c r="H169" s="109"/>
      <c r="I169" s="109"/>
      <c r="J169" s="99"/>
      <c r="K169" s="99"/>
      <c r="L169" s="99"/>
      <c r="M169" s="99"/>
      <c r="N169" s="99"/>
      <c r="O169" s="99"/>
      <c r="P169" s="97"/>
    </row>
    <row r="170" spans="1:16" ht="16.5" customHeight="1" thickTop="1" thickBot="1" x14ac:dyDescent="0.3">
      <c r="A170" s="96"/>
      <c r="B170" s="107"/>
      <c r="C170" s="108"/>
      <c r="D170" s="108"/>
      <c r="E170" s="108"/>
      <c r="F170" s="108"/>
      <c r="G170" s="108"/>
      <c r="H170" s="109"/>
      <c r="I170" s="109"/>
      <c r="J170" s="99"/>
      <c r="K170" s="99"/>
      <c r="L170" s="99"/>
      <c r="M170" s="99"/>
      <c r="N170" s="99"/>
      <c r="O170" s="99"/>
      <c r="P170" s="97"/>
    </row>
    <row r="171" spans="1:16" ht="16.5" customHeight="1" thickTop="1" thickBot="1" x14ac:dyDescent="0.3">
      <c r="A171" s="96"/>
      <c r="B171" s="107"/>
      <c r="C171" s="108"/>
      <c r="D171" s="108"/>
      <c r="E171" s="108"/>
      <c r="F171" s="108"/>
      <c r="G171" s="108"/>
      <c r="H171" s="109"/>
      <c r="I171" s="109"/>
      <c r="J171" s="99"/>
      <c r="K171" s="99"/>
      <c r="L171" s="99"/>
      <c r="M171" s="99"/>
      <c r="N171" s="99"/>
      <c r="O171" s="99"/>
      <c r="P171" s="97"/>
    </row>
    <row r="172" spans="1:16" ht="16.5" customHeight="1" thickTop="1" thickBot="1" x14ac:dyDescent="0.3">
      <c r="A172" s="96"/>
      <c r="B172" s="107"/>
      <c r="C172" s="108"/>
      <c r="D172" s="108"/>
      <c r="E172" s="108"/>
      <c r="F172" s="108"/>
      <c r="G172" s="108"/>
      <c r="H172" s="109"/>
      <c r="I172" s="109"/>
      <c r="J172" s="99"/>
      <c r="K172" s="99"/>
      <c r="L172" s="99"/>
      <c r="M172" s="99"/>
      <c r="N172" s="99"/>
      <c r="O172" s="99"/>
      <c r="P172" s="97"/>
    </row>
    <row r="173" spans="1:16" ht="16.5" customHeight="1" thickTop="1" thickBot="1" x14ac:dyDescent="0.3">
      <c r="A173" s="96"/>
      <c r="B173" s="107"/>
      <c r="C173" s="108"/>
      <c r="D173" s="108"/>
      <c r="E173" s="108"/>
      <c r="F173" s="108"/>
      <c r="G173" s="108"/>
      <c r="H173" s="109"/>
      <c r="I173" s="109"/>
      <c r="J173" s="99"/>
      <c r="K173" s="99"/>
      <c r="L173" s="99"/>
      <c r="M173" s="99"/>
      <c r="N173" s="99"/>
      <c r="O173" s="99"/>
      <c r="P173" s="97"/>
    </row>
    <row r="174" spans="1:16" ht="16.5" customHeight="1" thickTop="1" thickBot="1" x14ac:dyDescent="0.3">
      <c r="A174" s="96"/>
      <c r="B174" s="107"/>
      <c r="C174" s="108"/>
      <c r="D174" s="108"/>
      <c r="E174" s="108"/>
      <c r="F174" s="108"/>
      <c r="G174" s="108"/>
      <c r="H174" s="109"/>
      <c r="I174" s="109"/>
      <c r="J174" s="99"/>
      <c r="K174" s="99"/>
      <c r="L174" s="99"/>
      <c r="M174" s="99"/>
      <c r="N174" s="99"/>
      <c r="O174" s="99"/>
      <c r="P174" s="97"/>
    </row>
    <row r="175" spans="1:16" ht="16.5" customHeight="1" thickTop="1" thickBot="1" x14ac:dyDescent="0.3">
      <c r="A175" s="96"/>
      <c r="B175" s="107"/>
      <c r="C175" s="108"/>
      <c r="D175" s="108"/>
      <c r="E175" s="108"/>
      <c r="F175" s="108"/>
      <c r="G175" s="108"/>
      <c r="H175" s="109"/>
      <c r="I175" s="109"/>
      <c r="J175" s="99"/>
      <c r="K175" s="99"/>
      <c r="L175" s="99"/>
      <c r="M175" s="99"/>
      <c r="N175" s="99"/>
      <c r="O175" s="99"/>
      <c r="P175" s="97"/>
    </row>
    <row r="176" spans="1:16" ht="15.75" customHeight="1" thickTop="1" x14ac:dyDescent="0.25">
      <c r="A176" s="96"/>
      <c r="B176" s="58"/>
      <c r="C176" s="58"/>
      <c r="D176" s="58"/>
      <c r="E176" s="58"/>
      <c r="F176" s="58"/>
      <c r="G176" s="115"/>
      <c r="H176" s="58"/>
      <c r="I176" s="58"/>
      <c r="J176" s="99"/>
      <c r="K176" s="99"/>
      <c r="L176" s="99"/>
      <c r="M176" s="99"/>
      <c r="N176" s="99"/>
      <c r="O176" s="99"/>
      <c r="P176" s="97"/>
    </row>
    <row r="177" spans="1:16" ht="15" customHeight="1" x14ac:dyDescent="0.25">
      <c r="A177" s="96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7"/>
    </row>
    <row r="178" spans="1:16" ht="15" customHeight="1" x14ac:dyDescent="0.25">
      <c r="A178" s="104" t="s">
        <v>180</v>
      </c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7"/>
    </row>
    <row r="179" spans="1:16" ht="15.75" customHeight="1" x14ac:dyDescent="0.25">
      <c r="A179" s="96"/>
      <c r="B179" s="58" t="s">
        <v>10</v>
      </c>
      <c r="C179" s="58" t="s">
        <v>181</v>
      </c>
      <c r="D179" s="58" t="s">
        <v>175</v>
      </c>
      <c r="E179" s="58" t="s">
        <v>182</v>
      </c>
      <c r="F179" s="58" t="s">
        <v>16</v>
      </c>
      <c r="G179" s="115" t="s">
        <v>17</v>
      </c>
      <c r="H179" s="115" t="s">
        <v>178</v>
      </c>
      <c r="I179" s="58" t="s">
        <v>183</v>
      </c>
      <c r="J179" s="58" t="s">
        <v>184</v>
      </c>
      <c r="K179" s="58" t="s">
        <v>185</v>
      </c>
      <c r="L179" s="116" t="s">
        <v>186</v>
      </c>
      <c r="M179" s="116" t="s">
        <v>187</v>
      </c>
      <c r="N179" s="116" t="s">
        <v>188</v>
      </c>
      <c r="O179" s="99"/>
      <c r="P179" s="97"/>
    </row>
    <row r="180" spans="1:16" ht="16.5" customHeight="1" thickBot="1" x14ac:dyDescent="0.3">
      <c r="A180" s="96"/>
      <c r="B180" s="117" t="s">
        <v>226</v>
      </c>
      <c r="C180" s="118" t="e">
        <f>VLOOKUP(B180,'Gebouwgegevens Allacker'!$J$5:$Q$83,3,0)</f>
        <v>#N/A</v>
      </c>
      <c r="D180" s="118" t="e">
        <f>VLOOKUP(B180,'Gebouwgegevens Allacker'!$J$5:$Q$83,4,0)</f>
        <v>#N/A</v>
      </c>
      <c r="E180" s="118" t="e">
        <f>VLOOKUP(B180,'Gebouwgegevens Allacker'!$J$5:$Q$83,5,0)</f>
        <v>#N/A</v>
      </c>
      <c r="F180" s="118" t="e">
        <f>VLOOKUP(B180,'Gebouwgegevens Allacker'!$J$5:$Q$83,7,0)</f>
        <v>#N/A</v>
      </c>
      <c r="G180" s="119" t="e">
        <f>VLOOKUP(B180,'Gebouwgegevens Allacker'!$J$5:$Q$83,8,0)</f>
        <v>#N/A</v>
      </c>
      <c r="H180" s="119" t="e">
        <f>N180/F180</f>
        <v>#N/A</v>
      </c>
      <c r="I180" s="118" t="e">
        <f>VLOOKUP(C180,'Gebouwgegevens Allacker'!$A$35:$F$46,6,0)</f>
        <v>#N/A</v>
      </c>
      <c r="J180" s="117">
        <v>1.05</v>
      </c>
      <c r="K180" s="117">
        <v>0.33</v>
      </c>
      <c r="L180" s="120" t="e">
        <f>I180/(0.5*J180)</f>
        <v>#N/A</v>
      </c>
      <c r="M180" s="120" t="e">
        <f>K180+2*(1/F180)</f>
        <v>#N/A</v>
      </c>
      <c r="N180" s="121" t="e">
        <f>IF(M180&lt;L180,2*2/(PI()*L180+M180)*LN(PI()*L180/M180+1),2/(0.457*L180+M180))</f>
        <v>#N/A</v>
      </c>
      <c r="O180" s="99"/>
      <c r="P180" s="97"/>
    </row>
    <row r="181" spans="1:16" ht="16.5" customHeight="1" thickTop="1" thickBot="1" x14ac:dyDescent="0.3">
      <c r="A181" s="96"/>
      <c r="B181" s="117"/>
      <c r="C181" s="118"/>
      <c r="D181" s="118"/>
      <c r="E181" s="118"/>
      <c r="F181" s="118"/>
      <c r="G181" s="119"/>
      <c r="H181" s="119"/>
      <c r="I181" s="118"/>
      <c r="J181" s="117"/>
      <c r="K181" s="117"/>
      <c r="L181" s="120"/>
      <c r="M181" s="120"/>
      <c r="N181" s="121"/>
      <c r="O181" s="99"/>
      <c r="P181" s="97"/>
    </row>
    <row r="182" spans="1:16" ht="16.5" customHeight="1" thickTop="1" thickBot="1" x14ac:dyDescent="0.3">
      <c r="A182" s="96"/>
      <c r="B182" s="117"/>
      <c r="C182" s="118"/>
      <c r="D182" s="118"/>
      <c r="E182" s="118"/>
      <c r="F182" s="118"/>
      <c r="G182" s="119"/>
      <c r="H182" s="119"/>
      <c r="I182" s="118"/>
      <c r="J182" s="117"/>
      <c r="K182" s="117"/>
      <c r="L182" s="120"/>
      <c r="M182" s="120"/>
      <c r="N182" s="121"/>
      <c r="O182" s="99"/>
      <c r="P182" s="97"/>
    </row>
    <row r="183" spans="1:16" ht="16.5" customHeight="1" thickTop="1" thickBot="1" x14ac:dyDescent="0.3">
      <c r="A183" s="96"/>
      <c r="B183" s="117"/>
      <c r="C183" s="118"/>
      <c r="D183" s="118"/>
      <c r="E183" s="118"/>
      <c r="F183" s="118"/>
      <c r="G183" s="119"/>
      <c r="H183" s="119"/>
      <c r="I183" s="118"/>
      <c r="J183" s="117"/>
      <c r="K183" s="117"/>
      <c r="L183" s="120"/>
      <c r="M183" s="120"/>
      <c r="N183" s="121"/>
      <c r="O183" s="99"/>
      <c r="P183" s="97"/>
    </row>
    <row r="184" spans="1:16" ht="16.5" customHeight="1" thickTop="1" thickBot="1" x14ac:dyDescent="0.3">
      <c r="A184" s="139"/>
      <c r="B184" s="117"/>
      <c r="C184" s="118"/>
      <c r="D184" s="118"/>
      <c r="E184" s="118"/>
      <c r="F184" s="118"/>
      <c r="G184" s="119"/>
      <c r="H184" s="119"/>
      <c r="I184" s="118"/>
      <c r="J184" s="117"/>
      <c r="K184" s="117"/>
      <c r="L184" s="120"/>
      <c r="M184" s="120"/>
      <c r="N184" s="121"/>
      <c r="O184" s="99"/>
      <c r="P184" s="97"/>
    </row>
    <row r="185" spans="1:16" ht="15.75" customHeight="1" thickTop="1" x14ac:dyDescent="0.25">
      <c r="A185" s="96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7"/>
    </row>
    <row r="186" spans="1:16" ht="15" customHeight="1" x14ac:dyDescent="0.25">
      <c r="A186" s="104" t="s">
        <v>189</v>
      </c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7"/>
    </row>
    <row r="187" spans="1:16" ht="15.75" customHeight="1" thickBot="1" x14ac:dyDescent="0.3">
      <c r="A187" s="96"/>
      <c r="B187" s="58" t="s">
        <v>10</v>
      </c>
      <c r="C187" s="58" t="s">
        <v>190</v>
      </c>
      <c r="D187" s="58" t="s">
        <v>191</v>
      </c>
      <c r="E187" s="58" t="s">
        <v>135</v>
      </c>
      <c r="F187" s="58" t="s">
        <v>192</v>
      </c>
      <c r="G187" s="58" t="s">
        <v>193</v>
      </c>
      <c r="H187" s="58" t="s">
        <v>194</v>
      </c>
      <c r="I187" s="58" t="s">
        <v>16</v>
      </c>
      <c r="J187" s="115" t="s">
        <v>17</v>
      </c>
      <c r="K187" s="115" t="s">
        <v>178</v>
      </c>
      <c r="L187" s="99"/>
      <c r="M187" s="99"/>
      <c r="N187" s="99"/>
      <c r="O187" s="99"/>
      <c r="P187" s="97"/>
    </row>
    <row r="188" spans="1:16" ht="16.5" customHeight="1" thickTop="1" thickBot="1" x14ac:dyDescent="0.3">
      <c r="A188" s="96"/>
      <c r="B188" s="122" t="s">
        <v>227</v>
      </c>
      <c r="C188" s="123" t="e">
        <f>IF(VLOOKUP(B188,'Gebouwgegevens Allacker'!$J$5:$Q$83,2,0)=$B$158,VLOOKUP(B188,'Gebouwgegevens Allacker'!$J$5:$Q$83,2,0),VLOOKUP(B188,'Gebouwgegevens Allacker'!$J$5:$Q$83,3,0))</f>
        <v>#N/A</v>
      </c>
      <c r="D188" s="123" t="e">
        <f>IF(VLOOKUP(B188,'Gebouwgegevens Allacker'!$J$5:$Q$83,2,0)=$B$158,VLOOKUP(B188,'Gebouwgegevens Allacker'!$J$5:$Q$83,3,0),VLOOKUP(B188,'Gebouwgegevens Allacker'!$J$5:$Q$83,2,0))</f>
        <v>#N/A</v>
      </c>
      <c r="E188" s="123" t="e">
        <f>VLOOKUP(B188,'Gebouwgegevens Allacker'!$J$5:$Q$83,4,0)</f>
        <v>#N/A</v>
      </c>
      <c r="F188" s="123" t="e">
        <f>VLOOKUP(B188,'Gebouwgegevens Allacker'!$J$5:$Q$83,5,0)</f>
        <v>#N/A</v>
      </c>
      <c r="G188" s="123" t="e">
        <f>VLOOKUP('Verwarming Tabula 2zone RefULG2'!C188,'Gebouwgegevens Allacker'!$A$35:$F$46,5,0)</f>
        <v>#N/A</v>
      </c>
      <c r="H188" s="123" t="e">
        <f>VLOOKUP('Verwarming Tabula 2zone RefULG2'!D188,'Gebouwgegevens Allacker'!$A$35:$F$46,5,0)</f>
        <v>#N/A</v>
      </c>
      <c r="I188" s="123" t="e">
        <f>VLOOKUP(B188,'Gebouwgegevens Allacker'!$J$5:$Q$83,7,0)</f>
        <v>#N/A</v>
      </c>
      <c r="J188" s="119" t="e">
        <f>VLOOKUP(B188,'Gebouwgegevens Allacker'!$J$5:$Q$83,8,0)</f>
        <v>#N/A</v>
      </c>
      <c r="K188" s="119" t="e">
        <f>(G188-H188)/(G188-$B$4)</f>
        <v>#N/A</v>
      </c>
      <c r="L188" s="99"/>
      <c r="M188" s="99"/>
      <c r="N188" s="99"/>
      <c r="O188" s="99"/>
      <c r="P188" s="97"/>
    </row>
    <row r="189" spans="1:16" ht="16.5" customHeight="1" thickTop="1" thickBot="1" x14ac:dyDescent="0.3">
      <c r="A189" s="96"/>
      <c r="B189" s="122" t="s">
        <v>228</v>
      </c>
      <c r="C189" s="123" t="e">
        <f>IF(VLOOKUP(B189,'Gebouwgegevens Allacker'!$J$5:$Q$83,2,0)=$B$158,VLOOKUP(B189,'Gebouwgegevens Allacker'!$J$5:$Q$83,2,0),VLOOKUP(B189,'Gebouwgegevens Allacker'!$J$5:$Q$83,3,0))</f>
        <v>#N/A</v>
      </c>
      <c r="D189" s="123" t="e">
        <f>IF(VLOOKUP(B189,'Gebouwgegevens Allacker'!$J$5:$Q$83,2,0)=$B$158,VLOOKUP(B189,'Gebouwgegevens Allacker'!$J$5:$Q$83,3,0),VLOOKUP(B189,'Gebouwgegevens Allacker'!$J$5:$Q$83,2,0))</f>
        <v>#N/A</v>
      </c>
      <c r="E189" s="123" t="e">
        <f>VLOOKUP(B189,'Gebouwgegevens Allacker'!$J$5:$Q$83,4,0)</f>
        <v>#N/A</v>
      </c>
      <c r="F189" s="123" t="e">
        <f>VLOOKUP(B189,'Gebouwgegevens Allacker'!$J$5:$Q$83,5,0)</f>
        <v>#N/A</v>
      </c>
      <c r="G189" s="123" t="e">
        <f>VLOOKUP('Verwarming Tabula 2zone RefULG2'!C189,'Gebouwgegevens Allacker'!$A$35:$F$46,5,0)</f>
        <v>#N/A</v>
      </c>
      <c r="H189" s="123" t="e">
        <f>VLOOKUP('Verwarming Tabula 2zone RefULG2'!D189,'Gebouwgegevens Allacker'!$A$35:$F$46,5,0)</f>
        <v>#N/A</v>
      </c>
      <c r="I189" s="123" t="e">
        <f>VLOOKUP(B189,'Gebouwgegevens Allacker'!$J$5:$Q$83,7,0)</f>
        <v>#N/A</v>
      </c>
      <c r="J189" s="119" t="e">
        <f>VLOOKUP(B189,'Gebouwgegevens Allacker'!$J$5:$Q$83,8,0)</f>
        <v>#N/A</v>
      </c>
      <c r="K189" s="119" t="e">
        <f>(G189-H189)/(G189-$B$4)</f>
        <v>#N/A</v>
      </c>
      <c r="L189" s="99"/>
      <c r="M189" s="99"/>
      <c r="N189" s="99"/>
      <c r="O189" s="99"/>
      <c r="P189" s="97"/>
    </row>
    <row r="190" spans="1:16" ht="16.5" customHeight="1" thickTop="1" thickBot="1" x14ac:dyDescent="0.3">
      <c r="A190" s="96"/>
      <c r="B190" s="122" t="s">
        <v>229</v>
      </c>
      <c r="C190" s="123" t="e">
        <f>IF(VLOOKUP(B190,'Gebouwgegevens Allacker'!$J$5:$Q$83,2,0)=$B$158,VLOOKUP(B190,'Gebouwgegevens Allacker'!$J$5:$Q$83,2,0),VLOOKUP(B190,'Gebouwgegevens Allacker'!$J$5:$Q$83,3,0))</f>
        <v>#N/A</v>
      </c>
      <c r="D190" s="123" t="e">
        <f>IF(VLOOKUP(B190,'Gebouwgegevens Allacker'!$J$5:$Q$83,2,0)=$B$158,VLOOKUP(B190,'Gebouwgegevens Allacker'!$J$5:$Q$83,3,0),VLOOKUP(B190,'Gebouwgegevens Allacker'!$J$5:$Q$83,2,0))</f>
        <v>#N/A</v>
      </c>
      <c r="E190" s="123" t="e">
        <f>VLOOKUP(B190,'Gebouwgegevens Allacker'!$J$5:$Q$83,4,0)</f>
        <v>#N/A</v>
      </c>
      <c r="F190" s="123" t="e">
        <f>VLOOKUP(B190,'Gebouwgegevens Allacker'!$J$5:$Q$83,5,0)</f>
        <v>#N/A</v>
      </c>
      <c r="G190" s="123" t="e">
        <f>VLOOKUP('Verwarming Tabula 2zone RefULG2'!C190,'Gebouwgegevens Allacker'!$A$35:$F$46,5,0)</f>
        <v>#N/A</v>
      </c>
      <c r="H190" s="123" t="e">
        <f>VLOOKUP('Verwarming Tabula 2zone RefULG2'!D190,'Gebouwgegevens Allacker'!$A$35:$F$46,5,0)</f>
        <v>#N/A</v>
      </c>
      <c r="I190" s="123" t="e">
        <f>VLOOKUP(B190,'Gebouwgegevens Allacker'!$J$5:$Q$83,7,0)</f>
        <v>#N/A</v>
      </c>
      <c r="J190" s="119" t="e">
        <f>VLOOKUP(B190,'Gebouwgegevens Allacker'!$J$5:$Q$83,8,0)</f>
        <v>#N/A</v>
      </c>
      <c r="K190" s="119" t="e">
        <f>(G190-H190)/(G190-$B$4)</f>
        <v>#N/A</v>
      </c>
      <c r="L190" s="99"/>
      <c r="M190" s="99"/>
      <c r="N190" s="99"/>
      <c r="O190" s="99"/>
      <c r="P190" s="97"/>
    </row>
    <row r="191" spans="1:16" ht="16.5" customHeight="1" thickTop="1" thickBot="1" x14ac:dyDescent="0.3">
      <c r="A191" s="96"/>
      <c r="B191" s="93"/>
      <c r="C191" s="123"/>
      <c r="D191" s="123"/>
      <c r="E191" s="123"/>
      <c r="F191" s="123"/>
      <c r="G191" s="123"/>
      <c r="H191" s="123"/>
      <c r="I191" s="123"/>
      <c r="J191" s="119"/>
      <c r="K191" s="119"/>
      <c r="L191" s="99"/>
      <c r="M191" s="99"/>
      <c r="N191" s="99"/>
      <c r="O191" s="99"/>
      <c r="P191" s="97"/>
    </row>
    <row r="192" spans="1:16" ht="16.5" customHeight="1" thickTop="1" thickBot="1" x14ac:dyDescent="0.3">
      <c r="A192" s="96"/>
      <c r="B192" s="124"/>
      <c r="C192" s="140"/>
      <c r="D192" s="123"/>
      <c r="E192" s="123"/>
      <c r="F192" s="123"/>
      <c r="G192" s="123"/>
      <c r="H192" s="123"/>
      <c r="I192" s="123"/>
      <c r="J192" s="119"/>
      <c r="K192" s="119"/>
      <c r="L192" s="99"/>
      <c r="M192" s="99"/>
      <c r="N192" s="99"/>
      <c r="O192" s="99"/>
      <c r="P192" s="97"/>
    </row>
    <row r="193" spans="1:16" ht="16.5" customHeight="1" thickTop="1" thickBot="1" x14ac:dyDescent="0.3">
      <c r="A193" s="96"/>
      <c r="B193" s="124"/>
      <c r="C193" s="140"/>
      <c r="D193" s="123"/>
      <c r="E193" s="123"/>
      <c r="F193" s="123"/>
      <c r="G193" s="123"/>
      <c r="H193" s="123"/>
      <c r="I193" s="123"/>
      <c r="J193" s="119"/>
      <c r="K193" s="119"/>
      <c r="L193" s="99"/>
      <c r="M193" s="99"/>
      <c r="N193" s="99"/>
      <c r="O193" s="99"/>
      <c r="P193" s="97"/>
    </row>
    <row r="194" spans="1:16" ht="16.5" customHeight="1" thickTop="1" thickBot="1" x14ac:dyDescent="0.3">
      <c r="A194" s="96"/>
      <c r="B194" s="124"/>
      <c r="C194" s="140"/>
      <c r="D194" s="123"/>
      <c r="E194" s="123"/>
      <c r="F194" s="123"/>
      <c r="G194" s="123"/>
      <c r="H194" s="123"/>
      <c r="I194" s="123"/>
      <c r="J194" s="119"/>
      <c r="K194" s="119"/>
      <c r="L194" s="99"/>
      <c r="M194" s="99"/>
      <c r="N194" s="99"/>
      <c r="O194" s="99"/>
      <c r="P194" s="97"/>
    </row>
    <row r="195" spans="1:16" ht="16.5" customHeight="1" thickTop="1" thickBot="1" x14ac:dyDescent="0.3">
      <c r="A195" s="96"/>
      <c r="B195" s="124"/>
      <c r="C195" s="140"/>
      <c r="D195" s="123"/>
      <c r="E195" s="123"/>
      <c r="F195" s="123"/>
      <c r="G195" s="123"/>
      <c r="H195" s="123"/>
      <c r="I195" s="123"/>
      <c r="J195" s="119"/>
      <c r="K195" s="119"/>
      <c r="L195" s="99"/>
      <c r="M195" s="99"/>
      <c r="N195" s="99"/>
      <c r="O195" s="99"/>
      <c r="P195" s="97"/>
    </row>
    <row r="196" spans="1:16" ht="16.5" customHeight="1" thickTop="1" thickBot="1" x14ac:dyDescent="0.3">
      <c r="A196" s="96"/>
      <c r="B196" s="124"/>
      <c r="C196" s="140"/>
      <c r="D196" s="123"/>
      <c r="E196" s="123"/>
      <c r="F196" s="123"/>
      <c r="G196" s="123"/>
      <c r="H196" s="123"/>
      <c r="I196" s="123"/>
      <c r="J196" s="119"/>
      <c r="K196" s="119"/>
      <c r="L196" s="99"/>
      <c r="M196" s="99"/>
      <c r="N196" s="99"/>
      <c r="O196" s="99"/>
      <c r="P196" s="97"/>
    </row>
    <row r="197" spans="1:16" ht="16.5" customHeight="1" thickTop="1" thickBot="1" x14ac:dyDescent="0.3">
      <c r="A197" s="96"/>
      <c r="B197" s="124"/>
      <c r="C197" s="140"/>
      <c r="D197" s="123"/>
      <c r="E197" s="123"/>
      <c r="F197" s="123"/>
      <c r="G197" s="123"/>
      <c r="H197" s="123"/>
      <c r="I197" s="123"/>
      <c r="J197" s="119"/>
      <c r="K197" s="119"/>
      <c r="L197" s="99"/>
      <c r="M197" s="99"/>
      <c r="N197" s="99"/>
      <c r="O197" s="99"/>
      <c r="P197" s="97"/>
    </row>
    <row r="198" spans="1:16" ht="15.75" customHeight="1" thickTop="1" x14ac:dyDescent="0.25">
      <c r="A198" s="96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9"/>
      <c r="M198" s="99"/>
      <c r="N198" s="99"/>
      <c r="O198" s="99"/>
      <c r="P198" s="97"/>
    </row>
    <row r="199" spans="1:16" ht="15" customHeight="1" x14ac:dyDescent="0.25">
      <c r="A199" s="96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7"/>
    </row>
    <row r="200" spans="1:16" ht="15.75" customHeight="1" x14ac:dyDescent="0.25">
      <c r="A200" s="104" t="s">
        <v>195</v>
      </c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7"/>
    </row>
    <row r="201" spans="1:16" ht="16.5" customHeight="1" x14ac:dyDescent="0.25">
      <c r="A201" s="125" t="s">
        <v>196</v>
      </c>
      <c r="B201" s="119" t="e">
        <f>SUMPRODUCT(H164:H175,I164:I175)+SUMPRODUCT(G180:G184,H180:H184)+SUMPRODUCT(J188:J197,K188:K197)</f>
        <v>#N/A</v>
      </c>
      <c r="C201" s="119" t="s">
        <v>107</v>
      </c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7"/>
    </row>
    <row r="202" spans="1:16" ht="16.5" customHeight="1" x14ac:dyDescent="0.25">
      <c r="A202" s="125" t="s">
        <v>170</v>
      </c>
      <c r="B202" s="119" t="e">
        <f>B201*(G188-$B$4)</f>
        <v>#N/A</v>
      </c>
      <c r="C202" s="119" t="s">
        <v>172</v>
      </c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7"/>
    </row>
    <row r="203" spans="1:16" ht="15.75" customHeight="1" thickBot="1" x14ac:dyDescent="0.3">
      <c r="A203" s="110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2"/>
    </row>
    <row r="204" spans="1:16" ht="15.75" customHeight="1" thickTop="1" x14ac:dyDescent="0.25">
      <c r="A204" s="312" t="s">
        <v>197</v>
      </c>
      <c r="B204" s="312"/>
      <c r="C204" s="312"/>
      <c r="D204" s="126" t="s">
        <v>225</v>
      </c>
      <c r="E204" s="289"/>
      <c r="F204" s="289"/>
      <c r="G204" s="289"/>
      <c r="H204" s="289"/>
      <c r="I204" s="289"/>
      <c r="J204" s="289"/>
      <c r="K204" s="289"/>
      <c r="L204" s="289"/>
      <c r="M204" s="289"/>
      <c r="N204" s="289"/>
      <c r="O204" s="289"/>
      <c r="P204" s="95"/>
    </row>
    <row r="205" spans="1:16" ht="15" customHeight="1" x14ac:dyDescent="0.25">
      <c r="A205" s="96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7"/>
    </row>
    <row r="206" spans="1:16" ht="15" customHeight="1" thickBot="1" x14ac:dyDescent="0.3">
      <c r="A206" s="127" t="s">
        <v>198</v>
      </c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7"/>
    </row>
    <row r="207" spans="1:16" ht="15" customHeight="1" thickTop="1" thickBot="1" x14ac:dyDescent="0.3">
      <c r="A207" s="128" t="s">
        <v>199</v>
      </c>
      <c r="B207" s="122">
        <v>8</v>
      </c>
      <c r="C207" s="121" t="s">
        <v>200</v>
      </c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7"/>
    </row>
    <row r="208" spans="1:16" ht="15" customHeight="1" thickTop="1" thickBot="1" x14ac:dyDescent="0.3">
      <c r="A208" s="128" t="s">
        <v>201</v>
      </c>
      <c r="B208" s="122">
        <v>0.03</v>
      </c>
      <c r="C208" s="121" t="s">
        <v>202</v>
      </c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7"/>
    </row>
    <row r="209" spans="1:16" ht="15.75" customHeight="1" thickTop="1" thickBot="1" x14ac:dyDescent="0.3">
      <c r="A209" s="128" t="s">
        <v>203</v>
      </c>
      <c r="B209" s="122">
        <v>1</v>
      </c>
      <c r="C209" s="121" t="s">
        <v>204</v>
      </c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7"/>
    </row>
    <row r="210" spans="1:16" ht="16.5" customHeight="1" thickTop="1" x14ac:dyDescent="0.25">
      <c r="A210" s="125" t="s">
        <v>205</v>
      </c>
      <c r="B210" s="119">
        <f>2*VLOOKUP(B158,'Gebouwgegevens Allacker'!$A$35:$F$46,6,0)*B207*B208*B209</f>
        <v>0</v>
      </c>
      <c r="C210" s="119" t="s">
        <v>206</v>
      </c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7"/>
    </row>
    <row r="211" spans="1:16" ht="15.75" customHeight="1" x14ac:dyDescent="0.25">
      <c r="A211" s="96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7"/>
    </row>
    <row r="212" spans="1:16" ht="15" customHeight="1" x14ac:dyDescent="0.25">
      <c r="A212" s="127" t="s">
        <v>207</v>
      </c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7"/>
    </row>
    <row r="213" spans="1:16" ht="15.75" customHeight="1" x14ac:dyDescent="0.25">
      <c r="A213" s="96" t="s">
        <v>183</v>
      </c>
      <c r="B213" s="99">
        <f>VLOOKUP(B158,'Gebouwgegevens Allacker'!$A$35:$F$46,6,0)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7"/>
    </row>
    <row r="214" spans="1:16" ht="16.5" customHeight="1" x14ac:dyDescent="0.25">
      <c r="A214" s="125" t="s">
        <v>208</v>
      </c>
      <c r="B214" s="129">
        <v>25</v>
      </c>
      <c r="C214" s="119" t="s">
        <v>206</v>
      </c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7"/>
    </row>
    <row r="215" spans="1:16" ht="15.75" customHeight="1" x14ac:dyDescent="0.25">
      <c r="A215" s="96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7"/>
    </row>
    <row r="216" spans="1:16" ht="15.75" customHeight="1" x14ac:dyDescent="0.25">
      <c r="A216" s="96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7"/>
    </row>
    <row r="217" spans="1:16" ht="16.5" customHeight="1" x14ac:dyDescent="0.25">
      <c r="A217" s="125" t="s">
        <v>210</v>
      </c>
      <c r="B217" s="119">
        <f>MAX(B210,B214)</f>
        <v>25</v>
      </c>
      <c r="C217" s="119" t="s">
        <v>206</v>
      </c>
      <c r="D217" s="99"/>
      <c r="E217" s="99"/>
      <c r="F217" s="119" t="s">
        <v>211</v>
      </c>
      <c r="G217" s="119">
        <f>B217/VLOOKUP(B158,'Gebouwgegevens Allacker'!$A$35:$B$46,2,0)</f>
        <v>0.16407644649795233</v>
      </c>
      <c r="H217" s="99"/>
      <c r="I217" s="99"/>
      <c r="J217" s="99"/>
      <c r="K217" s="99"/>
      <c r="L217" s="99"/>
      <c r="M217" s="99"/>
      <c r="N217" s="99"/>
      <c r="O217" s="99"/>
      <c r="P217" s="97"/>
    </row>
    <row r="218" spans="1:16" ht="16.5" customHeight="1" x14ac:dyDescent="0.25">
      <c r="A218" s="96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7"/>
    </row>
    <row r="219" spans="1:16" ht="16.5" customHeight="1" x14ac:dyDescent="0.25">
      <c r="A219" s="125" t="s">
        <v>212</v>
      </c>
      <c r="B219" s="119">
        <f>0.34*B217</f>
        <v>8.5</v>
      </c>
      <c r="C219" s="119" t="s">
        <v>107</v>
      </c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7"/>
    </row>
    <row r="220" spans="1:16" ht="16.5" customHeight="1" x14ac:dyDescent="0.25">
      <c r="A220" s="125" t="s">
        <v>170</v>
      </c>
      <c r="B220" s="119">
        <f>B219*('Gebouwgegevens Allacker'!E180-$B$4)</f>
        <v>68</v>
      </c>
      <c r="C220" s="119" t="s">
        <v>172</v>
      </c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7"/>
    </row>
    <row r="221" spans="1:16" ht="15.75" customHeight="1" thickBot="1" x14ac:dyDescent="0.3">
      <c r="A221" s="141"/>
      <c r="B221" s="142"/>
      <c r="C221" s="142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2"/>
    </row>
    <row r="222" spans="1:16" ht="15.75" customHeight="1" thickTop="1" x14ac:dyDescent="0.25">
      <c r="A222" s="312" t="s">
        <v>213</v>
      </c>
      <c r="B222" s="312"/>
      <c r="C222" s="312"/>
      <c r="D222" s="312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7"/>
    </row>
    <row r="223" spans="1:16" ht="15" customHeight="1" thickBot="1" x14ac:dyDescent="0.3">
      <c r="A223" s="96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7"/>
    </row>
    <row r="224" spans="1:16" ht="15" customHeight="1" thickTop="1" thickBot="1" x14ac:dyDescent="0.3">
      <c r="A224" s="128" t="s">
        <v>214</v>
      </c>
      <c r="B224" s="122">
        <v>0</v>
      </c>
      <c r="C224" s="58" t="s">
        <v>230</v>
      </c>
      <c r="D224" s="58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7"/>
    </row>
    <row r="225" spans="1:16" ht="15.75" customHeight="1" thickTop="1" x14ac:dyDescent="0.25">
      <c r="A225" s="153" t="s">
        <v>113</v>
      </c>
      <c r="B225" s="58">
        <f>VLOOKUP(B158,'Gebouwgegevens Allacker'!$A$35:$F$46,6,0)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7"/>
    </row>
    <row r="226" spans="1:16" ht="16.5" customHeight="1" x14ac:dyDescent="0.25">
      <c r="A226" s="125" t="s">
        <v>216</v>
      </c>
      <c r="B226" s="119">
        <f>B227/('Gebouwgegevens Allacker'!E180-'Verwarming Tabula 2zone RefULG2'!$B$4)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7"/>
    </row>
    <row r="227" spans="1:16" ht="16.5" customHeight="1" x14ac:dyDescent="0.25">
      <c r="A227" s="125" t="s">
        <v>170</v>
      </c>
      <c r="B227" s="119">
        <f>B224*B225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7"/>
    </row>
    <row r="228" spans="1:16" ht="15.75" customHeight="1" x14ac:dyDescent="0.25">
      <c r="A228" s="96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7"/>
    </row>
    <row r="229" spans="1:16" ht="15.75" customHeight="1" thickBot="1" x14ac:dyDescent="0.3">
      <c r="A229" s="96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7"/>
    </row>
    <row r="230" spans="1:16" ht="15.75" customHeight="1" thickTop="1" thickBot="1" x14ac:dyDescent="0.3">
      <c r="A230" s="130" t="s">
        <v>217</v>
      </c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2"/>
    </row>
    <row r="231" spans="1:16" ht="16.5" customHeight="1" thickTop="1" x14ac:dyDescent="0.25">
      <c r="A231" s="125" t="s">
        <v>218</v>
      </c>
      <c r="B231" s="119" t="e">
        <f>SUM(B201,B219,B226)</f>
        <v>#N/A</v>
      </c>
      <c r="C231" s="119" t="s">
        <v>107</v>
      </c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4"/>
    </row>
    <row r="232" spans="1:16" ht="16.5" customHeight="1" x14ac:dyDescent="0.25">
      <c r="A232" s="125" t="s">
        <v>170</v>
      </c>
      <c r="B232" s="119" t="e">
        <f>SUM(B202,B220,B227)</f>
        <v>#N/A</v>
      </c>
      <c r="C232" s="119" t="s">
        <v>172</v>
      </c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4"/>
    </row>
    <row r="233" spans="1:16" ht="16.5" customHeight="1" thickBot="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7"/>
    </row>
    <row r="234" spans="1:16" ht="15" customHeight="1" thickTop="1" x14ac:dyDescent="0.25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38"/>
      <c r="P234" s="138"/>
    </row>
    <row r="235" spans="1:16" ht="15.75" customHeight="1" thickBot="1" x14ac:dyDescent="0.3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38"/>
      <c r="P235" s="138"/>
    </row>
    <row r="236" spans="1:16" ht="15" customHeight="1" thickTop="1" thickBot="1" x14ac:dyDescent="0.3">
      <c r="A236" s="94"/>
      <c r="B236" s="289"/>
      <c r="C236" s="289"/>
      <c r="D236" s="289"/>
      <c r="E236" s="289"/>
      <c r="F236" s="289"/>
      <c r="G236" s="289"/>
      <c r="H236" s="289"/>
      <c r="I236" s="289"/>
      <c r="J236" s="289"/>
      <c r="K236" s="289"/>
      <c r="L236" s="289"/>
      <c r="M236" s="289"/>
      <c r="N236" s="289"/>
      <c r="O236" s="289"/>
      <c r="P236" s="95"/>
    </row>
    <row r="237" spans="1:16" ht="17.25" customHeight="1" thickTop="1" thickBot="1" x14ac:dyDescent="0.35">
      <c r="A237" s="98" t="s">
        <v>169</v>
      </c>
      <c r="B237" s="93">
        <v>4</v>
      </c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7"/>
    </row>
    <row r="238" spans="1:16" ht="15.75" customHeight="1" thickTop="1" x14ac:dyDescent="0.25">
      <c r="A238" s="312" t="s">
        <v>171</v>
      </c>
      <c r="B238" s="312"/>
      <c r="C238" s="312"/>
      <c r="D238" s="312"/>
      <c r="E238" s="289"/>
      <c r="F238" s="289"/>
      <c r="G238" s="289"/>
      <c r="H238" s="289"/>
      <c r="I238" s="289"/>
      <c r="J238" s="289"/>
      <c r="K238" s="289"/>
      <c r="L238" s="289"/>
      <c r="M238" s="289"/>
      <c r="N238" s="289"/>
      <c r="O238" s="289"/>
      <c r="P238" s="95"/>
    </row>
    <row r="239" spans="1:16" ht="15" customHeight="1" x14ac:dyDescent="0.25">
      <c r="A239" s="96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7"/>
    </row>
    <row r="240" spans="1:16" ht="15" customHeight="1" x14ac:dyDescent="0.25">
      <c r="A240" s="104" t="s">
        <v>173</v>
      </c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7"/>
    </row>
    <row r="241" spans="1:16" ht="15" customHeight="1" x14ac:dyDescent="0.25">
      <c r="A241" s="96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7"/>
    </row>
    <row r="242" spans="1:16" ht="15.75" customHeight="1" thickBot="1" x14ac:dyDescent="0.3">
      <c r="A242" s="96"/>
      <c r="B242" s="105" t="s">
        <v>10</v>
      </c>
      <c r="C242" s="105" t="s">
        <v>174</v>
      </c>
      <c r="D242" s="105" t="s">
        <v>175</v>
      </c>
      <c r="E242" s="105" t="s">
        <v>176</v>
      </c>
      <c r="F242" s="105" t="s">
        <v>177</v>
      </c>
      <c r="G242" s="105" t="s">
        <v>16</v>
      </c>
      <c r="H242" s="106" t="s">
        <v>17</v>
      </c>
      <c r="I242" s="106" t="s">
        <v>178</v>
      </c>
      <c r="J242" s="99"/>
      <c r="K242" s="99"/>
      <c r="L242" s="99"/>
      <c r="M242" s="99"/>
      <c r="N242" s="99"/>
      <c r="O242" s="99"/>
      <c r="P242" s="97"/>
    </row>
    <row r="243" spans="1:16" ht="16.5" customHeight="1" thickTop="1" thickBot="1" x14ac:dyDescent="0.3">
      <c r="A243" s="96"/>
      <c r="B243" s="107" t="s">
        <v>71</v>
      </c>
      <c r="C243" s="108">
        <f>VLOOKUP(B243,'Gebouwgegevens Allacker'!$J$5:$Q$83,3,0)</f>
        <v>3</v>
      </c>
      <c r="D243" s="108" t="str">
        <f>VLOOKUP(B243,'Gebouwgegevens Allacker'!$J$5:$Q$83,4,0)</f>
        <v>Wall External</v>
      </c>
      <c r="E243" s="108">
        <f>VLOOKUP(B243,'Gebouwgegevens Allacker'!$J$5:$Q$83,5,0)</f>
        <v>0</v>
      </c>
      <c r="F243" s="108" t="str">
        <f>VLOOKUP(B243,'Gebouwgegevens Allacker'!$J$5:$Q$83,6,0)</f>
        <v>front</v>
      </c>
      <c r="G243" s="108">
        <f>VLOOKUP(B243,'Gebouwgegevens Allacker'!$J$5:$Q$83,7,0)</f>
        <v>2.2022341505875525</v>
      </c>
      <c r="H243" s="109">
        <f>VLOOKUP(B243,'Gebouwgegevens Allacker'!$J$5:$Q$83,8,0)</f>
        <v>0</v>
      </c>
      <c r="I243" s="109">
        <v>1</v>
      </c>
      <c r="J243" s="99"/>
      <c r="K243" s="99"/>
      <c r="L243" s="99"/>
      <c r="M243" s="99"/>
      <c r="N243" s="99"/>
      <c r="O243" s="99"/>
      <c r="P243" s="97"/>
    </row>
    <row r="244" spans="1:16" ht="16.5" customHeight="1" thickTop="1" thickBot="1" x14ac:dyDescent="0.3">
      <c r="A244" s="96"/>
      <c r="B244" s="107" t="s">
        <v>75</v>
      </c>
      <c r="C244" s="108">
        <f>VLOOKUP(B244,'Gebouwgegevens Allacker'!$J$5:$Q$83,3,0)</f>
        <v>3</v>
      </c>
      <c r="D244" s="108" t="str">
        <f>VLOOKUP(B244,'Gebouwgegevens Allacker'!$J$5:$Q$83,4,0)</f>
        <v>Wall External</v>
      </c>
      <c r="E244" s="108">
        <f>VLOOKUP(B244,'Gebouwgegevens Allacker'!$J$5:$Q$83,5,0)</f>
        <v>14.24</v>
      </c>
      <c r="F244" s="108" t="str">
        <f>VLOOKUP(B244,'Gebouwgegevens Allacker'!$J$5:$Q$83,6,0)</f>
        <v>right</v>
      </c>
      <c r="G244" s="108">
        <f>VLOOKUP(B244,'Gebouwgegevens Allacker'!$J$5:$Q$83,7,0)</f>
        <v>2.2022341505875525</v>
      </c>
      <c r="H244" s="109">
        <f>VLOOKUP(B244,'Gebouwgegevens Allacker'!$J$5:$Q$83,8,0)</f>
        <v>31.359814304366747</v>
      </c>
      <c r="I244" s="109">
        <v>1</v>
      </c>
      <c r="J244" s="99"/>
      <c r="K244" s="99"/>
      <c r="L244" s="99"/>
      <c r="M244" s="99"/>
      <c r="N244" s="99"/>
      <c r="O244" s="99"/>
      <c r="P244" s="97"/>
    </row>
    <row r="245" spans="1:16" ht="16.5" customHeight="1" thickTop="1" thickBot="1" x14ac:dyDescent="0.3">
      <c r="A245" s="96"/>
      <c r="B245" s="107" t="s">
        <v>79</v>
      </c>
      <c r="C245" s="108">
        <f>VLOOKUP(B245,'Gebouwgegevens Allacker'!$J$5:$Q$83,3,0)</f>
        <v>3</v>
      </c>
      <c r="D245" s="108" t="str">
        <f>VLOOKUP(B245,'Gebouwgegevens Allacker'!$J$5:$Q$83,4,0)</f>
        <v>Wall External</v>
      </c>
      <c r="E245" s="108">
        <f>VLOOKUP(B245,'Gebouwgegevens Allacker'!$J$5:$Q$83,5,0)</f>
        <v>0</v>
      </c>
      <c r="F245" s="108" t="str">
        <f>VLOOKUP(B245,'Gebouwgegevens Allacker'!$J$5:$Q$83,6,0)</f>
        <v>back</v>
      </c>
      <c r="G245" s="108">
        <f>VLOOKUP(B245,'Gebouwgegevens Allacker'!$J$5:$Q$83,7,0)</f>
        <v>2.2022341505875525</v>
      </c>
      <c r="H245" s="109">
        <f>VLOOKUP(B245,'Gebouwgegevens Allacker'!$J$5:$Q$83,8,0)</f>
        <v>0</v>
      </c>
      <c r="I245" s="109">
        <v>1</v>
      </c>
      <c r="J245" s="99"/>
      <c r="K245" s="99"/>
      <c r="L245" s="99"/>
      <c r="M245" s="99"/>
      <c r="N245" s="99"/>
      <c r="O245" s="99"/>
      <c r="P245" s="97"/>
    </row>
    <row r="246" spans="1:16" ht="16.5" customHeight="1" thickTop="1" thickBot="1" x14ac:dyDescent="0.3">
      <c r="A246" s="96"/>
      <c r="B246" s="143" t="s">
        <v>82</v>
      </c>
      <c r="C246" s="108">
        <f>VLOOKUP(B246,'Gebouwgegevens Allacker'!$J$5:$Q$83,3,0)</f>
        <v>3</v>
      </c>
      <c r="D246" s="108" t="str">
        <f>VLOOKUP(B246,'Gebouwgegevens Allacker'!$J$5:$Q$83,4,0)</f>
        <v>Wall External</v>
      </c>
      <c r="E246" s="108">
        <f>VLOOKUP(B246,'Gebouwgegevens Allacker'!$J$5:$Q$83,5,0)</f>
        <v>14.24</v>
      </c>
      <c r="F246" s="108" t="str">
        <f>VLOOKUP(B246,'Gebouwgegevens Allacker'!$J$5:$Q$83,6,0)</f>
        <v>left</v>
      </c>
      <c r="G246" s="108">
        <f>VLOOKUP(B246,'Gebouwgegevens Allacker'!$J$5:$Q$83,7,0)</f>
        <v>2.2022341505875525</v>
      </c>
      <c r="H246" s="109">
        <f>VLOOKUP(B246,'Gebouwgegevens Allacker'!$J$5:$Q$83,8,0)</f>
        <v>31.359814304366747</v>
      </c>
      <c r="I246" s="109">
        <v>1</v>
      </c>
      <c r="J246" s="99"/>
      <c r="K246" s="99"/>
      <c r="L246" s="99"/>
      <c r="M246" s="99"/>
      <c r="N246" s="99"/>
      <c r="O246" s="99"/>
      <c r="P246" s="97"/>
    </row>
    <row r="247" spans="1:16" ht="16.5" customHeight="1" thickTop="1" thickBot="1" x14ac:dyDescent="0.3">
      <c r="A247" s="96"/>
      <c r="B247" s="144"/>
      <c r="C247" s="145"/>
      <c r="D247" s="108"/>
      <c r="E247" s="108"/>
      <c r="F247" s="108"/>
      <c r="G247" s="108"/>
      <c r="H247" s="109"/>
      <c r="I247" s="109"/>
      <c r="J247" s="99"/>
      <c r="K247" s="99"/>
      <c r="L247" s="99"/>
      <c r="M247" s="99"/>
      <c r="N247" s="99"/>
      <c r="O247" s="99"/>
      <c r="P247" s="97"/>
    </row>
    <row r="248" spans="1:16" ht="16.5" customHeight="1" thickTop="1" thickBot="1" x14ac:dyDescent="0.3">
      <c r="A248" s="96"/>
      <c r="B248" s="144"/>
      <c r="C248" s="145"/>
      <c r="D248" s="108"/>
      <c r="E248" s="108"/>
      <c r="F248" s="108"/>
      <c r="G248" s="108"/>
      <c r="H248" s="109"/>
      <c r="I248" s="109"/>
      <c r="J248" s="99"/>
      <c r="K248" s="99"/>
      <c r="L248" s="99"/>
      <c r="M248" s="99"/>
      <c r="N248" s="99"/>
      <c r="O248" s="99"/>
      <c r="P248" s="97"/>
    </row>
    <row r="249" spans="1:16" ht="16.5" customHeight="1" thickTop="1" thickBot="1" x14ac:dyDescent="0.3">
      <c r="A249" s="96"/>
      <c r="B249" s="144"/>
      <c r="C249" s="145"/>
      <c r="D249" s="108"/>
      <c r="E249" s="108"/>
      <c r="F249" s="108"/>
      <c r="G249" s="108"/>
      <c r="H249" s="109"/>
      <c r="I249" s="109"/>
      <c r="J249" s="99"/>
      <c r="K249" s="99"/>
      <c r="L249" s="99"/>
      <c r="M249" s="99"/>
      <c r="N249" s="99"/>
      <c r="O249" s="99"/>
      <c r="P249" s="97"/>
    </row>
    <row r="250" spans="1:16" ht="16.5" customHeight="1" thickTop="1" thickBot="1" x14ac:dyDescent="0.3">
      <c r="A250" s="96"/>
      <c r="B250" s="144"/>
      <c r="C250" s="145"/>
      <c r="D250" s="108"/>
      <c r="E250" s="108"/>
      <c r="F250" s="108"/>
      <c r="G250" s="108"/>
      <c r="H250" s="109"/>
      <c r="I250" s="109"/>
      <c r="J250" s="99"/>
      <c r="K250" s="99"/>
      <c r="L250" s="99"/>
      <c r="M250" s="99"/>
      <c r="N250" s="99"/>
      <c r="O250" s="99"/>
      <c r="P250" s="97"/>
    </row>
    <row r="251" spans="1:16" ht="16.5" customHeight="1" thickTop="1" thickBot="1" x14ac:dyDescent="0.3">
      <c r="A251" s="96"/>
      <c r="B251" s="144"/>
      <c r="C251" s="145"/>
      <c r="D251" s="108"/>
      <c r="E251" s="108"/>
      <c r="F251" s="108"/>
      <c r="G251" s="108"/>
      <c r="H251" s="109"/>
      <c r="I251" s="109"/>
      <c r="J251" s="99"/>
      <c r="K251" s="99"/>
      <c r="L251" s="99"/>
      <c r="M251" s="99"/>
      <c r="N251" s="99"/>
      <c r="O251" s="99"/>
      <c r="P251" s="97"/>
    </row>
    <row r="252" spans="1:16" ht="16.5" customHeight="1" thickTop="1" thickBot="1" x14ac:dyDescent="0.3">
      <c r="A252" s="96"/>
      <c r="B252" s="144"/>
      <c r="C252" s="145"/>
      <c r="D252" s="108"/>
      <c r="E252" s="108"/>
      <c r="F252" s="108"/>
      <c r="G252" s="108"/>
      <c r="H252" s="109"/>
      <c r="I252" s="109"/>
      <c r="J252" s="99"/>
      <c r="K252" s="99"/>
      <c r="L252" s="99"/>
      <c r="M252" s="99"/>
      <c r="N252" s="99"/>
      <c r="O252" s="99"/>
      <c r="P252" s="97"/>
    </row>
    <row r="253" spans="1:16" ht="16.5" customHeight="1" thickTop="1" thickBot="1" x14ac:dyDescent="0.3">
      <c r="A253" s="96"/>
      <c r="B253" s="144"/>
      <c r="C253" s="145"/>
      <c r="D253" s="108"/>
      <c r="E253" s="108"/>
      <c r="F253" s="108"/>
      <c r="G253" s="108"/>
      <c r="H253" s="109"/>
      <c r="I253" s="109"/>
      <c r="J253" s="99"/>
      <c r="K253" s="99"/>
      <c r="L253" s="99"/>
      <c r="M253" s="99"/>
      <c r="N253" s="99"/>
      <c r="O253" s="99"/>
      <c r="P253" s="97"/>
    </row>
    <row r="254" spans="1:16" ht="16.5" customHeight="1" thickTop="1" thickBot="1" x14ac:dyDescent="0.3">
      <c r="A254" s="96"/>
      <c r="B254" s="144"/>
      <c r="C254" s="145"/>
      <c r="D254" s="108"/>
      <c r="E254" s="108"/>
      <c r="F254" s="108"/>
      <c r="G254" s="108"/>
      <c r="H254" s="109"/>
      <c r="I254" s="109"/>
      <c r="J254" s="99"/>
      <c r="K254" s="99"/>
      <c r="L254" s="99"/>
      <c r="M254" s="99"/>
      <c r="N254" s="99"/>
      <c r="O254" s="99"/>
      <c r="P254" s="97"/>
    </row>
    <row r="255" spans="1:16" ht="15.75" customHeight="1" thickTop="1" x14ac:dyDescent="0.25">
      <c r="A255" s="96"/>
      <c r="B255" s="58"/>
      <c r="C255" s="58"/>
      <c r="D255" s="58"/>
      <c r="E255" s="58"/>
      <c r="F255" s="58"/>
      <c r="G255" s="115"/>
      <c r="H255" s="58"/>
      <c r="I255" s="58"/>
      <c r="J255" s="99"/>
      <c r="K255" s="99"/>
      <c r="L255" s="99"/>
      <c r="M255" s="99"/>
      <c r="N255" s="99"/>
      <c r="O255" s="99"/>
      <c r="P255" s="97"/>
    </row>
    <row r="256" spans="1:16" ht="15" customHeight="1" x14ac:dyDescent="0.25">
      <c r="A256" s="96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7"/>
    </row>
    <row r="257" spans="1:16" ht="15" customHeight="1" x14ac:dyDescent="0.25">
      <c r="A257" s="104" t="s">
        <v>180</v>
      </c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7"/>
    </row>
    <row r="258" spans="1:16" ht="15.75" customHeight="1" x14ac:dyDescent="0.25">
      <c r="A258" s="96"/>
      <c r="B258" s="58" t="s">
        <v>10</v>
      </c>
      <c r="C258" s="58" t="s">
        <v>181</v>
      </c>
      <c r="D258" s="58" t="s">
        <v>175</v>
      </c>
      <c r="E258" s="58" t="s">
        <v>182</v>
      </c>
      <c r="F258" s="58" t="s">
        <v>16</v>
      </c>
      <c r="G258" s="115" t="s">
        <v>17</v>
      </c>
      <c r="H258" s="115" t="s">
        <v>178</v>
      </c>
      <c r="I258" s="58" t="s">
        <v>183</v>
      </c>
      <c r="J258" s="58" t="s">
        <v>184</v>
      </c>
      <c r="K258" s="58" t="s">
        <v>185</v>
      </c>
      <c r="L258" s="116" t="s">
        <v>186</v>
      </c>
      <c r="M258" s="116" t="s">
        <v>187</v>
      </c>
      <c r="N258" s="116" t="s">
        <v>188</v>
      </c>
      <c r="O258" s="99"/>
      <c r="P258" s="97"/>
    </row>
    <row r="259" spans="1:16" ht="16.5" customHeight="1" thickBot="1" x14ac:dyDescent="0.3">
      <c r="A259" s="96"/>
      <c r="B259" s="117"/>
      <c r="C259" s="118"/>
      <c r="D259" s="118"/>
      <c r="E259" s="118"/>
      <c r="F259" s="118"/>
      <c r="G259" s="119"/>
      <c r="H259" s="119"/>
      <c r="I259" s="118"/>
      <c r="J259" s="117"/>
      <c r="K259" s="117"/>
      <c r="L259" s="120"/>
      <c r="M259" s="120"/>
      <c r="N259" s="121"/>
      <c r="O259" s="99"/>
      <c r="P259" s="97"/>
    </row>
    <row r="260" spans="1:16" ht="16.5" customHeight="1" thickTop="1" thickBot="1" x14ac:dyDescent="0.3">
      <c r="A260" s="96"/>
      <c r="B260" s="117"/>
      <c r="C260" s="118"/>
      <c r="D260" s="118"/>
      <c r="E260" s="118"/>
      <c r="F260" s="118"/>
      <c r="G260" s="119"/>
      <c r="H260" s="119"/>
      <c r="I260" s="118"/>
      <c r="J260" s="117"/>
      <c r="K260" s="117"/>
      <c r="L260" s="120"/>
      <c r="M260" s="120"/>
      <c r="N260" s="121"/>
      <c r="O260" s="99"/>
      <c r="P260" s="97"/>
    </row>
    <row r="261" spans="1:16" ht="16.5" customHeight="1" thickTop="1" thickBot="1" x14ac:dyDescent="0.3">
      <c r="A261" s="96"/>
      <c r="B261" s="117"/>
      <c r="C261" s="118"/>
      <c r="D261" s="118"/>
      <c r="E261" s="118"/>
      <c r="F261" s="118"/>
      <c r="G261" s="119"/>
      <c r="H261" s="119"/>
      <c r="I261" s="118"/>
      <c r="J261" s="117"/>
      <c r="K261" s="117"/>
      <c r="L261" s="120"/>
      <c r="M261" s="120"/>
      <c r="N261" s="121"/>
      <c r="O261" s="99"/>
      <c r="P261" s="97"/>
    </row>
    <row r="262" spans="1:16" ht="16.5" customHeight="1" thickTop="1" thickBot="1" x14ac:dyDescent="0.3">
      <c r="A262" s="96"/>
      <c r="B262" s="117"/>
      <c r="C262" s="118"/>
      <c r="D262" s="118"/>
      <c r="E262" s="118"/>
      <c r="F262" s="118"/>
      <c r="G262" s="119"/>
      <c r="H262" s="119"/>
      <c r="I262" s="118"/>
      <c r="J262" s="117"/>
      <c r="K262" s="117"/>
      <c r="L262" s="120"/>
      <c r="M262" s="120"/>
      <c r="N262" s="121"/>
      <c r="O262" s="99"/>
      <c r="P262" s="97"/>
    </row>
    <row r="263" spans="1:16" ht="16.5" customHeight="1" thickTop="1" thickBot="1" x14ac:dyDescent="0.3">
      <c r="A263" s="139"/>
      <c r="B263" s="117"/>
      <c r="C263" s="118"/>
      <c r="D263" s="118"/>
      <c r="E263" s="118"/>
      <c r="F263" s="118"/>
      <c r="G263" s="119"/>
      <c r="H263" s="119"/>
      <c r="I263" s="118"/>
      <c r="J263" s="117"/>
      <c r="K263" s="117"/>
      <c r="L263" s="120"/>
      <c r="M263" s="120"/>
      <c r="N263" s="121"/>
      <c r="O263" s="99"/>
      <c r="P263" s="97"/>
    </row>
    <row r="264" spans="1:16" ht="15.75" customHeight="1" thickTop="1" x14ac:dyDescent="0.25">
      <c r="A264" s="96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7"/>
    </row>
    <row r="265" spans="1:16" ht="15" customHeight="1" x14ac:dyDescent="0.25">
      <c r="A265" s="104" t="s">
        <v>189</v>
      </c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7"/>
    </row>
    <row r="266" spans="1:16" ht="15.75" customHeight="1" thickBot="1" x14ac:dyDescent="0.3">
      <c r="A266" s="96"/>
      <c r="B266" s="58" t="s">
        <v>10</v>
      </c>
      <c r="C266" s="58" t="s">
        <v>190</v>
      </c>
      <c r="D266" s="58" t="s">
        <v>191</v>
      </c>
      <c r="E266" s="58" t="s">
        <v>135</v>
      </c>
      <c r="F266" s="58" t="s">
        <v>192</v>
      </c>
      <c r="G266" s="58" t="s">
        <v>193</v>
      </c>
      <c r="H266" s="58" t="s">
        <v>194</v>
      </c>
      <c r="I266" s="58" t="s">
        <v>16</v>
      </c>
      <c r="J266" s="115" t="s">
        <v>17</v>
      </c>
      <c r="K266" s="115" t="s">
        <v>178</v>
      </c>
      <c r="L266" s="99"/>
      <c r="M266" s="99"/>
      <c r="N266" s="99"/>
      <c r="O266" s="99"/>
      <c r="P266" s="97"/>
    </row>
    <row r="267" spans="1:16" ht="16.5" customHeight="1" thickTop="1" thickBot="1" x14ac:dyDescent="0.3">
      <c r="A267" s="96"/>
      <c r="B267" s="122" t="s">
        <v>231</v>
      </c>
      <c r="C267" s="123" t="e">
        <f>IF(VLOOKUP(B267,'Gebouwgegevens Allacker'!$J$5:$Q$83,2,0)=$B$237,VLOOKUP(B267,'Gebouwgegevens Allacker'!$J$5:$Q$83,2,0),VLOOKUP(B267,'Gebouwgegevens Allacker'!$J$5:$Q$83,3,0))</f>
        <v>#N/A</v>
      </c>
      <c r="D267" s="123" t="e">
        <f>IF(VLOOKUP(B267,'Gebouwgegevens Allacker'!$J$5:$Q$83,2,0)=$B$237,VLOOKUP(B267,'Gebouwgegevens Allacker'!$J$5:$Q$83,3,0),VLOOKUP(B267,'Gebouwgegevens Allacker'!$J$5:$Q$83,2,0))</f>
        <v>#N/A</v>
      </c>
      <c r="E267" s="123" t="e">
        <f>VLOOKUP(B267,'Gebouwgegevens Allacker'!$J$5:$Q$83,4,0)</f>
        <v>#N/A</v>
      </c>
      <c r="F267" s="123" t="e">
        <f>VLOOKUP(B267,'Gebouwgegevens Allacker'!$J$5:$Q$83,5,0)</f>
        <v>#N/A</v>
      </c>
      <c r="G267" s="123" t="e">
        <f>VLOOKUP('Verwarming Tabula 2zone RefULG2'!C267,'Gebouwgegevens Allacker'!$A$35:$F$46,5,0)</f>
        <v>#N/A</v>
      </c>
      <c r="H267" s="123" t="e">
        <f>VLOOKUP('Verwarming Tabula 2zone RefULG2'!D267,'Gebouwgegevens Allacker'!$A$35:$F$46,5,0)</f>
        <v>#N/A</v>
      </c>
      <c r="I267" s="123" t="e">
        <f>VLOOKUP(B267,'Gebouwgegevens Allacker'!$J$5:$Q$83,7,0)</f>
        <v>#N/A</v>
      </c>
      <c r="J267" s="119" t="e">
        <f>VLOOKUP(B267,'Gebouwgegevens Allacker'!$J$5:$Q$83,8,0)</f>
        <v>#N/A</v>
      </c>
      <c r="K267" s="119" t="e">
        <f>(G267-H267)/(G267-$B$4)</f>
        <v>#N/A</v>
      </c>
      <c r="L267" s="99"/>
      <c r="M267" s="99"/>
      <c r="N267" s="99"/>
      <c r="O267" s="99"/>
      <c r="P267" s="97"/>
    </row>
    <row r="268" spans="1:16" ht="16.5" customHeight="1" thickTop="1" thickBot="1" x14ac:dyDescent="0.3">
      <c r="A268" s="96"/>
      <c r="B268" s="122" t="s">
        <v>232</v>
      </c>
      <c r="C268" s="123" t="e">
        <f>IF(VLOOKUP(B268,'Gebouwgegevens Allacker'!$J$5:$Q$83,2,0)=$B$237,VLOOKUP(B268,'Gebouwgegevens Allacker'!$J$5:$Q$83,2,0),VLOOKUP(B268,'Gebouwgegevens Allacker'!$J$5:$Q$83,3,0))</f>
        <v>#N/A</v>
      </c>
      <c r="D268" s="123" t="e">
        <f>IF(VLOOKUP(B268,'Gebouwgegevens Allacker'!$J$5:$Q$83,2,0)=$B$237,VLOOKUP(B268,'Gebouwgegevens Allacker'!$J$5:$Q$83,3,0),VLOOKUP(B268,'Gebouwgegevens Allacker'!$J$5:$Q$83,2,0))</f>
        <v>#N/A</v>
      </c>
      <c r="E268" s="123" t="e">
        <f>VLOOKUP(B268,'Gebouwgegevens Allacker'!$J$5:$Q$83,4,0)</f>
        <v>#N/A</v>
      </c>
      <c r="F268" s="123" t="e">
        <f>VLOOKUP(B268,'Gebouwgegevens Allacker'!$J$5:$Q$83,5,0)</f>
        <v>#N/A</v>
      </c>
      <c r="G268" s="123" t="e">
        <f>VLOOKUP('Verwarming Tabula 2zone RefULG2'!C268,'Gebouwgegevens Allacker'!$A$35:$F$46,5,0)</f>
        <v>#N/A</v>
      </c>
      <c r="H268" s="123" t="e">
        <f>VLOOKUP('Verwarming Tabula 2zone RefULG2'!D268,'Gebouwgegevens Allacker'!$A$35:$F$46,5,0)</f>
        <v>#N/A</v>
      </c>
      <c r="I268" s="123" t="e">
        <f>VLOOKUP(B268,'Gebouwgegevens Allacker'!$J$5:$Q$83,7,0)</f>
        <v>#N/A</v>
      </c>
      <c r="J268" s="119" t="e">
        <f>VLOOKUP(B268,'Gebouwgegevens Allacker'!$J$5:$Q$83,8,0)</f>
        <v>#N/A</v>
      </c>
      <c r="K268" s="119" t="e">
        <f>(G268-H268)/(G268-$B$4)</f>
        <v>#N/A</v>
      </c>
      <c r="L268" s="99"/>
      <c r="M268" s="99"/>
      <c r="N268" s="99"/>
      <c r="O268" s="99"/>
      <c r="P268" s="97"/>
    </row>
    <row r="269" spans="1:16" ht="16.5" customHeight="1" thickTop="1" thickBot="1" x14ac:dyDescent="0.3">
      <c r="A269" s="96"/>
      <c r="B269" s="122" t="s">
        <v>233</v>
      </c>
      <c r="C269" s="123" t="e">
        <f>IF(VLOOKUP(B269,'Gebouwgegevens Allacker'!$J$5:$Q$83,2,0)=$B$237,VLOOKUP(B269,'Gebouwgegevens Allacker'!$J$5:$Q$83,2,0),VLOOKUP(B269,'Gebouwgegevens Allacker'!$J$5:$Q$83,3,0))</f>
        <v>#N/A</v>
      </c>
      <c r="D269" s="123" t="e">
        <f>IF(VLOOKUP(B269,'Gebouwgegevens Allacker'!$J$5:$Q$83,2,0)=$B$237,VLOOKUP(B269,'Gebouwgegevens Allacker'!$J$5:$Q$83,3,0),VLOOKUP(B269,'Gebouwgegevens Allacker'!$J$5:$Q$83,2,0))</f>
        <v>#N/A</v>
      </c>
      <c r="E269" s="123" t="e">
        <f>VLOOKUP(B269,'Gebouwgegevens Allacker'!$J$5:$Q$83,4,0)</f>
        <v>#N/A</v>
      </c>
      <c r="F269" s="123" t="e">
        <f>VLOOKUP(B269,'Gebouwgegevens Allacker'!$J$5:$Q$83,5,0)</f>
        <v>#N/A</v>
      </c>
      <c r="G269" s="123" t="e">
        <f>VLOOKUP('Verwarming Tabula 2zone RefULG2'!C269,'Gebouwgegevens Allacker'!$A$35:$F$46,5,0)</f>
        <v>#N/A</v>
      </c>
      <c r="H269" s="123" t="e">
        <f>VLOOKUP('Verwarming Tabula 2zone RefULG2'!D269,'Gebouwgegevens Allacker'!$A$35:$F$46,5,0)</f>
        <v>#N/A</v>
      </c>
      <c r="I269" s="123" t="e">
        <f>VLOOKUP(B269,'Gebouwgegevens Allacker'!$J$5:$Q$83,7,0)</f>
        <v>#N/A</v>
      </c>
      <c r="J269" s="119" t="e">
        <f>VLOOKUP(B269,'Gebouwgegevens Allacker'!$J$5:$Q$83,8,0)</f>
        <v>#N/A</v>
      </c>
      <c r="K269" s="119" t="e">
        <f>(G269-H269)/(G269-$B$4)</f>
        <v>#N/A</v>
      </c>
      <c r="L269" s="99"/>
      <c r="M269" s="99"/>
      <c r="N269" s="99"/>
      <c r="O269" s="99"/>
      <c r="P269" s="97"/>
    </row>
    <row r="270" spans="1:16" ht="16.5" customHeight="1" thickTop="1" thickBot="1" x14ac:dyDescent="0.3">
      <c r="A270" s="96"/>
      <c r="B270" s="93" t="s">
        <v>234</v>
      </c>
      <c r="C270" s="123" t="e">
        <f>IF(VLOOKUP(B270,'Gebouwgegevens Allacker'!$J$5:$Q$83,2,0)=$B$237,VLOOKUP(B270,'Gebouwgegevens Allacker'!$J$5:$Q$83,2,0),VLOOKUP(B270,'Gebouwgegevens Allacker'!$J$5:$Q$83,3,0))</f>
        <v>#N/A</v>
      </c>
      <c r="D270" s="123" t="e">
        <f>IF(VLOOKUP(B270,'Gebouwgegevens Allacker'!$J$5:$Q$83,2,0)=$B$237,VLOOKUP(B270,'Gebouwgegevens Allacker'!$J$5:$Q$83,3,0),VLOOKUP(B270,'Gebouwgegevens Allacker'!$J$5:$Q$83,2,0))</f>
        <v>#N/A</v>
      </c>
      <c r="E270" s="123" t="e">
        <f>VLOOKUP(B270,'Gebouwgegevens Allacker'!$J$5:$Q$83,4,0)</f>
        <v>#N/A</v>
      </c>
      <c r="F270" s="123" t="e">
        <f>VLOOKUP(B270,'Gebouwgegevens Allacker'!$J$5:$Q$83,5,0)</f>
        <v>#N/A</v>
      </c>
      <c r="G270" s="123" t="e">
        <f>VLOOKUP('Verwarming Tabula 2zone RefULG2'!C270,'Gebouwgegevens Allacker'!$A$35:$F$46,5,0)</f>
        <v>#N/A</v>
      </c>
      <c r="H270" s="123" t="e">
        <f>VLOOKUP('Verwarming Tabula 2zone RefULG2'!D270,'Gebouwgegevens Allacker'!$A$35:$F$46,5,0)</f>
        <v>#N/A</v>
      </c>
      <c r="I270" s="123" t="e">
        <f>VLOOKUP(B270,'Gebouwgegevens Allacker'!$J$5:$Q$83,7,0)</f>
        <v>#N/A</v>
      </c>
      <c r="J270" s="119" t="e">
        <f>VLOOKUP(B270,'Gebouwgegevens Allacker'!$J$5:$Q$83,8,0)</f>
        <v>#N/A</v>
      </c>
      <c r="K270" s="119" t="e">
        <f>(G270-H270)/(G270-$B$4)</f>
        <v>#N/A</v>
      </c>
      <c r="L270" s="99"/>
      <c r="M270" s="99"/>
      <c r="N270" s="99"/>
      <c r="O270" s="99"/>
      <c r="P270" s="97"/>
    </row>
    <row r="271" spans="1:16" ht="16.5" customHeight="1" thickTop="1" thickBot="1" x14ac:dyDescent="0.3">
      <c r="A271" s="96"/>
      <c r="B271" s="124"/>
      <c r="C271" s="140"/>
      <c r="D271" s="123"/>
      <c r="E271" s="123"/>
      <c r="F271" s="123"/>
      <c r="G271" s="123"/>
      <c r="H271" s="123"/>
      <c r="I271" s="123"/>
      <c r="J271" s="119"/>
      <c r="K271" s="119"/>
      <c r="L271" s="99"/>
      <c r="M271" s="99"/>
      <c r="N271" s="99"/>
      <c r="O271" s="99"/>
      <c r="P271" s="97"/>
    </row>
    <row r="272" spans="1:16" ht="16.5" customHeight="1" thickTop="1" thickBot="1" x14ac:dyDescent="0.3">
      <c r="A272" s="96"/>
      <c r="B272" s="124"/>
      <c r="C272" s="140"/>
      <c r="D272" s="123"/>
      <c r="E272" s="123"/>
      <c r="F272" s="123"/>
      <c r="G272" s="123"/>
      <c r="H272" s="123"/>
      <c r="I272" s="123"/>
      <c r="J272" s="119"/>
      <c r="K272" s="119"/>
      <c r="L272" s="99"/>
      <c r="M272" s="99"/>
      <c r="N272" s="99"/>
      <c r="O272" s="99"/>
      <c r="P272" s="97"/>
    </row>
    <row r="273" spans="1:16" ht="16.5" customHeight="1" thickTop="1" thickBot="1" x14ac:dyDescent="0.3">
      <c r="A273" s="96"/>
      <c r="B273" s="124"/>
      <c r="C273" s="140"/>
      <c r="D273" s="123"/>
      <c r="E273" s="123"/>
      <c r="F273" s="123"/>
      <c r="G273" s="123"/>
      <c r="H273" s="123"/>
      <c r="I273" s="123"/>
      <c r="J273" s="119"/>
      <c r="K273" s="119"/>
      <c r="L273" s="99"/>
      <c r="M273" s="99"/>
      <c r="N273" s="99"/>
      <c r="O273" s="99"/>
      <c r="P273" s="97"/>
    </row>
    <row r="274" spans="1:16" ht="16.5" customHeight="1" thickTop="1" thickBot="1" x14ac:dyDescent="0.3">
      <c r="A274" s="96"/>
      <c r="B274" s="124"/>
      <c r="C274" s="140"/>
      <c r="D274" s="123"/>
      <c r="E274" s="123"/>
      <c r="F274" s="123"/>
      <c r="G274" s="123"/>
      <c r="H274" s="123"/>
      <c r="I274" s="123"/>
      <c r="J274" s="119"/>
      <c r="K274" s="119"/>
      <c r="L274" s="99"/>
      <c r="M274" s="99"/>
      <c r="N274" s="99"/>
      <c r="O274" s="99"/>
      <c r="P274" s="97"/>
    </row>
    <row r="275" spans="1:16" ht="16.5" customHeight="1" thickTop="1" thickBot="1" x14ac:dyDescent="0.3">
      <c r="A275" s="96"/>
      <c r="B275" s="124"/>
      <c r="C275" s="140"/>
      <c r="D275" s="123"/>
      <c r="E275" s="123"/>
      <c r="F275" s="123"/>
      <c r="G275" s="123"/>
      <c r="H275" s="123"/>
      <c r="I275" s="123"/>
      <c r="J275" s="119"/>
      <c r="K275" s="119"/>
      <c r="L275" s="99"/>
      <c r="M275" s="99"/>
      <c r="N275" s="99"/>
      <c r="O275" s="99"/>
      <c r="P275" s="97"/>
    </row>
    <row r="276" spans="1:16" ht="16.5" customHeight="1" thickTop="1" thickBot="1" x14ac:dyDescent="0.3">
      <c r="A276" s="96"/>
      <c r="B276" s="124"/>
      <c r="C276" s="140"/>
      <c r="D276" s="123"/>
      <c r="E276" s="123"/>
      <c r="F276" s="123"/>
      <c r="G276" s="123"/>
      <c r="H276" s="123"/>
      <c r="I276" s="123"/>
      <c r="J276" s="119"/>
      <c r="K276" s="119"/>
      <c r="L276" s="99"/>
      <c r="M276" s="99"/>
      <c r="N276" s="99"/>
      <c r="O276" s="99"/>
      <c r="P276" s="97"/>
    </row>
    <row r="277" spans="1:16" ht="15.75" customHeight="1" thickTop="1" x14ac:dyDescent="0.25">
      <c r="A277" s="96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9"/>
      <c r="M277" s="99"/>
      <c r="N277" s="99"/>
      <c r="O277" s="99"/>
      <c r="P277" s="97"/>
    </row>
    <row r="278" spans="1:16" ht="15" customHeight="1" x14ac:dyDescent="0.25">
      <c r="A278" s="96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7"/>
    </row>
    <row r="279" spans="1:16" ht="15.75" customHeight="1" x14ac:dyDescent="0.25">
      <c r="A279" s="104" t="s">
        <v>195</v>
      </c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7"/>
    </row>
    <row r="280" spans="1:16" ht="16.5" customHeight="1" x14ac:dyDescent="0.25">
      <c r="A280" s="125" t="s">
        <v>196</v>
      </c>
      <c r="B280" s="119" t="e">
        <f>SUMPRODUCT(H243:H254,I243:I254)+SUMPRODUCT(G259:G263,H259:H263)+SUMPRODUCT(J267:J276,K267:K276)</f>
        <v>#N/A</v>
      </c>
      <c r="C280" s="119" t="s">
        <v>107</v>
      </c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7"/>
    </row>
    <row r="281" spans="1:16" ht="16.5" customHeight="1" x14ac:dyDescent="0.25">
      <c r="A281" s="125" t="s">
        <v>170</v>
      </c>
      <c r="B281" s="119" t="e">
        <f>B280*(G267-$B$4)</f>
        <v>#N/A</v>
      </c>
      <c r="C281" s="119" t="s">
        <v>172</v>
      </c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7"/>
    </row>
    <row r="282" spans="1:16" ht="15.75" customHeight="1" thickBot="1" x14ac:dyDescent="0.3">
      <c r="A282" s="110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2"/>
    </row>
    <row r="283" spans="1:16" ht="15.75" customHeight="1" thickTop="1" x14ac:dyDescent="0.25">
      <c r="A283" s="312" t="s">
        <v>197</v>
      </c>
      <c r="B283" s="312"/>
      <c r="C283" s="312"/>
      <c r="D283" s="126" t="s">
        <v>225</v>
      </c>
      <c r="E283" s="289"/>
      <c r="F283" s="289"/>
      <c r="G283" s="289"/>
      <c r="H283" s="289"/>
      <c r="I283" s="289"/>
      <c r="J283" s="289"/>
      <c r="K283" s="289"/>
      <c r="L283" s="289"/>
      <c r="M283" s="289"/>
      <c r="N283" s="289"/>
      <c r="O283" s="289"/>
      <c r="P283" s="95"/>
    </row>
    <row r="284" spans="1:16" ht="15" customHeight="1" x14ac:dyDescent="0.25">
      <c r="A284" s="96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7"/>
    </row>
    <row r="285" spans="1:16" ht="15" customHeight="1" thickBot="1" x14ac:dyDescent="0.3">
      <c r="A285" s="127" t="s">
        <v>198</v>
      </c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7"/>
    </row>
    <row r="286" spans="1:16" ht="15" customHeight="1" thickTop="1" thickBot="1" x14ac:dyDescent="0.3">
      <c r="A286" s="128" t="s">
        <v>199</v>
      </c>
      <c r="B286" s="122">
        <v>8</v>
      </c>
      <c r="C286" s="121" t="s">
        <v>200</v>
      </c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7"/>
    </row>
    <row r="287" spans="1:16" ht="15" customHeight="1" thickTop="1" thickBot="1" x14ac:dyDescent="0.3">
      <c r="A287" s="128" t="s">
        <v>201</v>
      </c>
      <c r="B287" s="122">
        <v>0.03</v>
      </c>
      <c r="C287" s="121" t="s">
        <v>202</v>
      </c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7"/>
    </row>
    <row r="288" spans="1:16" ht="15.75" customHeight="1" thickTop="1" thickBot="1" x14ac:dyDescent="0.3">
      <c r="A288" s="128" t="s">
        <v>203</v>
      </c>
      <c r="B288" s="122">
        <v>1</v>
      </c>
      <c r="C288" s="121" t="s">
        <v>204</v>
      </c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7"/>
    </row>
    <row r="289" spans="1:16" ht="16.5" customHeight="1" thickTop="1" x14ac:dyDescent="0.25">
      <c r="A289" s="125" t="s">
        <v>205</v>
      </c>
      <c r="B289" s="119" t="e">
        <f>2*VLOOKUP(B237,'Gebouwgegevens Allacker'!$A$35:$F$46,6,0)*B286*B287*B288</f>
        <v>#N/A</v>
      </c>
      <c r="C289" s="119" t="s">
        <v>206</v>
      </c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7"/>
    </row>
    <row r="290" spans="1:16" ht="15.75" customHeight="1" x14ac:dyDescent="0.25">
      <c r="A290" s="96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7"/>
    </row>
    <row r="291" spans="1:16" ht="15" customHeight="1" x14ac:dyDescent="0.25">
      <c r="A291" s="127" t="s">
        <v>207</v>
      </c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7"/>
    </row>
    <row r="292" spans="1:16" ht="15.75" customHeight="1" x14ac:dyDescent="0.25">
      <c r="A292" s="96" t="s">
        <v>183</v>
      </c>
      <c r="B292" s="99" t="e">
        <f>VLOOKUP(B237,'Gebouwgegevens Allacker'!$A$35:$F$46,6,0)</f>
        <v>#N/A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7"/>
    </row>
    <row r="293" spans="1:16" ht="16.5" customHeight="1" x14ac:dyDescent="0.25">
      <c r="A293" s="125" t="s">
        <v>208</v>
      </c>
      <c r="B293" s="129">
        <v>50</v>
      </c>
      <c r="C293" s="119" t="s">
        <v>206</v>
      </c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7"/>
    </row>
    <row r="294" spans="1:16" ht="15.75" customHeight="1" x14ac:dyDescent="0.25">
      <c r="A294" s="96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7"/>
    </row>
    <row r="295" spans="1:16" ht="15.75" customHeight="1" x14ac:dyDescent="0.25">
      <c r="A295" s="96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7"/>
    </row>
    <row r="296" spans="1:16" ht="16.5" customHeight="1" x14ac:dyDescent="0.25">
      <c r="A296" s="125" t="s">
        <v>210</v>
      </c>
      <c r="B296" s="119" t="e">
        <f>MAX(B289,B293)</f>
        <v>#N/A</v>
      </c>
      <c r="C296" s="119" t="s">
        <v>206</v>
      </c>
      <c r="D296" s="99"/>
      <c r="E296" s="99"/>
      <c r="F296" s="119" t="s">
        <v>211</v>
      </c>
      <c r="G296" s="119" t="e">
        <f>B296/VLOOKUP(B237,'Gebouwgegevens Allacker'!$A$35:$B$46,2,0)</f>
        <v>#N/A</v>
      </c>
      <c r="H296" s="99"/>
      <c r="I296" s="99"/>
      <c r="J296" s="99"/>
      <c r="K296" s="99"/>
      <c r="L296" s="99"/>
      <c r="M296" s="99"/>
      <c r="N296" s="99"/>
      <c r="O296" s="99"/>
      <c r="P296" s="97"/>
    </row>
    <row r="297" spans="1:16" ht="16.5" customHeight="1" x14ac:dyDescent="0.25">
      <c r="A297" s="96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7"/>
    </row>
    <row r="298" spans="1:16" ht="16.5" customHeight="1" x14ac:dyDescent="0.25">
      <c r="A298" s="125" t="s">
        <v>212</v>
      </c>
      <c r="B298" s="119" t="e">
        <f>0.34*B296</f>
        <v>#N/A</v>
      </c>
      <c r="C298" s="119" t="s">
        <v>107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7"/>
    </row>
    <row r="299" spans="1:16" ht="16.5" customHeight="1" x14ac:dyDescent="0.25">
      <c r="A299" s="125" t="s">
        <v>170</v>
      </c>
      <c r="B299" s="119" t="e">
        <f>B298*('Gebouwgegevens Allacker'!E259-$B$4)</f>
        <v>#N/A</v>
      </c>
      <c r="C299" s="119" t="s">
        <v>172</v>
      </c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7"/>
    </row>
    <row r="300" spans="1:16" ht="15.75" customHeight="1" thickBot="1" x14ac:dyDescent="0.3">
      <c r="A300" s="110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2"/>
    </row>
    <row r="301" spans="1:16" ht="15.75" customHeight="1" thickTop="1" x14ac:dyDescent="0.25">
      <c r="A301" s="312" t="s">
        <v>213</v>
      </c>
      <c r="B301" s="312"/>
      <c r="C301" s="312"/>
      <c r="D301" s="312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7"/>
    </row>
    <row r="302" spans="1:16" ht="15" customHeight="1" thickBot="1" x14ac:dyDescent="0.3">
      <c r="A302" s="96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7"/>
    </row>
    <row r="303" spans="1:16" ht="15" customHeight="1" thickTop="1" thickBot="1" x14ac:dyDescent="0.3">
      <c r="A303" s="128" t="s">
        <v>214</v>
      </c>
      <c r="B303" s="122">
        <v>90</v>
      </c>
      <c r="C303" s="58" t="s">
        <v>235</v>
      </c>
      <c r="D303" s="58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7"/>
    </row>
    <row r="304" spans="1:16" ht="15.75" customHeight="1" thickTop="1" x14ac:dyDescent="0.25">
      <c r="A304" s="153" t="s">
        <v>113</v>
      </c>
      <c r="B304" s="58" t="e">
        <f>VLOOKUP(B237,'Gebouwgegevens Allacker'!$A$35:$F$46,6,0)</f>
        <v>#N/A</v>
      </c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7"/>
    </row>
    <row r="305" spans="1:16" ht="16.5" customHeight="1" x14ac:dyDescent="0.25">
      <c r="A305" s="125" t="s">
        <v>216</v>
      </c>
      <c r="B305" s="119" t="e">
        <f>B306/('Gebouwgegevens Allacker'!E259-'Verwarming Tabula 2zone RefULG2'!$B$4)</f>
        <v>#N/A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7"/>
    </row>
    <row r="306" spans="1:16" ht="16.5" customHeight="1" x14ac:dyDescent="0.25">
      <c r="A306" s="125" t="s">
        <v>170</v>
      </c>
      <c r="B306" s="119" t="e">
        <f>B303*B304</f>
        <v>#N/A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7"/>
    </row>
    <row r="307" spans="1:16" ht="15.75" customHeight="1" x14ac:dyDescent="0.25">
      <c r="A307" s="96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7"/>
    </row>
    <row r="308" spans="1:16" ht="15.75" customHeight="1" thickBot="1" x14ac:dyDescent="0.3">
      <c r="A308" s="96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7"/>
    </row>
    <row r="309" spans="1:16" ht="15.75" customHeight="1" thickTop="1" thickBot="1" x14ac:dyDescent="0.3">
      <c r="A309" s="130" t="s">
        <v>217</v>
      </c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2"/>
    </row>
    <row r="310" spans="1:16" ht="16.5" customHeight="1" thickTop="1" x14ac:dyDescent="0.25">
      <c r="A310" s="125" t="s">
        <v>218</v>
      </c>
      <c r="B310" s="119" t="e">
        <f>SUM(B280,B298,B305)</f>
        <v>#N/A</v>
      </c>
      <c r="C310" s="119" t="s">
        <v>107</v>
      </c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4"/>
    </row>
    <row r="311" spans="1:16" ht="16.5" customHeight="1" x14ac:dyDescent="0.25">
      <c r="A311" s="125" t="s">
        <v>170</v>
      </c>
      <c r="B311" s="119" t="e">
        <f>SUM(B281,B299,B306)</f>
        <v>#N/A</v>
      </c>
      <c r="C311" s="119" t="s">
        <v>172</v>
      </c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4"/>
    </row>
    <row r="312" spans="1:16" ht="16.5" customHeight="1" thickBot="1" x14ac:dyDescent="0.3">
      <c r="A312" s="135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7"/>
    </row>
    <row r="313" spans="1:16" ht="15" customHeight="1" thickTop="1" x14ac:dyDescent="0.25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</row>
    <row r="314" spans="1:16" ht="15.75" customHeight="1" thickBot="1" x14ac:dyDescent="0.3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</row>
    <row r="315" spans="1:16" ht="15" customHeight="1" thickTop="1" thickBot="1" x14ac:dyDescent="0.3">
      <c r="A315" s="94"/>
      <c r="B315" s="289"/>
      <c r="C315" s="289"/>
      <c r="D315" s="289"/>
      <c r="E315" s="289"/>
      <c r="F315" s="289"/>
      <c r="G315" s="289"/>
      <c r="H315" s="289"/>
      <c r="I315" s="289"/>
      <c r="J315" s="289"/>
      <c r="K315" s="289"/>
      <c r="L315" s="289"/>
      <c r="M315" s="289"/>
      <c r="N315" s="289"/>
      <c r="O315" s="289"/>
      <c r="P315" s="95"/>
    </row>
    <row r="316" spans="1:16" ht="17.25" customHeight="1" thickTop="1" thickBot="1" x14ac:dyDescent="0.35">
      <c r="A316" s="98" t="s">
        <v>169</v>
      </c>
      <c r="B316" s="93">
        <v>5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7"/>
    </row>
    <row r="317" spans="1:16" ht="15.75" customHeight="1" thickTop="1" x14ac:dyDescent="0.25">
      <c r="A317" s="312" t="s">
        <v>171</v>
      </c>
      <c r="B317" s="312"/>
      <c r="C317" s="312"/>
      <c r="D317" s="312"/>
      <c r="E317" s="289"/>
      <c r="F317" s="289"/>
      <c r="G317" s="289"/>
      <c r="H317" s="289"/>
      <c r="I317" s="289"/>
      <c r="J317" s="289"/>
      <c r="K317" s="289"/>
      <c r="L317" s="289"/>
      <c r="M317" s="289"/>
      <c r="N317" s="289"/>
      <c r="O317" s="289"/>
      <c r="P317" s="95"/>
    </row>
    <row r="318" spans="1:16" ht="15" customHeight="1" x14ac:dyDescent="0.25">
      <c r="A318" s="96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7"/>
    </row>
    <row r="319" spans="1:16" ht="15" customHeight="1" x14ac:dyDescent="0.25">
      <c r="A319" s="104" t="s">
        <v>173</v>
      </c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7"/>
    </row>
    <row r="320" spans="1:16" ht="15" customHeight="1" x14ac:dyDescent="0.25">
      <c r="A320" s="96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7"/>
    </row>
    <row r="321" spans="1:16" ht="15.75" customHeight="1" thickBot="1" x14ac:dyDescent="0.3">
      <c r="A321" s="96"/>
      <c r="B321" s="105" t="s">
        <v>10</v>
      </c>
      <c r="C321" s="105" t="s">
        <v>174</v>
      </c>
      <c r="D321" s="105" t="s">
        <v>175</v>
      </c>
      <c r="E321" s="105" t="s">
        <v>176</v>
      </c>
      <c r="F321" s="105" t="s">
        <v>177</v>
      </c>
      <c r="G321" s="105" t="s">
        <v>16</v>
      </c>
      <c r="H321" s="106" t="s">
        <v>17</v>
      </c>
      <c r="I321" s="106" t="s">
        <v>178</v>
      </c>
      <c r="J321" s="99"/>
      <c r="K321" s="99"/>
      <c r="L321" s="99"/>
      <c r="M321" s="99"/>
      <c r="N321" s="99"/>
      <c r="O321" s="99"/>
      <c r="P321" s="97"/>
    </row>
    <row r="322" spans="1:16" ht="16.5" customHeight="1" thickTop="1" thickBot="1" x14ac:dyDescent="0.3">
      <c r="A322" s="96"/>
      <c r="B322" s="107" t="s">
        <v>84</v>
      </c>
      <c r="C322" s="108">
        <f>VLOOKUP(B322,'Gebouwgegevens Allacker'!$J$5:$Q$83,3,0)</f>
        <v>3</v>
      </c>
      <c r="D322" s="108" t="str">
        <f>VLOOKUP(B322,'Gebouwgegevens Allacker'!$J$5:$Q$83,4,0)</f>
        <v>Window</v>
      </c>
      <c r="E322" s="108">
        <f>VLOOKUP(B322,'Gebouwgegevens Allacker'!$J$5:$Q$83,5,0)</f>
        <v>0</v>
      </c>
      <c r="F322" s="108" t="str">
        <f>VLOOKUP(B322,'Gebouwgegevens Allacker'!$J$5:$Q$83,6,0)</f>
        <v>front</v>
      </c>
      <c r="G322" s="108">
        <f>VLOOKUP(B322,'Gebouwgegevens Allacker'!$J$5:$Q$83,7,0)</f>
        <v>5</v>
      </c>
      <c r="H322" s="109">
        <f>VLOOKUP(B322,'Gebouwgegevens Allacker'!$J$5:$Q$83,8,0)</f>
        <v>0</v>
      </c>
      <c r="I322" s="109">
        <v>1</v>
      </c>
      <c r="J322" s="99"/>
      <c r="K322" s="99"/>
      <c r="L322" s="99"/>
      <c r="M322" s="99"/>
      <c r="N322" s="99"/>
      <c r="O322" s="99"/>
      <c r="P322" s="97"/>
    </row>
    <row r="323" spans="1:16" ht="16.5" customHeight="1" thickTop="1" thickBot="1" x14ac:dyDescent="0.3">
      <c r="A323" s="96"/>
      <c r="B323" s="107" t="s">
        <v>87</v>
      </c>
      <c r="C323" s="108">
        <f>VLOOKUP(B323,'Gebouwgegevens Allacker'!$J$5:$Q$83,3,0)</f>
        <v>3</v>
      </c>
      <c r="D323" s="108" t="str">
        <f>VLOOKUP(B323,'Gebouwgegevens Allacker'!$J$5:$Q$83,4,0)</f>
        <v>Window</v>
      </c>
      <c r="E323" s="108">
        <f>VLOOKUP(B323,'Gebouwgegevens Allacker'!$J$5:$Q$83,5,0)</f>
        <v>2</v>
      </c>
      <c r="F323" s="108" t="str">
        <f>VLOOKUP(B323,'Gebouwgegevens Allacker'!$J$5:$Q$83,6,0)</f>
        <v>right</v>
      </c>
      <c r="G323" s="108">
        <f>VLOOKUP(B323,'Gebouwgegevens Allacker'!$J$5:$Q$83,7,0)</f>
        <v>5</v>
      </c>
      <c r="H323" s="109">
        <f>VLOOKUP(B323,'Gebouwgegevens Allacker'!$J$5:$Q$83,8,0)</f>
        <v>10</v>
      </c>
      <c r="I323" s="109">
        <v>1</v>
      </c>
      <c r="J323" s="99"/>
      <c r="K323" s="99"/>
      <c r="L323" s="99"/>
      <c r="M323" s="99"/>
      <c r="N323" s="99"/>
      <c r="O323" s="99"/>
      <c r="P323" s="97"/>
    </row>
    <row r="324" spans="1:16" ht="16.5" customHeight="1" thickTop="1" thickBot="1" x14ac:dyDescent="0.3">
      <c r="A324" s="96"/>
      <c r="B324" s="107" t="s">
        <v>89</v>
      </c>
      <c r="C324" s="108">
        <f>VLOOKUP(B324,'Gebouwgegevens Allacker'!$J$5:$Q$83,3,0)</f>
        <v>3</v>
      </c>
      <c r="D324" s="108" t="str">
        <f>VLOOKUP(B324,'Gebouwgegevens Allacker'!$J$5:$Q$83,4,0)</f>
        <v>Window</v>
      </c>
      <c r="E324" s="108">
        <f>VLOOKUP(B324,'Gebouwgegevens Allacker'!$J$5:$Q$83,5,0)</f>
        <v>0</v>
      </c>
      <c r="F324" s="108" t="str">
        <f>VLOOKUP(B324,'Gebouwgegevens Allacker'!$J$5:$Q$83,6,0)</f>
        <v>back</v>
      </c>
      <c r="G324" s="108">
        <f>VLOOKUP(B324,'Gebouwgegevens Allacker'!$J$5:$Q$83,7,0)</f>
        <v>5</v>
      </c>
      <c r="H324" s="109">
        <f>VLOOKUP(B324,'Gebouwgegevens Allacker'!$J$5:$Q$83,8,0)</f>
        <v>0</v>
      </c>
      <c r="I324" s="109">
        <v>1</v>
      </c>
      <c r="J324" s="99"/>
      <c r="K324" s="99"/>
      <c r="L324" s="99"/>
      <c r="M324" s="99"/>
      <c r="N324" s="99"/>
      <c r="O324" s="99"/>
      <c r="P324" s="97"/>
    </row>
    <row r="325" spans="1:16" ht="16.5" customHeight="1" thickTop="1" thickBot="1" x14ac:dyDescent="0.3">
      <c r="A325" s="96"/>
      <c r="B325" s="107" t="s">
        <v>92</v>
      </c>
      <c r="C325" s="108">
        <f>VLOOKUP(B325,'Gebouwgegevens Allacker'!$J$5:$Q$83,3,0)</f>
        <v>3</v>
      </c>
      <c r="D325" s="108" t="str">
        <f>VLOOKUP(B325,'Gebouwgegevens Allacker'!$J$5:$Q$83,4,0)</f>
        <v>Window</v>
      </c>
      <c r="E325" s="108">
        <f>VLOOKUP(B325,'Gebouwgegevens Allacker'!$J$5:$Q$83,5,0)</f>
        <v>0</v>
      </c>
      <c r="F325" s="108" t="str">
        <f>VLOOKUP(B325,'Gebouwgegevens Allacker'!$J$5:$Q$83,6,0)</f>
        <v>left</v>
      </c>
      <c r="G325" s="108">
        <f>VLOOKUP(B325,'Gebouwgegevens Allacker'!$J$5:$Q$83,7,0)</f>
        <v>5</v>
      </c>
      <c r="H325" s="109">
        <f>VLOOKUP(B325,'Gebouwgegevens Allacker'!$J$5:$Q$83,8,0)</f>
        <v>0</v>
      </c>
      <c r="I325" s="109">
        <v>1</v>
      </c>
      <c r="J325" s="99"/>
      <c r="K325" s="99"/>
      <c r="L325" s="99"/>
      <c r="M325" s="99"/>
      <c r="N325" s="99"/>
      <c r="O325" s="99"/>
      <c r="P325" s="97"/>
    </row>
    <row r="326" spans="1:16" ht="16.5" customHeight="1" thickTop="1" thickBot="1" x14ac:dyDescent="0.3">
      <c r="A326" s="96"/>
      <c r="B326" s="107"/>
      <c r="C326" s="108"/>
      <c r="D326" s="108"/>
      <c r="E326" s="108"/>
      <c r="F326" s="108"/>
      <c r="G326" s="108"/>
      <c r="H326" s="109"/>
      <c r="I326" s="109"/>
      <c r="J326" s="99"/>
      <c r="K326" s="99"/>
      <c r="L326" s="99"/>
      <c r="M326" s="99"/>
      <c r="N326" s="99"/>
      <c r="O326" s="99"/>
      <c r="P326" s="97"/>
    </row>
    <row r="327" spans="1:16" ht="16.5" customHeight="1" thickTop="1" thickBot="1" x14ac:dyDescent="0.3">
      <c r="A327" s="96"/>
      <c r="B327" s="107"/>
      <c r="C327" s="108"/>
      <c r="D327" s="108"/>
      <c r="E327" s="108"/>
      <c r="F327" s="108"/>
      <c r="G327" s="108"/>
      <c r="H327" s="109"/>
      <c r="I327" s="109"/>
      <c r="J327" s="99"/>
      <c r="K327" s="99"/>
      <c r="L327" s="99"/>
      <c r="M327" s="99"/>
      <c r="N327" s="99"/>
      <c r="O327" s="99"/>
      <c r="P327" s="97"/>
    </row>
    <row r="328" spans="1:16" ht="16.5" customHeight="1" thickTop="1" thickBot="1" x14ac:dyDescent="0.3">
      <c r="A328" s="96"/>
      <c r="B328" s="107"/>
      <c r="C328" s="108"/>
      <c r="D328" s="108"/>
      <c r="E328" s="108"/>
      <c r="F328" s="108"/>
      <c r="G328" s="108"/>
      <c r="H328" s="109"/>
      <c r="I328" s="109"/>
      <c r="J328" s="99"/>
      <c r="K328" s="99"/>
      <c r="L328" s="99"/>
      <c r="M328" s="99"/>
      <c r="N328" s="99"/>
      <c r="O328" s="99"/>
      <c r="P328" s="97"/>
    </row>
    <row r="329" spans="1:16" ht="16.5" customHeight="1" thickTop="1" thickBot="1" x14ac:dyDescent="0.3">
      <c r="A329" s="96"/>
      <c r="B329" s="107"/>
      <c r="C329" s="108"/>
      <c r="D329" s="108"/>
      <c r="E329" s="108"/>
      <c r="F329" s="108"/>
      <c r="G329" s="108"/>
      <c r="H329" s="109"/>
      <c r="I329" s="109"/>
      <c r="J329" s="99"/>
      <c r="K329" s="99"/>
      <c r="L329" s="99"/>
      <c r="M329" s="99"/>
      <c r="N329" s="99"/>
      <c r="O329" s="99"/>
      <c r="P329" s="97"/>
    </row>
    <row r="330" spans="1:16" ht="16.5" customHeight="1" thickTop="1" thickBot="1" x14ac:dyDescent="0.3">
      <c r="A330" s="96"/>
      <c r="B330" s="107"/>
      <c r="C330" s="108"/>
      <c r="D330" s="108"/>
      <c r="E330" s="108"/>
      <c r="F330" s="108"/>
      <c r="G330" s="108"/>
      <c r="H330" s="109"/>
      <c r="I330" s="109"/>
      <c r="J330" s="99"/>
      <c r="K330" s="99"/>
      <c r="L330" s="99"/>
      <c r="M330" s="99"/>
      <c r="N330" s="99"/>
      <c r="O330" s="99"/>
      <c r="P330" s="97"/>
    </row>
    <row r="331" spans="1:16" ht="16.5" customHeight="1" thickTop="1" thickBot="1" x14ac:dyDescent="0.3">
      <c r="A331" s="96"/>
      <c r="B331" s="107"/>
      <c r="C331" s="108"/>
      <c r="D331" s="108"/>
      <c r="E331" s="108"/>
      <c r="F331" s="108"/>
      <c r="G331" s="108"/>
      <c r="H331" s="109"/>
      <c r="I331" s="109"/>
      <c r="J331" s="99"/>
      <c r="K331" s="99"/>
      <c r="L331" s="99"/>
      <c r="M331" s="99"/>
      <c r="N331" s="99"/>
      <c r="O331" s="99"/>
      <c r="P331" s="97"/>
    </row>
    <row r="332" spans="1:16" ht="16.5" customHeight="1" thickTop="1" thickBot="1" x14ac:dyDescent="0.3">
      <c r="A332" s="96"/>
      <c r="B332" s="107"/>
      <c r="C332" s="108"/>
      <c r="D332" s="108"/>
      <c r="E332" s="108"/>
      <c r="F332" s="108"/>
      <c r="G332" s="108"/>
      <c r="H332" s="109"/>
      <c r="I332" s="109"/>
      <c r="J332" s="99"/>
      <c r="K332" s="99"/>
      <c r="L332" s="99"/>
      <c r="M332" s="99"/>
      <c r="N332" s="99"/>
      <c r="O332" s="99"/>
      <c r="P332" s="97"/>
    </row>
    <row r="333" spans="1:16" ht="16.5" customHeight="1" thickTop="1" thickBot="1" x14ac:dyDescent="0.3">
      <c r="A333" s="96"/>
      <c r="B333" s="107"/>
      <c r="C333" s="108"/>
      <c r="D333" s="108"/>
      <c r="E333" s="108"/>
      <c r="F333" s="108"/>
      <c r="G333" s="108"/>
      <c r="H333" s="109"/>
      <c r="I333" s="109"/>
      <c r="J333" s="99"/>
      <c r="K333" s="99"/>
      <c r="L333" s="99"/>
      <c r="M333" s="99"/>
      <c r="N333" s="99"/>
      <c r="O333" s="99"/>
      <c r="P333" s="97"/>
    </row>
    <row r="334" spans="1:16" ht="15.75" customHeight="1" thickTop="1" x14ac:dyDescent="0.25">
      <c r="A334" s="96"/>
      <c r="B334" s="58"/>
      <c r="C334" s="58"/>
      <c r="D334" s="58"/>
      <c r="E334" s="58"/>
      <c r="F334" s="58"/>
      <c r="G334" s="115"/>
      <c r="H334" s="58"/>
      <c r="I334" s="58"/>
      <c r="J334" s="99"/>
      <c r="K334" s="99"/>
      <c r="L334" s="99"/>
      <c r="M334" s="99"/>
      <c r="N334" s="99"/>
      <c r="O334" s="99"/>
      <c r="P334" s="97"/>
    </row>
    <row r="335" spans="1:16" ht="15" customHeight="1" x14ac:dyDescent="0.25">
      <c r="A335" s="96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7"/>
    </row>
    <row r="336" spans="1:16" ht="15" customHeight="1" x14ac:dyDescent="0.25">
      <c r="A336" s="104" t="s">
        <v>180</v>
      </c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7"/>
    </row>
    <row r="337" spans="1:16" ht="15.75" customHeight="1" x14ac:dyDescent="0.25">
      <c r="A337" s="96"/>
      <c r="B337" s="58" t="s">
        <v>10</v>
      </c>
      <c r="C337" s="58" t="s">
        <v>181</v>
      </c>
      <c r="D337" s="58" t="s">
        <v>175</v>
      </c>
      <c r="E337" s="58" t="s">
        <v>182</v>
      </c>
      <c r="F337" s="58" t="s">
        <v>16</v>
      </c>
      <c r="G337" s="115" t="s">
        <v>17</v>
      </c>
      <c r="H337" s="115" t="s">
        <v>178</v>
      </c>
      <c r="I337" s="58" t="s">
        <v>183</v>
      </c>
      <c r="J337" s="58" t="s">
        <v>184</v>
      </c>
      <c r="K337" s="58" t="s">
        <v>185</v>
      </c>
      <c r="L337" s="116" t="s">
        <v>186</v>
      </c>
      <c r="M337" s="116" t="s">
        <v>187</v>
      </c>
      <c r="N337" s="116" t="s">
        <v>188</v>
      </c>
      <c r="O337" s="99"/>
      <c r="P337" s="97"/>
    </row>
    <row r="338" spans="1:16" ht="16.5" customHeight="1" thickBot="1" x14ac:dyDescent="0.3">
      <c r="A338" s="96"/>
      <c r="B338" s="117"/>
      <c r="C338" s="118"/>
      <c r="D338" s="118"/>
      <c r="E338" s="118"/>
      <c r="F338" s="118"/>
      <c r="G338" s="119"/>
      <c r="H338" s="119"/>
      <c r="I338" s="118"/>
      <c r="J338" s="117"/>
      <c r="K338" s="117"/>
      <c r="L338" s="120"/>
      <c r="M338" s="120"/>
      <c r="N338" s="121"/>
      <c r="O338" s="99"/>
      <c r="P338" s="97"/>
    </row>
    <row r="339" spans="1:16" ht="16.5" customHeight="1" thickTop="1" thickBot="1" x14ac:dyDescent="0.3">
      <c r="A339" s="96"/>
      <c r="B339" s="117"/>
      <c r="C339" s="118"/>
      <c r="D339" s="118"/>
      <c r="E339" s="118"/>
      <c r="F339" s="118"/>
      <c r="G339" s="119"/>
      <c r="H339" s="119"/>
      <c r="I339" s="118"/>
      <c r="J339" s="117"/>
      <c r="K339" s="117"/>
      <c r="L339" s="120"/>
      <c r="M339" s="120"/>
      <c r="N339" s="121"/>
      <c r="O339" s="99"/>
      <c r="P339" s="97"/>
    </row>
    <row r="340" spans="1:16" ht="16.5" customHeight="1" thickTop="1" thickBot="1" x14ac:dyDescent="0.3">
      <c r="A340" s="96"/>
      <c r="B340" s="117"/>
      <c r="C340" s="118"/>
      <c r="D340" s="118"/>
      <c r="E340" s="118"/>
      <c r="F340" s="118"/>
      <c r="G340" s="119"/>
      <c r="H340" s="119"/>
      <c r="I340" s="118"/>
      <c r="J340" s="117"/>
      <c r="K340" s="117"/>
      <c r="L340" s="120"/>
      <c r="M340" s="120"/>
      <c r="N340" s="121"/>
      <c r="O340" s="99"/>
      <c r="P340" s="97"/>
    </row>
    <row r="341" spans="1:16" ht="16.5" customHeight="1" thickTop="1" thickBot="1" x14ac:dyDescent="0.3">
      <c r="A341" s="96"/>
      <c r="B341" s="117"/>
      <c r="C341" s="118"/>
      <c r="D341" s="118"/>
      <c r="E341" s="118"/>
      <c r="F341" s="118"/>
      <c r="G341" s="119"/>
      <c r="H341" s="119"/>
      <c r="I341" s="118"/>
      <c r="J341" s="117"/>
      <c r="K341" s="117"/>
      <c r="L341" s="120"/>
      <c r="M341" s="120"/>
      <c r="N341" s="121"/>
      <c r="O341" s="99"/>
      <c r="P341" s="97"/>
    </row>
    <row r="342" spans="1:16" ht="16.5" customHeight="1" thickTop="1" thickBot="1" x14ac:dyDescent="0.3">
      <c r="A342" s="139"/>
      <c r="B342" s="117"/>
      <c r="C342" s="118"/>
      <c r="D342" s="118"/>
      <c r="E342" s="118"/>
      <c r="F342" s="118"/>
      <c r="G342" s="119"/>
      <c r="H342" s="119"/>
      <c r="I342" s="118"/>
      <c r="J342" s="117"/>
      <c r="K342" s="117"/>
      <c r="L342" s="120"/>
      <c r="M342" s="120"/>
      <c r="N342" s="121"/>
      <c r="O342" s="99"/>
      <c r="P342" s="97"/>
    </row>
    <row r="343" spans="1:16" ht="15.75" customHeight="1" thickTop="1" x14ac:dyDescent="0.25">
      <c r="A343" s="96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7"/>
    </row>
    <row r="344" spans="1:16" ht="15" customHeight="1" x14ac:dyDescent="0.25">
      <c r="A344" s="104" t="s">
        <v>189</v>
      </c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7"/>
    </row>
    <row r="345" spans="1:16" ht="15.75" customHeight="1" thickBot="1" x14ac:dyDescent="0.3">
      <c r="A345" s="96"/>
      <c r="B345" s="58" t="s">
        <v>10</v>
      </c>
      <c r="C345" s="58" t="s">
        <v>190</v>
      </c>
      <c r="D345" s="58" t="s">
        <v>191</v>
      </c>
      <c r="E345" s="58" t="s">
        <v>135</v>
      </c>
      <c r="F345" s="58" t="s">
        <v>192</v>
      </c>
      <c r="G345" s="58" t="s">
        <v>193</v>
      </c>
      <c r="H345" s="58" t="s">
        <v>194</v>
      </c>
      <c r="I345" s="58" t="s">
        <v>16</v>
      </c>
      <c r="J345" s="115" t="s">
        <v>17</v>
      </c>
      <c r="K345" s="115" t="s">
        <v>178</v>
      </c>
      <c r="L345" s="99"/>
      <c r="M345" s="99"/>
      <c r="N345" s="99"/>
      <c r="O345" s="99"/>
      <c r="P345" s="97"/>
    </row>
    <row r="346" spans="1:16" ht="16.5" customHeight="1" thickTop="1" thickBot="1" x14ac:dyDescent="0.3">
      <c r="A346" s="96"/>
      <c r="B346" s="122" t="s">
        <v>231</v>
      </c>
      <c r="C346" s="123" t="e">
        <f>IF(VLOOKUP(B346,'Gebouwgegevens Allacker'!$J$5:$Q$83,2,0)=$B$316,VLOOKUP(B346,'Gebouwgegevens Allacker'!$J$5:$Q$83,2,0),VLOOKUP(B346,'Gebouwgegevens Allacker'!$J$5:$Q$83,3,0))</f>
        <v>#N/A</v>
      </c>
      <c r="D346" s="123" t="e">
        <f>IF(VLOOKUP(B346,'Gebouwgegevens Allacker'!$J$5:$Q$83,2,0)=$B$316,VLOOKUP(B346,'Gebouwgegevens Allacker'!$J$5:$Q$83,3,0),VLOOKUP(B346,'Gebouwgegevens Allacker'!$J$5:$Q$83,2,0))</f>
        <v>#N/A</v>
      </c>
      <c r="E346" s="123" t="e">
        <f>VLOOKUP(B346,'Gebouwgegevens Allacker'!$J$5:$Q$83,4,0)</f>
        <v>#N/A</v>
      </c>
      <c r="F346" s="123" t="e">
        <f>VLOOKUP(B346,'Gebouwgegevens Allacker'!$J$5:$Q$83,5,0)</f>
        <v>#N/A</v>
      </c>
      <c r="G346" s="123" t="e">
        <f>VLOOKUP('Verwarming Tabula 2zone RefULG2'!C346,'Gebouwgegevens Allacker'!$A$35:$F$46,5,0)</f>
        <v>#N/A</v>
      </c>
      <c r="H346" s="123" t="e">
        <f>VLOOKUP('Verwarming Tabula 2zone RefULG2'!D346,'Gebouwgegevens Allacker'!$A$35:$F$46,5,0)</f>
        <v>#N/A</v>
      </c>
      <c r="I346" s="123" t="e">
        <f>VLOOKUP(B346,'Gebouwgegevens Allacker'!$J$5:$Q$83,7,0)</f>
        <v>#N/A</v>
      </c>
      <c r="J346" s="119" t="e">
        <f>VLOOKUP(B346,'Gebouwgegevens Allacker'!$J$5:$Q$83,8,0)</f>
        <v>#N/A</v>
      </c>
      <c r="K346" s="119" t="e">
        <f>(G346-H346)/(G346-$B$4)</f>
        <v>#N/A</v>
      </c>
      <c r="L346" s="99"/>
      <c r="M346" s="99"/>
      <c r="N346" s="99"/>
      <c r="O346" s="99"/>
      <c r="P346" s="97"/>
    </row>
    <row r="347" spans="1:16" ht="16.5" customHeight="1" thickTop="1" thickBot="1" x14ac:dyDescent="0.3">
      <c r="A347" s="96"/>
      <c r="B347" s="122" t="s">
        <v>236</v>
      </c>
      <c r="C347" s="123" t="e">
        <f>IF(VLOOKUP(B347,'Gebouwgegevens Allacker'!$J$5:$Q$83,2,0)=$B$316,VLOOKUP(B347,'Gebouwgegevens Allacker'!$J$5:$Q$83,2,0),VLOOKUP(B347,'Gebouwgegevens Allacker'!$J$5:$Q$83,3,0))</f>
        <v>#N/A</v>
      </c>
      <c r="D347" s="123" t="e">
        <f>IF(VLOOKUP(B347,'Gebouwgegevens Allacker'!$J$5:$Q$83,2,0)=$B$316,VLOOKUP(B347,'Gebouwgegevens Allacker'!$J$5:$Q$83,3,0),VLOOKUP(B347,'Gebouwgegevens Allacker'!$J$5:$Q$83,2,0))</f>
        <v>#N/A</v>
      </c>
      <c r="E347" s="123" t="e">
        <f>VLOOKUP(B347,'Gebouwgegevens Allacker'!$J$5:$Q$83,4,0)</f>
        <v>#N/A</v>
      </c>
      <c r="F347" s="123" t="e">
        <f>VLOOKUP(B347,'Gebouwgegevens Allacker'!$J$5:$Q$83,5,0)</f>
        <v>#N/A</v>
      </c>
      <c r="G347" s="123" t="e">
        <f>VLOOKUP('Verwarming Tabula 2zone RefULG2'!C347,'Gebouwgegevens Allacker'!$A$35:$F$46,5,0)</f>
        <v>#N/A</v>
      </c>
      <c r="H347" s="123" t="e">
        <f>VLOOKUP('Verwarming Tabula 2zone RefULG2'!D347,'Gebouwgegevens Allacker'!$A$35:$F$46,5,0)</f>
        <v>#N/A</v>
      </c>
      <c r="I347" s="123" t="e">
        <f>VLOOKUP(B347,'Gebouwgegevens Allacker'!$J$5:$Q$83,7,0)</f>
        <v>#N/A</v>
      </c>
      <c r="J347" s="119" t="e">
        <f>VLOOKUP(B347,'Gebouwgegevens Allacker'!$J$5:$Q$83,8,0)</f>
        <v>#N/A</v>
      </c>
      <c r="K347" s="119" t="e">
        <f>(G347-H347)/(G347-$B$4)</f>
        <v>#N/A</v>
      </c>
      <c r="L347" s="99"/>
      <c r="M347" s="99"/>
      <c r="N347" s="99"/>
      <c r="O347" s="99"/>
      <c r="P347" s="97"/>
    </row>
    <row r="348" spans="1:16" ht="16.5" customHeight="1" thickTop="1" thickBot="1" x14ac:dyDescent="0.3">
      <c r="A348" s="96"/>
      <c r="B348" s="122" t="s">
        <v>237</v>
      </c>
      <c r="C348" s="123" t="e">
        <f>IF(VLOOKUP(B348,'Gebouwgegevens Allacker'!$J$5:$Q$83,2,0)=$B$316,VLOOKUP(B348,'Gebouwgegevens Allacker'!$J$5:$Q$83,2,0),VLOOKUP(B348,'Gebouwgegevens Allacker'!$J$5:$Q$83,3,0))</f>
        <v>#N/A</v>
      </c>
      <c r="D348" s="123" t="e">
        <f>IF(VLOOKUP(B348,'Gebouwgegevens Allacker'!$J$5:$Q$83,2,0)=$B$316,VLOOKUP(B348,'Gebouwgegevens Allacker'!$J$5:$Q$83,3,0),VLOOKUP(B348,'Gebouwgegevens Allacker'!$J$5:$Q$83,2,0))</f>
        <v>#N/A</v>
      </c>
      <c r="E348" s="123" t="e">
        <f>VLOOKUP(B348,'Gebouwgegevens Allacker'!$J$5:$Q$83,4,0)</f>
        <v>#N/A</v>
      </c>
      <c r="F348" s="123" t="e">
        <f>VLOOKUP(B348,'Gebouwgegevens Allacker'!$J$5:$Q$83,5,0)</f>
        <v>#N/A</v>
      </c>
      <c r="G348" s="123" t="e">
        <f>VLOOKUP('Verwarming Tabula 2zone RefULG2'!C348,'Gebouwgegevens Allacker'!$A$35:$F$46,5,0)</f>
        <v>#N/A</v>
      </c>
      <c r="H348" s="123" t="e">
        <f>VLOOKUP('Verwarming Tabula 2zone RefULG2'!D348,'Gebouwgegevens Allacker'!$A$35:$F$46,5,0)</f>
        <v>#N/A</v>
      </c>
      <c r="I348" s="123" t="e">
        <f>VLOOKUP(B348,'Gebouwgegevens Allacker'!$J$5:$Q$83,7,0)</f>
        <v>#N/A</v>
      </c>
      <c r="J348" s="119" t="e">
        <f>VLOOKUP(B348,'Gebouwgegevens Allacker'!$J$5:$Q$83,8,0)</f>
        <v>#N/A</v>
      </c>
      <c r="K348" s="119" t="e">
        <f>(G348-H348)/(G348-$B$4)</f>
        <v>#N/A</v>
      </c>
      <c r="L348" s="99"/>
      <c r="M348" s="99"/>
      <c r="N348" s="99"/>
      <c r="O348" s="99"/>
      <c r="P348" s="97"/>
    </row>
    <row r="349" spans="1:16" ht="16.5" customHeight="1" thickTop="1" thickBot="1" x14ac:dyDescent="0.3">
      <c r="A349" s="96"/>
      <c r="B349" s="93" t="s">
        <v>238</v>
      </c>
      <c r="C349" s="123" t="e">
        <f>IF(VLOOKUP(B349,'Gebouwgegevens Allacker'!$J$5:$Q$83,2,0)=$B$316,VLOOKUP(B349,'Gebouwgegevens Allacker'!$J$5:$Q$83,2,0),VLOOKUP(B349,'Gebouwgegevens Allacker'!$J$5:$Q$83,3,0))</f>
        <v>#N/A</v>
      </c>
      <c r="D349" s="123" t="e">
        <f>IF(VLOOKUP(B349,'Gebouwgegevens Allacker'!$J$5:$Q$83,2,0)=$B$316,VLOOKUP(B349,'Gebouwgegevens Allacker'!$J$5:$Q$83,3,0),VLOOKUP(B349,'Gebouwgegevens Allacker'!$J$5:$Q$83,2,0))</f>
        <v>#N/A</v>
      </c>
      <c r="E349" s="123" t="e">
        <f>VLOOKUP(B349,'Gebouwgegevens Allacker'!$J$5:$Q$83,4,0)</f>
        <v>#N/A</v>
      </c>
      <c r="F349" s="123" t="e">
        <f>VLOOKUP(B349,'Gebouwgegevens Allacker'!$J$5:$Q$83,5,0)</f>
        <v>#N/A</v>
      </c>
      <c r="G349" s="123" t="e">
        <f>VLOOKUP('Verwarming Tabula 2zone RefULG2'!C349,'Gebouwgegevens Allacker'!$A$35:$F$46,5,0)</f>
        <v>#N/A</v>
      </c>
      <c r="H349" s="123" t="e">
        <f>VLOOKUP('Verwarming Tabula 2zone RefULG2'!D349,'Gebouwgegevens Allacker'!$A$35:$F$46,5,0)</f>
        <v>#N/A</v>
      </c>
      <c r="I349" s="123" t="e">
        <f>VLOOKUP(B349,'Gebouwgegevens Allacker'!$J$5:$Q$83,7,0)</f>
        <v>#N/A</v>
      </c>
      <c r="J349" s="119" t="e">
        <f>VLOOKUP(B349,'Gebouwgegevens Allacker'!$J$5:$Q$83,8,0)</f>
        <v>#N/A</v>
      </c>
      <c r="K349" s="119" t="e">
        <f>(G349-H349)/(G349-$B$4)</f>
        <v>#N/A</v>
      </c>
      <c r="L349" s="99"/>
      <c r="M349" s="99"/>
      <c r="N349" s="99"/>
      <c r="O349" s="99"/>
      <c r="P349" s="97"/>
    </row>
    <row r="350" spans="1:16" ht="16.5" customHeight="1" thickTop="1" thickBot="1" x14ac:dyDescent="0.3">
      <c r="A350" s="96"/>
      <c r="B350" s="124" t="s">
        <v>239</v>
      </c>
      <c r="C350" s="123" t="e">
        <f>IF(VLOOKUP(B350,'Gebouwgegevens Allacker'!$J$5:$Q$83,2,0)=$B$316,VLOOKUP(B350,'Gebouwgegevens Allacker'!$J$5:$Q$83,2,0),VLOOKUP(B350,'Gebouwgegevens Allacker'!$J$5:$Q$83,3,0))</f>
        <v>#N/A</v>
      </c>
      <c r="D350" s="123" t="e">
        <f>IF(VLOOKUP(B350,'Gebouwgegevens Allacker'!$J$5:$Q$83,2,0)=$B$316,VLOOKUP(B350,'Gebouwgegevens Allacker'!$J$5:$Q$83,3,0),VLOOKUP(B350,'Gebouwgegevens Allacker'!$J$5:$Q$83,2,0))</f>
        <v>#N/A</v>
      </c>
      <c r="E350" s="123" t="e">
        <f>VLOOKUP(B350,'Gebouwgegevens Allacker'!$J$5:$Q$83,4,0)</f>
        <v>#N/A</v>
      </c>
      <c r="F350" s="123" t="e">
        <f>VLOOKUP(B350,'Gebouwgegevens Allacker'!$J$5:$Q$83,5,0)</f>
        <v>#N/A</v>
      </c>
      <c r="G350" s="123" t="e">
        <f>VLOOKUP('Verwarming Tabula 2zone RefULG2'!C350,'Gebouwgegevens Allacker'!$A$35:$F$46,5,0)</f>
        <v>#N/A</v>
      </c>
      <c r="H350" s="123" t="e">
        <f>VLOOKUP('Verwarming Tabula 2zone RefULG2'!D350,'Gebouwgegevens Allacker'!$A$35:$F$46,5,0)</f>
        <v>#N/A</v>
      </c>
      <c r="I350" s="123" t="e">
        <f>VLOOKUP(B350,'Gebouwgegevens Allacker'!$J$5:$Q$83,7,0)</f>
        <v>#N/A</v>
      </c>
      <c r="J350" s="119" t="e">
        <f>VLOOKUP(B350,'Gebouwgegevens Allacker'!$J$5:$Q$83,8,0)</f>
        <v>#N/A</v>
      </c>
      <c r="K350" s="119" t="e">
        <f>(G350-H350)/(G350-$B$4)</f>
        <v>#N/A</v>
      </c>
      <c r="L350" s="99"/>
      <c r="M350" s="99"/>
      <c r="N350" s="99"/>
      <c r="O350" s="99"/>
      <c r="P350" s="97"/>
    </row>
    <row r="351" spans="1:16" ht="16.5" customHeight="1" thickTop="1" thickBot="1" x14ac:dyDescent="0.3">
      <c r="A351" s="96"/>
      <c r="B351" s="124"/>
      <c r="C351" s="140"/>
      <c r="D351" s="123"/>
      <c r="E351" s="123"/>
      <c r="F351" s="123"/>
      <c r="G351" s="123"/>
      <c r="H351" s="123"/>
      <c r="I351" s="123"/>
      <c r="J351" s="119"/>
      <c r="K351" s="119"/>
      <c r="L351" s="99"/>
      <c r="M351" s="99"/>
      <c r="N351" s="99"/>
      <c r="O351" s="99"/>
      <c r="P351" s="97"/>
    </row>
    <row r="352" spans="1:16" ht="16.5" customHeight="1" thickTop="1" thickBot="1" x14ac:dyDescent="0.3">
      <c r="A352" s="96"/>
      <c r="B352" s="124"/>
      <c r="C352" s="140"/>
      <c r="D352" s="123"/>
      <c r="E352" s="123"/>
      <c r="F352" s="123"/>
      <c r="G352" s="123"/>
      <c r="H352" s="123"/>
      <c r="I352" s="123"/>
      <c r="J352" s="119"/>
      <c r="K352" s="119"/>
      <c r="L352" s="99"/>
      <c r="M352" s="99"/>
      <c r="N352" s="99"/>
      <c r="O352" s="99"/>
      <c r="P352" s="97"/>
    </row>
    <row r="353" spans="1:16" ht="16.5" customHeight="1" thickTop="1" thickBot="1" x14ac:dyDescent="0.3">
      <c r="A353" s="96"/>
      <c r="B353" s="124"/>
      <c r="C353" s="140"/>
      <c r="D353" s="123"/>
      <c r="E353" s="123"/>
      <c r="F353" s="123"/>
      <c r="G353" s="123"/>
      <c r="H353" s="123"/>
      <c r="I353" s="123"/>
      <c r="J353" s="119"/>
      <c r="K353" s="119"/>
      <c r="L353" s="99"/>
      <c r="M353" s="99"/>
      <c r="N353" s="99"/>
      <c r="O353" s="99"/>
      <c r="P353" s="97"/>
    </row>
    <row r="354" spans="1:16" ht="16.5" customHeight="1" thickTop="1" thickBot="1" x14ac:dyDescent="0.3">
      <c r="A354" s="96"/>
      <c r="B354" s="124"/>
      <c r="C354" s="140"/>
      <c r="D354" s="123"/>
      <c r="E354" s="123"/>
      <c r="F354" s="123"/>
      <c r="G354" s="123"/>
      <c r="H354" s="123"/>
      <c r="I354" s="123"/>
      <c r="J354" s="119"/>
      <c r="K354" s="119"/>
      <c r="L354" s="99"/>
      <c r="M354" s="99"/>
      <c r="N354" s="99"/>
      <c r="O354" s="99"/>
      <c r="P354" s="97"/>
    </row>
    <row r="355" spans="1:16" ht="16.5" customHeight="1" thickTop="1" thickBot="1" x14ac:dyDescent="0.3">
      <c r="A355" s="96"/>
      <c r="B355" s="124"/>
      <c r="C355" s="140"/>
      <c r="D355" s="123"/>
      <c r="E355" s="123"/>
      <c r="F355" s="123"/>
      <c r="G355" s="123"/>
      <c r="H355" s="123"/>
      <c r="I355" s="123"/>
      <c r="J355" s="119"/>
      <c r="K355" s="119"/>
      <c r="L355" s="99"/>
      <c r="M355" s="99"/>
      <c r="N355" s="99"/>
      <c r="O355" s="99"/>
      <c r="P355" s="97"/>
    </row>
    <row r="356" spans="1:16" ht="15.75" customHeight="1" thickTop="1" x14ac:dyDescent="0.25">
      <c r="A356" s="96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9"/>
      <c r="M356" s="99"/>
      <c r="N356" s="99"/>
      <c r="O356" s="99"/>
      <c r="P356" s="97"/>
    </row>
    <row r="357" spans="1:16" ht="15" customHeight="1" x14ac:dyDescent="0.25">
      <c r="A357" s="96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7"/>
    </row>
    <row r="358" spans="1:16" ht="15.75" customHeight="1" x14ac:dyDescent="0.25">
      <c r="A358" s="104" t="s">
        <v>195</v>
      </c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7"/>
    </row>
    <row r="359" spans="1:16" ht="16.5" customHeight="1" x14ac:dyDescent="0.25">
      <c r="A359" s="125" t="s">
        <v>196</v>
      </c>
      <c r="B359" s="119" t="e">
        <f>SUMPRODUCT(H322:H333,I322:I333)+SUMPRODUCT(G338:G342,H338:H342)+SUMPRODUCT(J346:J355,K346:K355)</f>
        <v>#N/A</v>
      </c>
      <c r="C359" s="119" t="s">
        <v>107</v>
      </c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7"/>
    </row>
    <row r="360" spans="1:16" ht="16.5" customHeight="1" x14ac:dyDescent="0.25">
      <c r="A360" s="125" t="s">
        <v>170</v>
      </c>
      <c r="B360" s="119" t="e">
        <f>B359*(G346-$B$4)</f>
        <v>#N/A</v>
      </c>
      <c r="C360" s="119" t="s">
        <v>172</v>
      </c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7"/>
    </row>
    <row r="361" spans="1:16" ht="15.75" customHeight="1" thickBot="1" x14ac:dyDescent="0.3">
      <c r="A361" s="110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2"/>
    </row>
    <row r="362" spans="1:16" ht="15.75" customHeight="1" thickTop="1" x14ac:dyDescent="0.25">
      <c r="A362" s="312" t="s">
        <v>197</v>
      </c>
      <c r="B362" s="312"/>
      <c r="C362" s="312"/>
      <c r="D362" s="126" t="s">
        <v>225</v>
      </c>
      <c r="E362" s="289"/>
      <c r="F362" s="289"/>
      <c r="G362" s="289"/>
      <c r="H362" s="289"/>
      <c r="I362" s="289"/>
      <c r="J362" s="289"/>
      <c r="K362" s="289"/>
      <c r="L362" s="289"/>
      <c r="M362" s="289"/>
      <c r="N362" s="289"/>
      <c r="O362" s="289"/>
      <c r="P362" s="95"/>
    </row>
    <row r="363" spans="1:16" ht="15" customHeight="1" x14ac:dyDescent="0.25">
      <c r="A363" s="96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7"/>
    </row>
    <row r="364" spans="1:16" ht="15" customHeight="1" thickBot="1" x14ac:dyDescent="0.3">
      <c r="A364" s="127" t="s">
        <v>198</v>
      </c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7"/>
    </row>
    <row r="365" spans="1:16" ht="15" customHeight="1" thickTop="1" thickBot="1" x14ac:dyDescent="0.3">
      <c r="A365" s="128" t="s">
        <v>199</v>
      </c>
      <c r="B365" s="122">
        <v>8</v>
      </c>
      <c r="C365" s="121" t="s">
        <v>200</v>
      </c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7"/>
    </row>
    <row r="366" spans="1:16" ht="15" customHeight="1" thickTop="1" thickBot="1" x14ac:dyDescent="0.3">
      <c r="A366" s="128" t="s">
        <v>201</v>
      </c>
      <c r="B366" s="122">
        <v>0.03</v>
      </c>
      <c r="C366" s="121" t="s">
        <v>202</v>
      </c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7"/>
    </row>
    <row r="367" spans="1:16" ht="15.75" customHeight="1" thickTop="1" thickBot="1" x14ac:dyDescent="0.3">
      <c r="A367" s="128" t="s">
        <v>203</v>
      </c>
      <c r="B367" s="122">
        <v>1</v>
      </c>
      <c r="C367" s="121" t="s">
        <v>204</v>
      </c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7"/>
    </row>
    <row r="368" spans="1:16" ht="16.5" customHeight="1" thickTop="1" x14ac:dyDescent="0.25">
      <c r="A368" s="125" t="s">
        <v>205</v>
      </c>
      <c r="B368" s="119" t="e">
        <f>2*VLOOKUP(B316,'Gebouwgegevens Allacker'!$A$35:$F$46,6,0)*B365*B366*B367</f>
        <v>#N/A</v>
      </c>
      <c r="C368" s="119" t="s">
        <v>206</v>
      </c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7"/>
    </row>
    <row r="369" spans="1:16" ht="15.75" customHeight="1" x14ac:dyDescent="0.25">
      <c r="A369" s="96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7"/>
    </row>
    <row r="370" spans="1:16" ht="15" customHeight="1" x14ac:dyDescent="0.25">
      <c r="A370" s="127" t="s">
        <v>207</v>
      </c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7"/>
    </row>
    <row r="371" spans="1:16" ht="15.75" customHeight="1" x14ac:dyDescent="0.25">
      <c r="A371" s="96" t="s">
        <v>183</v>
      </c>
      <c r="B371" s="99" t="e">
        <f>VLOOKUP(B316,'Gebouwgegevens Allacker'!$A$35:$F$46,6,0)</f>
        <v>#N/A</v>
      </c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7"/>
    </row>
    <row r="372" spans="1:16" ht="16.5" customHeight="1" x14ac:dyDescent="0.25">
      <c r="A372" s="125" t="s">
        <v>208</v>
      </c>
      <c r="B372" s="129" t="e">
        <f>B371*3.6</f>
        <v>#N/A</v>
      </c>
      <c r="C372" s="119" t="s">
        <v>206</v>
      </c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7"/>
    </row>
    <row r="373" spans="1:16" ht="15.75" customHeight="1" x14ac:dyDescent="0.25">
      <c r="A373" s="96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7"/>
    </row>
    <row r="374" spans="1:16" ht="15.75" customHeight="1" x14ac:dyDescent="0.25">
      <c r="A374" s="96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7"/>
    </row>
    <row r="375" spans="1:16" ht="16.5" customHeight="1" x14ac:dyDescent="0.25">
      <c r="A375" s="125" t="s">
        <v>210</v>
      </c>
      <c r="B375" s="119" t="e">
        <f>MAX(B368,B372)</f>
        <v>#N/A</v>
      </c>
      <c r="C375" s="119" t="s">
        <v>206</v>
      </c>
      <c r="D375" s="99"/>
      <c r="E375" s="99"/>
      <c r="F375" s="119" t="s">
        <v>211</v>
      </c>
      <c r="G375" s="119" t="e">
        <f>B375/VLOOKUP(B316,'Gebouwgegevens Allacker'!$A$35:$B$46,2,0)</f>
        <v>#N/A</v>
      </c>
      <c r="H375" s="99"/>
      <c r="I375" s="99"/>
      <c r="J375" s="99"/>
      <c r="K375" s="99"/>
      <c r="L375" s="99"/>
      <c r="M375" s="99"/>
      <c r="N375" s="99"/>
      <c r="O375" s="99"/>
      <c r="P375" s="97"/>
    </row>
    <row r="376" spans="1:16" ht="16.5" customHeight="1" x14ac:dyDescent="0.25">
      <c r="A376" s="139"/>
      <c r="B376" s="58"/>
      <c r="C376" s="58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7"/>
    </row>
    <row r="377" spans="1:16" ht="16.5" customHeight="1" x14ac:dyDescent="0.25">
      <c r="A377" s="125" t="s">
        <v>212</v>
      </c>
      <c r="B377" s="119" t="e">
        <f>0.34*B375</f>
        <v>#N/A</v>
      </c>
      <c r="C377" s="119" t="s">
        <v>107</v>
      </c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7"/>
    </row>
    <row r="378" spans="1:16" ht="16.5" customHeight="1" x14ac:dyDescent="0.25">
      <c r="A378" s="125" t="s">
        <v>170</v>
      </c>
      <c r="B378" s="119" t="e">
        <f>B377*('Gebouwgegevens Allacker'!E338-$B$4)</f>
        <v>#N/A</v>
      </c>
      <c r="C378" s="119" t="s">
        <v>172</v>
      </c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7"/>
    </row>
    <row r="379" spans="1:16" ht="15.75" customHeight="1" thickBot="1" x14ac:dyDescent="0.3">
      <c r="A379" s="141"/>
      <c r="B379" s="142"/>
      <c r="C379" s="142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2"/>
    </row>
    <row r="380" spans="1:16" ht="15.75" customHeight="1" thickTop="1" x14ac:dyDescent="0.25">
      <c r="A380" s="312" t="s">
        <v>213</v>
      </c>
      <c r="B380" s="312"/>
      <c r="C380" s="312"/>
      <c r="D380" s="312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7"/>
    </row>
    <row r="381" spans="1:16" ht="15" customHeight="1" thickBot="1" x14ac:dyDescent="0.3">
      <c r="A381" s="96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7"/>
    </row>
    <row r="382" spans="1:16" ht="15" customHeight="1" thickTop="1" thickBot="1" x14ac:dyDescent="0.3">
      <c r="A382" s="128" t="s">
        <v>214</v>
      </c>
      <c r="B382" s="122">
        <v>22</v>
      </c>
      <c r="C382" s="58" t="s">
        <v>235</v>
      </c>
      <c r="D382" s="58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7"/>
    </row>
    <row r="383" spans="1:16" ht="15.75" customHeight="1" thickTop="1" x14ac:dyDescent="0.25">
      <c r="A383" s="153" t="s">
        <v>113</v>
      </c>
      <c r="B383" s="58" t="e">
        <f>VLOOKUP(B316,'Gebouwgegevens Allacker'!$A$35:$F$46,6,0)</f>
        <v>#N/A</v>
      </c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7"/>
    </row>
    <row r="384" spans="1:16" ht="16.5" customHeight="1" x14ac:dyDescent="0.25">
      <c r="A384" s="125" t="s">
        <v>216</v>
      </c>
      <c r="B384" s="119" t="e">
        <f>B385/('Gebouwgegevens Allacker'!E338-'Verwarming Tabula 2zone RefULG2'!$B$4)</f>
        <v>#N/A</v>
      </c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7"/>
    </row>
    <row r="385" spans="1:16" ht="16.5" customHeight="1" x14ac:dyDescent="0.25">
      <c r="A385" s="125" t="s">
        <v>170</v>
      </c>
      <c r="B385" s="119" t="e">
        <f>B382*B383</f>
        <v>#N/A</v>
      </c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7"/>
    </row>
    <row r="386" spans="1:16" ht="15.75" customHeight="1" x14ac:dyDescent="0.25">
      <c r="A386" s="96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7"/>
    </row>
    <row r="387" spans="1:16" ht="15.75" customHeight="1" thickBot="1" x14ac:dyDescent="0.3">
      <c r="A387" s="96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7"/>
    </row>
    <row r="388" spans="1:16" ht="15.75" customHeight="1" thickTop="1" thickBot="1" x14ac:dyDescent="0.3">
      <c r="A388" s="130" t="s">
        <v>217</v>
      </c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2"/>
    </row>
    <row r="389" spans="1:16" ht="16.5" customHeight="1" thickTop="1" x14ac:dyDescent="0.25">
      <c r="A389" s="125" t="s">
        <v>218</v>
      </c>
      <c r="B389" s="119" t="e">
        <f>SUM(B359,B377,B384)</f>
        <v>#N/A</v>
      </c>
      <c r="C389" s="119" t="s">
        <v>107</v>
      </c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4"/>
    </row>
    <row r="390" spans="1:16" ht="16.5" customHeight="1" x14ac:dyDescent="0.25">
      <c r="A390" s="125" t="s">
        <v>170</v>
      </c>
      <c r="B390" s="119" t="e">
        <f>SUM(B360,B378,B385)</f>
        <v>#N/A</v>
      </c>
      <c r="C390" s="119" t="s">
        <v>172</v>
      </c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4"/>
    </row>
    <row r="391" spans="1:16" ht="16.5" customHeight="1" thickBot="1" x14ac:dyDescent="0.3">
      <c r="A391" s="135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7"/>
    </row>
    <row r="392" spans="1:16" ht="15.75" customHeight="1" thickTop="1" thickBot="1" x14ac:dyDescent="0.3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</row>
    <row r="393" spans="1:16" ht="15" customHeight="1" thickTop="1" thickBot="1" x14ac:dyDescent="0.3">
      <c r="A393" s="94"/>
      <c r="B393" s="289"/>
      <c r="C393" s="289"/>
      <c r="D393" s="289"/>
      <c r="E393" s="289"/>
      <c r="F393" s="289"/>
      <c r="G393" s="289"/>
      <c r="H393" s="289"/>
      <c r="I393" s="289"/>
      <c r="J393" s="289"/>
      <c r="K393" s="289"/>
      <c r="L393" s="289"/>
      <c r="M393" s="289"/>
      <c r="N393" s="289"/>
      <c r="O393" s="289"/>
      <c r="P393" s="95"/>
    </row>
    <row r="394" spans="1:16" ht="17.25" customHeight="1" thickTop="1" thickBot="1" x14ac:dyDescent="0.35">
      <c r="A394" s="98" t="s">
        <v>169</v>
      </c>
      <c r="B394" s="93">
        <v>6</v>
      </c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7"/>
    </row>
    <row r="395" spans="1:16" ht="15.75" customHeight="1" thickTop="1" x14ac:dyDescent="0.25">
      <c r="A395" s="312" t="s">
        <v>171</v>
      </c>
      <c r="B395" s="312"/>
      <c r="C395" s="312"/>
      <c r="D395" s="312"/>
      <c r="E395" s="289"/>
      <c r="F395" s="289"/>
      <c r="G395" s="289"/>
      <c r="H395" s="289"/>
      <c r="I395" s="289"/>
      <c r="J395" s="289"/>
      <c r="K395" s="289"/>
      <c r="L395" s="289"/>
      <c r="M395" s="289"/>
      <c r="N395" s="289"/>
      <c r="O395" s="289"/>
      <c r="P395" s="95"/>
    </row>
    <row r="396" spans="1:16" ht="15" customHeight="1" x14ac:dyDescent="0.25">
      <c r="A396" s="96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7"/>
    </row>
    <row r="397" spans="1:16" ht="15" customHeight="1" x14ac:dyDescent="0.25">
      <c r="A397" s="104" t="s">
        <v>173</v>
      </c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7"/>
    </row>
    <row r="398" spans="1:16" ht="15" customHeight="1" x14ac:dyDescent="0.25">
      <c r="A398" s="96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7"/>
    </row>
    <row r="399" spans="1:16" ht="15.75" customHeight="1" thickBot="1" x14ac:dyDescent="0.3">
      <c r="A399" s="96"/>
      <c r="B399" s="105" t="s">
        <v>10</v>
      </c>
      <c r="C399" s="105" t="s">
        <v>174</v>
      </c>
      <c r="D399" s="105" t="s">
        <v>175</v>
      </c>
      <c r="E399" s="105" t="s">
        <v>176</v>
      </c>
      <c r="F399" s="105" t="s">
        <v>177</v>
      </c>
      <c r="G399" s="105" t="s">
        <v>16</v>
      </c>
      <c r="H399" s="106" t="s">
        <v>17</v>
      </c>
      <c r="I399" s="106" t="s">
        <v>178</v>
      </c>
      <c r="J399" s="99"/>
      <c r="K399" s="99"/>
      <c r="L399" s="99"/>
      <c r="M399" s="99"/>
      <c r="N399" s="99"/>
      <c r="O399" s="99"/>
      <c r="P399" s="97"/>
    </row>
    <row r="400" spans="1:16" ht="16.5" customHeight="1" thickTop="1" thickBot="1" x14ac:dyDescent="0.3">
      <c r="A400" s="96"/>
      <c r="B400" s="107" t="s">
        <v>96</v>
      </c>
      <c r="C400" s="108">
        <f>VLOOKUP(B400,'Gebouwgegevens Allacker'!$J$5:$Q$83,3,0)</f>
        <v>3</v>
      </c>
      <c r="D400" s="108" t="str">
        <f>VLOOKUP(B400,'Gebouwgegevens Allacker'!$J$5:$Q$83,4,0)</f>
        <v>Roof</v>
      </c>
      <c r="E400" s="108">
        <f>VLOOKUP(B400,'Gebouwgegevens Allacker'!$J$5:$Q$83,5,0)</f>
        <v>99.627515556697489</v>
      </c>
      <c r="F400" s="108" t="str">
        <f>VLOOKUP(B400,'Gebouwgegevens Allacker'!$J$5:$Q$83,6,0)</f>
        <v>front/back</v>
      </c>
      <c r="G400" s="108">
        <f>VLOOKUP(B400,'Gebouwgegevens Allacker'!$J$5:$Q$83,7,0)</f>
        <v>1.6975498473547073</v>
      </c>
      <c r="H400" s="109">
        <f>VLOOKUP(B400,'Gebouwgegevens Allacker'!$J$5:$Q$83,8,0)</f>
        <v>169.12267382560054</v>
      </c>
      <c r="I400" s="109">
        <v>1</v>
      </c>
      <c r="J400" s="99"/>
      <c r="K400" s="99"/>
      <c r="L400" s="99"/>
      <c r="M400" s="99"/>
      <c r="N400" s="99"/>
      <c r="O400" s="99"/>
      <c r="P400" s="97"/>
    </row>
    <row r="401" spans="1:16" ht="16.5" customHeight="1" thickTop="1" thickBot="1" x14ac:dyDescent="0.3">
      <c r="A401" s="96"/>
      <c r="B401" s="107" t="s">
        <v>98</v>
      </c>
      <c r="C401" s="108">
        <f>VLOOKUP(B401,'Gebouwgegevens Allacker'!$J$5:$Q$83,3,0)</f>
        <v>3</v>
      </c>
      <c r="D401" s="108" t="str">
        <f>VLOOKUP(B401,'Gebouwgegevens Allacker'!$J$5:$Q$83,4,0)</f>
        <v>Floor internal</v>
      </c>
      <c r="E401" s="108">
        <f>VLOOKUP(B401,'Gebouwgegevens Allacker'!$J$5:$Q$83,5,0)</f>
        <v>76.183999999999997</v>
      </c>
      <c r="F401" s="108">
        <f>VLOOKUP(B401,'Gebouwgegevens Allacker'!$J$5:$Q$83,6,0)</f>
        <v>0</v>
      </c>
      <c r="G401" s="108">
        <f>VLOOKUP(B401,'Gebouwgegevens Allacker'!$J$5:$Q$83,7,0)</f>
        <v>2.0895522388059704</v>
      </c>
      <c r="H401" s="109">
        <f>VLOOKUP(B401,'Gebouwgegevens Allacker'!$J$5:$Q$83,8,0)</f>
        <v>159.19044776119404</v>
      </c>
      <c r="I401" s="109">
        <v>1</v>
      </c>
      <c r="J401" s="99"/>
      <c r="K401" s="99"/>
      <c r="L401" s="99"/>
      <c r="M401" s="99"/>
      <c r="N401" s="99"/>
      <c r="O401" s="99"/>
      <c r="P401" s="97"/>
    </row>
    <row r="402" spans="1:16" ht="16.5" customHeight="1" thickTop="1" thickBot="1" x14ac:dyDescent="0.3">
      <c r="A402" s="96"/>
      <c r="B402" s="107" t="s">
        <v>101</v>
      </c>
      <c r="C402" s="108">
        <f>VLOOKUP(B402,'Gebouwgegevens Allacker'!$J$5:$Q$83,3,0)</f>
        <v>2</v>
      </c>
      <c r="D402" s="108" t="str">
        <f>VLOOKUP(B402,'Gebouwgegevens Allacker'!$J$5:$Q$83,4,0)</f>
        <v>Wall internal</v>
      </c>
      <c r="E402" s="108">
        <f>VLOOKUP(B402,'Gebouwgegevens Allacker'!$J$5:$Q$83,5,0)</f>
        <v>140.84</v>
      </c>
      <c r="F402" s="108">
        <f>VLOOKUP(B402,'Gebouwgegevens Allacker'!$J$5:$Q$83,6,0)</f>
        <v>0</v>
      </c>
      <c r="G402" s="108">
        <f>VLOOKUP(B402,'Gebouwgegevens Allacker'!$J$5:$Q$83,7,0)</f>
        <v>1.9926199261992623</v>
      </c>
      <c r="H402" s="109">
        <f>VLOOKUP(B402,'Gebouwgegevens Allacker'!$J$5:$Q$83,8,0)</f>
        <v>280.64059040590411</v>
      </c>
      <c r="I402" s="109">
        <v>1</v>
      </c>
      <c r="J402" s="99"/>
      <c r="K402" s="99"/>
      <c r="L402" s="99"/>
      <c r="M402" s="99"/>
      <c r="N402" s="99"/>
      <c r="O402" s="99"/>
      <c r="P402" s="97"/>
    </row>
    <row r="403" spans="1:16" ht="16.5" customHeight="1" thickTop="1" thickBot="1" x14ac:dyDescent="0.3">
      <c r="A403" s="96"/>
      <c r="B403" s="107"/>
      <c r="C403" s="108"/>
      <c r="D403" s="108"/>
      <c r="E403" s="108"/>
      <c r="F403" s="108"/>
      <c r="G403" s="108"/>
      <c r="H403" s="109"/>
      <c r="I403" s="109"/>
      <c r="J403" s="99"/>
      <c r="K403" s="99"/>
      <c r="L403" s="99"/>
      <c r="M403" s="99"/>
      <c r="N403" s="99"/>
      <c r="O403" s="99"/>
      <c r="P403" s="97"/>
    </row>
    <row r="404" spans="1:16" ht="16.5" customHeight="1" thickTop="1" thickBot="1" x14ac:dyDescent="0.3">
      <c r="A404" s="96"/>
      <c r="B404" s="107"/>
      <c r="C404" s="108"/>
      <c r="D404" s="108"/>
      <c r="E404" s="108"/>
      <c r="F404" s="108"/>
      <c r="G404" s="108"/>
      <c r="H404" s="109"/>
      <c r="I404" s="109"/>
      <c r="J404" s="99"/>
      <c r="K404" s="99"/>
      <c r="L404" s="99"/>
      <c r="M404" s="99"/>
      <c r="N404" s="99"/>
      <c r="O404" s="99"/>
      <c r="P404" s="97"/>
    </row>
    <row r="405" spans="1:16" ht="16.5" customHeight="1" thickTop="1" thickBot="1" x14ac:dyDescent="0.3">
      <c r="A405" s="96"/>
      <c r="B405" s="107"/>
      <c r="C405" s="108"/>
      <c r="D405" s="108"/>
      <c r="E405" s="108"/>
      <c r="F405" s="108"/>
      <c r="G405" s="108"/>
      <c r="H405" s="109"/>
      <c r="I405" s="109"/>
      <c r="J405" s="99"/>
      <c r="K405" s="99"/>
      <c r="L405" s="99"/>
      <c r="M405" s="99"/>
      <c r="N405" s="99"/>
      <c r="O405" s="99"/>
      <c r="P405" s="97"/>
    </row>
    <row r="406" spans="1:16" ht="16.5" customHeight="1" thickTop="1" thickBot="1" x14ac:dyDescent="0.3">
      <c r="A406" s="96"/>
      <c r="B406" s="107"/>
      <c r="C406" s="108"/>
      <c r="D406" s="108"/>
      <c r="E406" s="108"/>
      <c r="F406" s="108"/>
      <c r="G406" s="108"/>
      <c r="H406" s="109"/>
      <c r="I406" s="109"/>
      <c r="J406" s="99"/>
      <c r="K406" s="99"/>
      <c r="L406" s="99"/>
      <c r="M406" s="99"/>
      <c r="N406" s="99"/>
      <c r="O406" s="99"/>
      <c r="P406" s="97"/>
    </row>
    <row r="407" spans="1:16" ht="16.5" customHeight="1" thickTop="1" thickBot="1" x14ac:dyDescent="0.3">
      <c r="A407" s="96"/>
      <c r="B407" s="107"/>
      <c r="C407" s="108"/>
      <c r="D407" s="108"/>
      <c r="E407" s="108"/>
      <c r="F407" s="108"/>
      <c r="G407" s="108"/>
      <c r="H407" s="109"/>
      <c r="I407" s="109"/>
      <c r="J407" s="99"/>
      <c r="K407" s="99"/>
      <c r="L407" s="99"/>
      <c r="M407" s="99"/>
      <c r="N407" s="99"/>
      <c r="O407" s="99"/>
      <c r="P407" s="97"/>
    </row>
    <row r="408" spans="1:16" ht="16.5" customHeight="1" thickTop="1" thickBot="1" x14ac:dyDescent="0.3">
      <c r="A408" s="96"/>
      <c r="B408" s="107"/>
      <c r="C408" s="108"/>
      <c r="D408" s="108"/>
      <c r="E408" s="108"/>
      <c r="F408" s="108"/>
      <c r="G408" s="108"/>
      <c r="H408" s="109"/>
      <c r="I408" s="109"/>
      <c r="J408" s="99"/>
      <c r="K408" s="99"/>
      <c r="L408" s="99"/>
      <c r="M408" s="99"/>
      <c r="N408" s="99"/>
      <c r="O408" s="99"/>
      <c r="P408" s="97"/>
    </row>
    <row r="409" spans="1:16" ht="16.5" customHeight="1" thickTop="1" thickBot="1" x14ac:dyDescent="0.3">
      <c r="A409" s="96"/>
      <c r="B409" s="107"/>
      <c r="C409" s="108"/>
      <c r="D409" s="108"/>
      <c r="E409" s="108"/>
      <c r="F409" s="108"/>
      <c r="G409" s="108"/>
      <c r="H409" s="109"/>
      <c r="I409" s="109"/>
      <c r="J409" s="99"/>
      <c r="K409" s="99"/>
      <c r="L409" s="99"/>
      <c r="M409" s="99"/>
      <c r="N409" s="99"/>
      <c r="O409" s="99"/>
      <c r="P409" s="97"/>
    </row>
    <row r="410" spans="1:16" ht="16.5" customHeight="1" thickTop="1" thickBot="1" x14ac:dyDescent="0.3">
      <c r="A410" s="96"/>
      <c r="B410" s="107"/>
      <c r="C410" s="108"/>
      <c r="D410" s="108"/>
      <c r="E410" s="108"/>
      <c r="F410" s="108"/>
      <c r="G410" s="108"/>
      <c r="H410" s="109"/>
      <c r="I410" s="109"/>
      <c r="J410" s="99"/>
      <c r="K410" s="99"/>
      <c r="L410" s="99"/>
      <c r="M410" s="99"/>
      <c r="N410" s="99"/>
      <c r="O410" s="99"/>
      <c r="P410" s="97"/>
    </row>
    <row r="411" spans="1:16" ht="16.5" customHeight="1" thickTop="1" thickBot="1" x14ac:dyDescent="0.3">
      <c r="A411" s="96"/>
      <c r="B411" s="107"/>
      <c r="C411" s="108"/>
      <c r="D411" s="108"/>
      <c r="E411" s="108"/>
      <c r="F411" s="108"/>
      <c r="G411" s="108"/>
      <c r="H411" s="109"/>
      <c r="I411" s="109"/>
      <c r="J411" s="99"/>
      <c r="K411" s="99"/>
      <c r="L411" s="99"/>
      <c r="M411" s="99"/>
      <c r="N411" s="99"/>
      <c r="O411" s="99"/>
      <c r="P411" s="97"/>
    </row>
    <row r="412" spans="1:16" ht="15.75" customHeight="1" thickTop="1" x14ac:dyDescent="0.25">
      <c r="A412" s="96"/>
      <c r="B412" s="58"/>
      <c r="C412" s="58"/>
      <c r="D412" s="58"/>
      <c r="E412" s="58"/>
      <c r="F412" s="58"/>
      <c r="G412" s="115"/>
      <c r="H412" s="58"/>
      <c r="I412" s="58"/>
      <c r="J412" s="99"/>
      <c r="K412" s="99"/>
      <c r="L412" s="99"/>
      <c r="M412" s="99"/>
      <c r="N412" s="99"/>
      <c r="O412" s="99"/>
      <c r="P412" s="97"/>
    </row>
    <row r="413" spans="1:16" ht="15" customHeight="1" x14ac:dyDescent="0.25">
      <c r="A413" s="96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7"/>
    </row>
    <row r="414" spans="1:16" ht="15" customHeight="1" x14ac:dyDescent="0.25">
      <c r="A414" s="104" t="s">
        <v>180</v>
      </c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7"/>
    </row>
    <row r="415" spans="1:16" ht="15.75" customHeight="1" x14ac:dyDescent="0.25">
      <c r="A415" s="96"/>
      <c r="B415" s="58" t="s">
        <v>10</v>
      </c>
      <c r="C415" s="58" t="s">
        <v>181</v>
      </c>
      <c r="D415" s="58" t="s">
        <v>175</v>
      </c>
      <c r="E415" s="58" t="s">
        <v>182</v>
      </c>
      <c r="F415" s="58" t="s">
        <v>16</v>
      </c>
      <c r="G415" s="115" t="s">
        <v>17</v>
      </c>
      <c r="H415" s="115" t="s">
        <v>178</v>
      </c>
      <c r="I415" s="58" t="s">
        <v>183</v>
      </c>
      <c r="J415" s="58" t="s">
        <v>184</v>
      </c>
      <c r="K415" s="58" t="s">
        <v>185</v>
      </c>
      <c r="L415" s="116" t="s">
        <v>186</v>
      </c>
      <c r="M415" s="116" t="s">
        <v>187</v>
      </c>
      <c r="N415" s="116" t="s">
        <v>188</v>
      </c>
      <c r="O415" s="99"/>
      <c r="P415" s="97"/>
    </row>
    <row r="416" spans="1:16" ht="16.5" customHeight="1" thickBot="1" x14ac:dyDescent="0.3">
      <c r="A416" s="96"/>
      <c r="B416" s="117"/>
      <c r="C416" s="118"/>
      <c r="D416" s="118"/>
      <c r="E416" s="118"/>
      <c r="F416" s="118"/>
      <c r="G416" s="119"/>
      <c r="H416" s="119"/>
      <c r="I416" s="118"/>
      <c r="J416" s="117"/>
      <c r="K416" s="117"/>
      <c r="L416" s="120"/>
      <c r="M416" s="120"/>
      <c r="N416" s="121"/>
      <c r="O416" s="99"/>
      <c r="P416" s="97"/>
    </row>
    <row r="417" spans="1:16" ht="16.5" customHeight="1" thickTop="1" thickBot="1" x14ac:dyDescent="0.3">
      <c r="A417" s="96"/>
      <c r="B417" s="117"/>
      <c r="C417" s="118"/>
      <c r="D417" s="118"/>
      <c r="E417" s="118"/>
      <c r="F417" s="118"/>
      <c r="G417" s="119"/>
      <c r="H417" s="119"/>
      <c r="I417" s="118"/>
      <c r="J417" s="117"/>
      <c r="K417" s="117"/>
      <c r="L417" s="120"/>
      <c r="M417" s="120"/>
      <c r="N417" s="121"/>
      <c r="O417" s="99"/>
      <c r="P417" s="97"/>
    </row>
    <row r="418" spans="1:16" ht="16.5" customHeight="1" thickTop="1" thickBot="1" x14ac:dyDescent="0.3">
      <c r="A418" s="96"/>
      <c r="B418" s="117"/>
      <c r="C418" s="118"/>
      <c r="D418" s="118"/>
      <c r="E418" s="118"/>
      <c r="F418" s="118"/>
      <c r="G418" s="119"/>
      <c r="H418" s="119"/>
      <c r="I418" s="118"/>
      <c r="J418" s="117"/>
      <c r="K418" s="117"/>
      <c r="L418" s="120"/>
      <c r="M418" s="120"/>
      <c r="N418" s="121"/>
      <c r="O418" s="99"/>
      <c r="P418" s="97"/>
    </row>
    <row r="419" spans="1:16" ht="16.5" customHeight="1" thickTop="1" thickBot="1" x14ac:dyDescent="0.3">
      <c r="A419" s="96"/>
      <c r="B419" s="117"/>
      <c r="C419" s="118"/>
      <c r="D419" s="118"/>
      <c r="E419" s="118"/>
      <c r="F419" s="118"/>
      <c r="G419" s="119"/>
      <c r="H419" s="119"/>
      <c r="I419" s="118"/>
      <c r="J419" s="117"/>
      <c r="K419" s="117"/>
      <c r="L419" s="120"/>
      <c r="M419" s="120"/>
      <c r="N419" s="121"/>
      <c r="O419" s="99"/>
      <c r="P419" s="97"/>
    </row>
    <row r="420" spans="1:16" ht="16.5" customHeight="1" thickTop="1" thickBot="1" x14ac:dyDescent="0.3">
      <c r="A420" s="139"/>
      <c r="B420" s="117"/>
      <c r="C420" s="118"/>
      <c r="D420" s="118"/>
      <c r="E420" s="118"/>
      <c r="F420" s="118"/>
      <c r="G420" s="119"/>
      <c r="H420" s="119"/>
      <c r="I420" s="118"/>
      <c r="J420" s="117"/>
      <c r="K420" s="117"/>
      <c r="L420" s="120"/>
      <c r="M420" s="120"/>
      <c r="N420" s="121"/>
      <c r="O420" s="99"/>
      <c r="P420" s="97"/>
    </row>
    <row r="421" spans="1:16" ht="15.75" customHeight="1" thickTop="1" x14ac:dyDescent="0.25">
      <c r="A421" s="96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7"/>
    </row>
    <row r="422" spans="1:16" ht="15" customHeight="1" x14ac:dyDescent="0.25">
      <c r="A422" s="104" t="s">
        <v>189</v>
      </c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7"/>
    </row>
    <row r="423" spans="1:16" ht="15.75" customHeight="1" thickBot="1" x14ac:dyDescent="0.3">
      <c r="A423" s="96"/>
      <c r="B423" s="58" t="s">
        <v>10</v>
      </c>
      <c r="C423" s="58" t="s">
        <v>190</v>
      </c>
      <c r="D423" s="58" t="s">
        <v>191</v>
      </c>
      <c r="E423" s="58" t="s">
        <v>135</v>
      </c>
      <c r="F423" s="58" t="s">
        <v>192</v>
      </c>
      <c r="G423" s="58" t="s">
        <v>193</v>
      </c>
      <c r="H423" s="58" t="s">
        <v>194</v>
      </c>
      <c r="I423" s="58" t="s">
        <v>16</v>
      </c>
      <c r="J423" s="115" t="s">
        <v>17</v>
      </c>
      <c r="K423" s="115" t="s">
        <v>178</v>
      </c>
      <c r="L423" s="99"/>
      <c r="M423" s="99"/>
      <c r="N423" s="99"/>
      <c r="O423" s="99"/>
      <c r="P423" s="97"/>
    </row>
    <row r="424" spans="1:16" ht="16.5" customHeight="1" thickTop="1" thickBot="1" x14ac:dyDescent="0.3">
      <c r="A424" s="96"/>
      <c r="B424" s="117" t="s">
        <v>236</v>
      </c>
      <c r="C424" s="123" t="e">
        <f>IF(VLOOKUP(B424,'Gebouwgegevens Allacker'!$J$5:$Q$83,2,0)=$B$394,VLOOKUP(B424,'Gebouwgegevens Allacker'!$J$5:$Q$83,2,0),VLOOKUP(B424,'Gebouwgegevens Allacker'!$J$5:$Q$83,3,0))</f>
        <v>#N/A</v>
      </c>
      <c r="D424" s="123" t="e">
        <f>IF(VLOOKUP(B424,'Gebouwgegevens Allacker'!$J$5:$Q$83,2,0)=$B$394,VLOOKUP(B424,'Gebouwgegevens Allacker'!$J$5:$Q$83,3,0),VLOOKUP(B424,'Gebouwgegevens Allacker'!$J$5:$Q$83,2,0))</f>
        <v>#N/A</v>
      </c>
      <c r="E424" s="123" t="e">
        <f>VLOOKUP(B424,'Gebouwgegevens Allacker'!$J$5:$Q$83,4,0)</f>
        <v>#N/A</v>
      </c>
      <c r="F424" s="123" t="e">
        <f>VLOOKUP(B424,'Gebouwgegevens Allacker'!$J$5:$Q$83,5,0)</f>
        <v>#N/A</v>
      </c>
      <c r="G424" s="123" t="e">
        <f>VLOOKUP('Verwarming Tabula 2zone RefULG2'!C424,'Gebouwgegevens Allacker'!$A$35:$F$46,5,0)</f>
        <v>#N/A</v>
      </c>
      <c r="H424" s="123" t="e">
        <f>VLOOKUP('Verwarming Tabula 2zone RefULG2'!D424,'Gebouwgegevens Allacker'!$A$35:$F$46,5,0)</f>
        <v>#N/A</v>
      </c>
      <c r="I424" s="123" t="e">
        <f>VLOOKUP(B424,'Gebouwgegevens Allacker'!$J$5:$Q$83,7,0)</f>
        <v>#N/A</v>
      </c>
      <c r="J424" s="119" t="e">
        <f>VLOOKUP(B424,'Gebouwgegevens Allacker'!$J$5:$Q$83,8,0)</f>
        <v>#N/A</v>
      </c>
      <c r="K424" s="119" t="e">
        <f>(G424-H424)/(G424-$B$4)</f>
        <v>#N/A</v>
      </c>
      <c r="L424" s="99"/>
      <c r="M424" s="99"/>
      <c r="N424" s="99"/>
      <c r="O424" s="99"/>
      <c r="P424" s="97"/>
    </row>
    <row r="425" spans="1:16" ht="16.5" customHeight="1" thickTop="1" thickBot="1" x14ac:dyDescent="0.3">
      <c r="A425" s="96"/>
      <c r="B425" s="117" t="s">
        <v>240</v>
      </c>
      <c r="C425" s="123" t="e">
        <f>IF(VLOOKUP(B425,'Gebouwgegevens Allacker'!$J$5:$Q$83,2,0)=$B$394,VLOOKUP(B425,'Gebouwgegevens Allacker'!$J$5:$Q$83,2,0),VLOOKUP(B425,'Gebouwgegevens Allacker'!$J$5:$Q$83,3,0))</f>
        <v>#N/A</v>
      </c>
      <c r="D425" s="123" t="e">
        <f>IF(VLOOKUP(B425,'Gebouwgegevens Allacker'!$J$5:$Q$83,2,0)=$B$394,VLOOKUP(B425,'Gebouwgegevens Allacker'!$J$5:$Q$83,3,0),VLOOKUP(B425,'Gebouwgegevens Allacker'!$J$5:$Q$83,2,0))</f>
        <v>#N/A</v>
      </c>
      <c r="E425" s="123" t="e">
        <f>VLOOKUP(B425,'Gebouwgegevens Allacker'!$J$5:$Q$83,4,0)</f>
        <v>#N/A</v>
      </c>
      <c r="F425" s="123" t="e">
        <f>VLOOKUP(B425,'Gebouwgegevens Allacker'!$J$5:$Q$83,5,0)</f>
        <v>#N/A</v>
      </c>
      <c r="G425" s="123" t="e">
        <f>VLOOKUP('Verwarming Tabula 2zone RefULG2'!C425,'Gebouwgegevens Allacker'!$A$35:$F$46,5,0)</f>
        <v>#N/A</v>
      </c>
      <c r="H425" s="123" t="e">
        <f>VLOOKUP('Verwarming Tabula 2zone RefULG2'!D425,'Gebouwgegevens Allacker'!$A$35:$F$46,5,0)</f>
        <v>#N/A</v>
      </c>
      <c r="I425" s="123" t="e">
        <f>VLOOKUP(B425,'Gebouwgegevens Allacker'!$J$5:$Q$83,7,0)</f>
        <v>#N/A</v>
      </c>
      <c r="J425" s="119" t="e">
        <f>VLOOKUP(B425,'Gebouwgegevens Allacker'!$J$5:$Q$83,8,0)</f>
        <v>#N/A</v>
      </c>
      <c r="K425" s="119" t="e">
        <f>(G425-H425)/(G425-$B$4)</f>
        <v>#N/A</v>
      </c>
      <c r="L425" s="99"/>
      <c r="M425" s="99"/>
      <c r="N425" s="99"/>
      <c r="O425" s="99"/>
      <c r="P425" s="97"/>
    </row>
    <row r="426" spans="1:16" ht="16.5" customHeight="1" thickTop="1" thickBot="1" x14ac:dyDescent="0.3">
      <c r="A426" s="96"/>
      <c r="B426" s="117" t="s">
        <v>241</v>
      </c>
      <c r="C426" s="123" t="e">
        <f>IF(VLOOKUP(B426,'Gebouwgegevens Allacker'!$J$5:$Q$83,2,0)=$B$394,VLOOKUP(B426,'Gebouwgegevens Allacker'!$J$5:$Q$83,2,0),VLOOKUP(B426,'Gebouwgegevens Allacker'!$J$5:$Q$83,3,0))</f>
        <v>#N/A</v>
      </c>
      <c r="D426" s="123" t="e">
        <f>IF(VLOOKUP(B426,'Gebouwgegevens Allacker'!$J$5:$Q$83,2,0)=$B$394,VLOOKUP(B426,'Gebouwgegevens Allacker'!$J$5:$Q$83,3,0),VLOOKUP(B426,'Gebouwgegevens Allacker'!$J$5:$Q$83,2,0))</f>
        <v>#N/A</v>
      </c>
      <c r="E426" s="123" t="e">
        <f>VLOOKUP(B426,'Gebouwgegevens Allacker'!$J$5:$Q$83,4,0)</f>
        <v>#N/A</v>
      </c>
      <c r="F426" s="123" t="e">
        <f>VLOOKUP(B426,'Gebouwgegevens Allacker'!$J$5:$Q$83,5,0)</f>
        <v>#N/A</v>
      </c>
      <c r="G426" s="123" t="e">
        <f>VLOOKUP('Verwarming Tabula 2zone RefULG2'!C426,'Gebouwgegevens Allacker'!$A$35:$F$46,5,0)</f>
        <v>#N/A</v>
      </c>
      <c r="H426" s="123" t="e">
        <f>VLOOKUP('Verwarming Tabula 2zone RefULG2'!D426,'Gebouwgegevens Allacker'!$A$35:$F$46,5,0)</f>
        <v>#N/A</v>
      </c>
      <c r="I426" s="123" t="e">
        <f>VLOOKUP(B426,'Gebouwgegevens Allacker'!$J$5:$Q$83,7,0)</f>
        <v>#N/A</v>
      </c>
      <c r="J426" s="119" t="e">
        <f>VLOOKUP(B426,'Gebouwgegevens Allacker'!$J$5:$Q$83,8,0)</f>
        <v>#N/A</v>
      </c>
      <c r="K426" s="119" t="e">
        <f>(G426-H426)/(G426-$B$4)</f>
        <v>#N/A</v>
      </c>
      <c r="L426" s="99"/>
      <c r="M426" s="99"/>
      <c r="N426" s="99"/>
      <c r="O426" s="99"/>
      <c r="P426" s="97"/>
    </row>
    <row r="427" spans="1:16" ht="16.5" customHeight="1" thickTop="1" thickBot="1" x14ac:dyDescent="0.3">
      <c r="A427" s="96"/>
      <c r="B427" s="117" t="s">
        <v>242</v>
      </c>
      <c r="C427" s="123" t="e">
        <f>IF(VLOOKUP(B427,'Gebouwgegevens Allacker'!$J$5:$Q$83,2,0)=$B$394,VLOOKUP(B427,'Gebouwgegevens Allacker'!$J$5:$Q$83,2,0),VLOOKUP(B427,'Gebouwgegevens Allacker'!$J$5:$Q$83,3,0))</f>
        <v>#N/A</v>
      </c>
      <c r="D427" s="123" t="e">
        <f>IF(VLOOKUP(B427,'Gebouwgegevens Allacker'!$J$5:$Q$83,2,0)=$B$394,VLOOKUP(B427,'Gebouwgegevens Allacker'!$J$5:$Q$83,3,0),VLOOKUP(B427,'Gebouwgegevens Allacker'!$J$5:$Q$83,2,0))</f>
        <v>#N/A</v>
      </c>
      <c r="E427" s="123" t="e">
        <f>VLOOKUP(B427,'Gebouwgegevens Allacker'!$J$5:$Q$83,4,0)</f>
        <v>#N/A</v>
      </c>
      <c r="F427" s="123" t="e">
        <f>VLOOKUP(B427,'Gebouwgegevens Allacker'!$J$5:$Q$83,5,0)</f>
        <v>#N/A</v>
      </c>
      <c r="G427" s="123" t="e">
        <f>VLOOKUP('Verwarming Tabula 2zone RefULG2'!C427,'Gebouwgegevens Allacker'!$A$35:$F$46,5,0)</f>
        <v>#N/A</v>
      </c>
      <c r="H427" s="123" t="e">
        <f>VLOOKUP('Verwarming Tabula 2zone RefULG2'!D427,'Gebouwgegevens Allacker'!$A$35:$F$46,5,0)</f>
        <v>#N/A</v>
      </c>
      <c r="I427" s="123" t="e">
        <f>VLOOKUP(B427,'Gebouwgegevens Allacker'!$J$5:$Q$83,7,0)</f>
        <v>#N/A</v>
      </c>
      <c r="J427" s="119" t="e">
        <f>VLOOKUP(B427,'Gebouwgegevens Allacker'!$J$5:$Q$83,8,0)</f>
        <v>#N/A</v>
      </c>
      <c r="K427" s="119" t="e">
        <f>(G427-H427)/(G427-$B$4)</f>
        <v>#N/A</v>
      </c>
      <c r="L427" s="99"/>
      <c r="M427" s="99"/>
      <c r="N427" s="99"/>
      <c r="O427" s="99"/>
      <c r="P427" s="97"/>
    </row>
    <row r="428" spans="1:16" ht="16.5" customHeight="1" thickTop="1" thickBot="1" x14ac:dyDescent="0.3">
      <c r="A428" s="96"/>
      <c r="B428" s="146" t="s">
        <v>243</v>
      </c>
      <c r="C428" s="123" t="e">
        <f>IF(VLOOKUP(B428,'Gebouwgegevens Allacker'!$J$5:$Q$83,2,0)=$B$394,VLOOKUP(B428,'Gebouwgegevens Allacker'!$J$5:$Q$83,2,0),VLOOKUP(B428,'Gebouwgegevens Allacker'!$J$5:$Q$83,3,0))</f>
        <v>#N/A</v>
      </c>
      <c r="D428" s="123" t="e">
        <f>IF(VLOOKUP(B428,'Gebouwgegevens Allacker'!$J$5:$Q$83,2,0)=$B$394,VLOOKUP(B428,'Gebouwgegevens Allacker'!$J$5:$Q$83,3,0),VLOOKUP(B428,'Gebouwgegevens Allacker'!$J$5:$Q$83,2,0))</f>
        <v>#N/A</v>
      </c>
      <c r="E428" s="123" t="e">
        <f>VLOOKUP(B428,'Gebouwgegevens Allacker'!$J$5:$Q$83,4,0)</f>
        <v>#N/A</v>
      </c>
      <c r="F428" s="123" t="e">
        <f>VLOOKUP(B428,'Gebouwgegevens Allacker'!$J$5:$Q$83,5,0)</f>
        <v>#N/A</v>
      </c>
      <c r="G428" s="123" t="e">
        <f>VLOOKUP('Verwarming Tabula 2zone RefULG2'!C428,'Gebouwgegevens Allacker'!$A$35:$F$46,5,0)</f>
        <v>#N/A</v>
      </c>
      <c r="H428" s="123" t="e">
        <f>VLOOKUP('Verwarming Tabula 2zone RefULG2'!D428,'Gebouwgegevens Allacker'!$A$35:$F$46,5,0)</f>
        <v>#N/A</v>
      </c>
      <c r="I428" s="123" t="e">
        <f>VLOOKUP(B428,'Gebouwgegevens Allacker'!$J$5:$Q$83,7,0)</f>
        <v>#N/A</v>
      </c>
      <c r="J428" s="119" t="e">
        <f>VLOOKUP(B428,'Gebouwgegevens Allacker'!$J$5:$Q$83,8,0)</f>
        <v>#N/A</v>
      </c>
      <c r="K428" s="119" t="e">
        <f>(G428-H428)/(G428-$B$4)</f>
        <v>#N/A</v>
      </c>
      <c r="L428" s="99"/>
      <c r="M428" s="99"/>
      <c r="N428" s="99"/>
      <c r="O428" s="99"/>
      <c r="P428" s="97"/>
    </row>
    <row r="429" spans="1:16" ht="16.5" customHeight="1" thickTop="1" thickBot="1" x14ac:dyDescent="0.3">
      <c r="A429" s="96"/>
      <c r="B429" s="124"/>
      <c r="C429" s="140"/>
      <c r="D429" s="123"/>
      <c r="E429" s="123"/>
      <c r="F429" s="123"/>
      <c r="G429" s="123"/>
      <c r="H429" s="123"/>
      <c r="I429" s="123"/>
      <c r="J429" s="119"/>
      <c r="K429" s="119"/>
      <c r="L429" s="99"/>
      <c r="M429" s="99"/>
      <c r="N429" s="99"/>
      <c r="O429" s="99"/>
      <c r="P429" s="97"/>
    </row>
    <row r="430" spans="1:16" ht="16.5" customHeight="1" thickTop="1" thickBot="1" x14ac:dyDescent="0.3">
      <c r="A430" s="96"/>
      <c r="B430" s="124"/>
      <c r="C430" s="140"/>
      <c r="D430" s="123"/>
      <c r="E430" s="123"/>
      <c r="F430" s="123"/>
      <c r="G430" s="123"/>
      <c r="H430" s="123"/>
      <c r="I430" s="123"/>
      <c r="J430" s="119"/>
      <c r="K430" s="119"/>
      <c r="L430" s="99"/>
      <c r="M430" s="99"/>
      <c r="N430" s="99"/>
      <c r="O430" s="99"/>
      <c r="P430" s="97"/>
    </row>
    <row r="431" spans="1:16" ht="16.5" customHeight="1" thickTop="1" thickBot="1" x14ac:dyDescent="0.3">
      <c r="A431" s="96"/>
      <c r="B431" s="124"/>
      <c r="C431" s="140"/>
      <c r="D431" s="123"/>
      <c r="E431" s="123"/>
      <c r="F431" s="123"/>
      <c r="G431" s="123"/>
      <c r="H431" s="123"/>
      <c r="I431" s="123"/>
      <c r="J431" s="119"/>
      <c r="K431" s="119"/>
      <c r="L431" s="99"/>
      <c r="M431" s="99"/>
      <c r="N431" s="99"/>
      <c r="O431" s="99"/>
      <c r="P431" s="97"/>
    </row>
    <row r="432" spans="1:16" ht="16.5" customHeight="1" thickTop="1" thickBot="1" x14ac:dyDescent="0.3">
      <c r="A432" s="96"/>
      <c r="B432" s="124"/>
      <c r="C432" s="140"/>
      <c r="D432" s="123"/>
      <c r="E432" s="123"/>
      <c r="F432" s="123"/>
      <c r="G432" s="123"/>
      <c r="H432" s="123"/>
      <c r="I432" s="123"/>
      <c r="J432" s="119"/>
      <c r="K432" s="119"/>
      <c r="L432" s="99"/>
      <c r="M432" s="99"/>
      <c r="N432" s="99"/>
      <c r="O432" s="99"/>
      <c r="P432" s="97"/>
    </row>
    <row r="433" spans="1:16" ht="16.5" customHeight="1" thickTop="1" thickBot="1" x14ac:dyDescent="0.3">
      <c r="A433" s="96"/>
      <c r="B433" s="124"/>
      <c r="C433" s="140"/>
      <c r="D433" s="123"/>
      <c r="E433" s="123"/>
      <c r="F433" s="123"/>
      <c r="G433" s="123"/>
      <c r="H433" s="123"/>
      <c r="I433" s="123"/>
      <c r="J433" s="119"/>
      <c r="K433" s="119"/>
      <c r="L433" s="99"/>
      <c r="M433" s="99"/>
      <c r="N433" s="99"/>
      <c r="O433" s="99"/>
      <c r="P433" s="97"/>
    </row>
    <row r="434" spans="1:16" ht="15.75" customHeight="1" thickTop="1" x14ac:dyDescent="0.25">
      <c r="A434" s="96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9"/>
      <c r="M434" s="99"/>
      <c r="N434" s="99"/>
      <c r="O434" s="99"/>
      <c r="P434" s="97"/>
    </row>
    <row r="435" spans="1:16" ht="15" customHeight="1" x14ac:dyDescent="0.25">
      <c r="A435" s="96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7"/>
    </row>
    <row r="436" spans="1:16" ht="15.75" customHeight="1" x14ac:dyDescent="0.25">
      <c r="A436" s="104" t="s">
        <v>195</v>
      </c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7"/>
    </row>
    <row r="437" spans="1:16" ht="16.5" customHeight="1" x14ac:dyDescent="0.25">
      <c r="A437" s="125" t="s">
        <v>196</v>
      </c>
      <c r="B437" s="119" t="e">
        <f>SUMPRODUCT(H400:H411,I400:I411)+SUMPRODUCT(G416:G420,H416:H420)+SUMPRODUCT(J424:J433,K424:K433)</f>
        <v>#N/A</v>
      </c>
      <c r="C437" s="119" t="s">
        <v>107</v>
      </c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7"/>
    </row>
    <row r="438" spans="1:16" ht="16.5" customHeight="1" x14ac:dyDescent="0.25">
      <c r="A438" s="125" t="s">
        <v>170</v>
      </c>
      <c r="B438" s="119" t="e">
        <f>B437*(G424-$B$4)</f>
        <v>#N/A</v>
      </c>
      <c r="C438" s="119" t="s">
        <v>172</v>
      </c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7"/>
    </row>
    <row r="439" spans="1:16" ht="15.75" customHeight="1" thickBot="1" x14ac:dyDescent="0.3">
      <c r="A439" s="110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2"/>
    </row>
    <row r="440" spans="1:16" ht="15.75" customHeight="1" thickTop="1" x14ac:dyDescent="0.25">
      <c r="A440" s="312" t="s">
        <v>197</v>
      </c>
      <c r="B440" s="312"/>
      <c r="C440" s="312"/>
      <c r="D440" s="126" t="s">
        <v>225</v>
      </c>
      <c r="E440" s="289"/>
      <c r="F440" s="289"/>
      <c r="G440" s="289"/>
      <c r="H440" s="289"/>
      <c r="I440" s="289"/>
      <c r="J440" s="289"/>
      <c r="K440" s="289"/>
      <c r="L440" s="289"/>
      <c r="M440" s="289"/>
      <c r="N440" s="289"/>
      <c r="O440" s="289"/>
      <c r="P440" s="95"/>
    </row>
    <row r="441" spans="1:16" ht="15" customHeight="1" x14ac:dyDescent="0.25">
      <c r="A441" s="96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7"/>
    </row>
    <row r="442" spans="1:16" ht="15" customHeight="1" thickBot="1" x14ac:dyDescent="0.3">
      <c r="A442" s="127" t="s">
        <v>198</v>
      </c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7"/>
    </row>
    <row r="443" spans="1:16" ht="15" customHeight="1" thickTop="1" thickBot="1" x14ac:dyDescent="0.3">
      <c r="A443" s="128" t="s">
        <v>199</v>
      </c>
      <c r="B443" s="122">
        <v>8</v>
      </c>
      <c r="C443" s="121" t="s">
        <v>200</v>
      </c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7"/>
    </row>
    <row r="444" spans="1:16" ht="15" customHeight="1" thickTop="1" thickBot="1" x14ac:dyDescent="0.3">
      <c r="A444" s="128" t="s">
        <v>201</v>
      </c>
      <c r="B444" s="122">
        <v>0.03</v>
      </c>
      <c r="C444" s="121" t="s">
        <v>202</v>
      </c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7"/>
    </row>
    <row r="445" spans="1:16" ht="15.75" customHeight="1" thickTop="1" thickBot="1" x14ac:dyDescent="0.3">
      <c r="A445" s="128" t="s">
        <v>203</v>
      </c>
      <c r="B445" s="122">
        <v>1</v>
      </c>
      <c r="C445" s="121" t="s">
        <v>204</v>
      </c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7"/>
    </row>
    <row r="446" spans="1:16" ht="16.5" customHeight="1" thickTop="1" x14ac:dyDescent="0.25">
      <c r="A446" s="125" t="s">
        <v>205</v>
      </c>
      <c r="B446" s="119" t="e">
        <f>2*VLOOKUP(B394,'Gebouwgegevens Allacker'!$A$35:$F$46,6,0)*B443*B444*B445</f>
        <v>#N/A</v>
      </c>
      <c r="C446" s="119" t="s">
        <v>206</v>
      </c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7"/>
    </row>
    <row r="447" spans="1:16" ht="15.75" customHeight="1" x14ac:dyDescent="0.25">
      <c r="A447" s="96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7"/>
    </row>
    <row r="448" spans="1:16" ht="15" customHeight="1" x14ac:dyDescent="0.25">
      <c r="A448" s="127" t="s">
        <v>207</v>
      </c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7"/>
    </row>
    <row r="449" spans="1:16" ht="15.75" customHeight="1" x14ac:dyDescent="0.25">
      <c r="A449" s="96" t="s">
        <v>183</v>
      </c>
      <c r="B449" s="99" t="e">
        <f>VLOOKUP(B394,'Gebouwgegevens Allacker'!$A$35:$F$46,6,0)</f>
        <v>#N/A</v>
      </c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7"/>
    </row>
    <row r="450" spans="1:16" ht="16.5" customHeight="1" x14ac:dyDescent="0.25">
      <c r="A450" s="125" t="s">
        <v>208</v>
      </c>
      <c r="B450" s="129" t="e">
        <f>B449*3.6</f>
        <v>#N/A</v>
      </c>
      <c r="C450" s="119" t="s">
        <v>206</v>
      </c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7"/>
    </row>
    <row r="451" spans="1:16" ht="15.75" customHeight="1" x14ac:dyDescent="0.25">
      <c r="A451" s="139"/>
      <c r="B451" s="58"/>
      <c r="C451" s="58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7"/>
    </row>
    <row r="452" spans="1:16" ht="15.75" customHeight="1" x14ac:dyDescent="0.25">
      <c r="A452" s="139"/>
      <c r="B452" s="58"/>
      <c r="C452" s="58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7"/>
    </row>
    <row r="453" spans="1:16" ht="16.5" customHeight="1" x14ac:dyDescent="0.25">
      <c r="A453" s="125" t="s">
        <v>210</v>
      </c>
      <c r="B453" s="119" t="e">
        <f>MAX(B446,B450)</f>
        <v>#N/A</v>
      </c>
      <c r="C453" s="119" t="s">
        <v>206</v>
      </c>
      <c r="D453" s="99"/>
      <c r="E453" s="99"/>
      <c r="F453" s="119" t="s">
        <v>211</v>
      </c>
      <c r="G453" s="119" t="e">
        <f>B453/VLOOKUP(B394,'Gebouwgegevens Allacker'!$A$35:$B$46,2,0)</f>
        <v>#N/A</v>
      </c>
      <c r="H453" s="99"/>
      <c r="I453" s="99"/>
      <c r="J453" s="99"/>
      <c r="K453" s="99"/>
      <c r="L453" s="99"/>
      <c r="M453" s="99"/>
      <c r="N453" s="99"/>
      <c r="O453" s="99"/>
      <c r="P453" s="97"/>
    </row>
    <row r="454" spans="1:16" ht="16.5" customHeight="1" x14ac:dyDescent="0.25">
      <c r="A454" s="139"/>
      <c r="B454" s="58"/>
      <c r="C454" s="58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7"/>
    </row>
    <row r="455" spans="1:16" ht="16.5" customHeight="1" x14ac:dyDescent="0.25">
      <c r="A455" s="125" t="s">
        <v>212</v>
      </c>
      <c r="B455" s="119" t="e">
        <f>0.34*B453</f>
        <v>#N/A</v>
      </c>
      <c r="C455" s="119" t="s">
        <v>107</v>
      </c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7"/>
    </row>
    <row r="456" spans="1:16" ht="16.5" customHeight="1" x14ac:dyDescent="0.25">
      <c r="A456" s="125" t="s">
        <v>170</v>
      </c>
      <c r="B456" s="119" t="e">
        <f>B455*('Gebouwgegevens Allacker'!E416-$B$4)</f>
        <v>#N/A</v>
      </c>
      <c r="C456" s="119" t="s">
        <v>172</v>
      </c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7"/>
    </row>
    <row r="457" spans="1:16" ht="15.75" customHeight="1" thickBot="1" x14ac:dyDescent="0.3">
      <c r="A457" s="141"/>
      <c r="B457" s="142"/>
      <c r="C457" s="142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2"/>
    </row>
    <row r="458" spans="1:16" ht="15.75" customHeight="1" thickTop="1" x14ac:dyDescent="0.25">
      <c r="A458" s="312" t="s">
        <v>213</v>
      </c>
      <c r="B458" s="312"/>
      <c r="C458" s="312"/>
      <c r="D458" s="312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7"/>
    </row>
    <row r="459" spans="1:16" ht="15" customHeight="1" thickBot="1" x14ac:dyDescent="0.3">
      <c r="A459" s="96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7"/>
    </row>
    <row r="460" spans="1:16" ht="15" customHeight="1" thickTop="1" thickBot="1" x14ac:dyDescent="0.3">
      <c r="A460" s="128" t="s">
        <v>214</v>
      </c>
      <c r="B460" s="122">
        <v>22</v>
      </c>
      <c r="C460" s="58" t="s">
        <v>235</v>
      </c>
      <c r="D460" s="58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7"/>
    </row>
    <row r="461" spans="1:16" ht="15.75" customHeight="1" thickTop="1" x14ac:dyDescent="0.25">
      <c r="A461" s="153" t="s">
        <v>113</v>
      </c>
      <c r="B461" s="58" t="e">
        <f>VLOOKUP(B394,'Gebouwgegevens Allacker'!$A$35:$F$46,6,0)</f>
        <v>#N/A</v>
      </c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7"/>
    </row>
    <row r="462" spans="1:16" ht="16.5" customHeight="1" x14ac:dyDescent="0.25">
      <c r="A462" s="125" t="s">
        <v>216</v>
      </c>
      <c r="B462" s="119" t="e">
        <f>B463/('Gebouwgegevens Allacker'!E416-'Verwarming Tabula 2zone RefULG2'!$B$4)</f>
        <v>#N/A</v>
      </c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7"/>
    </row>
    <row r="463" spans="1:16" ht="16.5" customHeight="1" x14ac:dyDescent="0.25">
      <c r="A463" s="125" t="s">
        <v>170</v>
      </c>
      <c r="B463" s="119" t="e">
        <f>B460*B461</f>
        <v>#N/A</v>
      </c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7"/>
    </row>
    <row r="464" spans="1:16" ht="15.75" customHeight="1" x14ac:dyDescent="0.25">
      <c r="A464" s="96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7"/>
    </row>
    <row r="465" spans="1:16" ht="15.75" customHeight="1" thickBot="1" x14ac:dyDescent="0.3">
      <c r="A465" s="96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7"/>
    </row>
    <row r="466" spans="1:16" ht="15.75" customHeight="1" thickTop="1" thickBot="1" x14ac:dyDescent="0.3">
      <c r="A466" s="130" t="s">
        <v>217</v>
      </c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2"/>
    </row>
    <row r="467" spans="1:16" ht="16.5" customHeight="1" thickTop="1" x14ac:dyDescent="0.25">
      <c r="A467" s="125" t="s">
        <v>218</v>
      </c>
      <c r="B467" s="119" t="e">
        <f>SUM(B437,B455,B462)</f>
        <v>#N/A</v>
      </c>
      <c r="C467" s="119" t="s">
        <v>107</v>
      </c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4"/>
    </row>
    <row r="468" spans="1:16" ht="16.5" customHeight="1" x14ac:dyDescent="0.25">
      <c r="A468" s="125" t="s">
        <v>170</v>
      </c>
      <c r="B468" s="119" t="e">
        <f>SUM(B438,B456,B463)</f>
        <v>#N/A</v>
      </c>
      <c r="C468" s="119" t="s">
        <v>172</v>
      </c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4"/>
    </row>
    <row r="469" spans="1:16" ht="16.5" customHeight="1" thickBot="1" x14ac:dyDescent="0.3">
      <c r="A469" s="135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7"/>
    </row>
    <row r="470" spans="1:16" ht="15.75" customHeight="1" thickTop="1" thickBot="1" x14ac:dyDescent="0.3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</row>
    <row r="471" spans="1:16" ht="15" customHeight="1" thickTop="1" thickBot="1" x14ac:dyDescent="0.3">
      <c r="A471" s="94"/>
      <c r="B471" s="289"/>
      <c r="C471" s="289"/>
      <c r="D471" s="289"/>
      <c r="E471" s="289"/>
      <c r="F471" s="289"/>
      <c r="G471" s="289"/>
      <c r="H471" s="289"/>
      <c r="I471" s="289"/>
      <c r="J471" s="289"/>
      <c r="K471" s="289"/>
      <c r="L471" s="289"/>
      <c r="M471" s="289"/>
      <c r="N471" s="289"/>
      <c r="O471" s="289"/>
      <c r="P471" s="95"/>
    </row>
    <row r="472" spans="1:16" ht="17.25" customHeight="1" thickTop="1" thickBot="1" x14ac:dyDescent="0.35">
      <c r="A472" s="98" t="s">
        <v>169</v>
      </c>
      <c r="B472" s="93">
        <v>7</v>
      </c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7"/>
    </row>
    <row r="473" spans="1:16" ht="15.75" customHeight="1" thickTop="1" x14ac:dyDescent="0.25">
      <c r="A473" s="312" t="s">
        <v>171</v>
      </c>
      <c r="B473" s="312"/>
      <c r="C473" s="312"/>
      <c r="D473" s="312"/>
      <c r="E473" s="289"/>
      <c r="F473" s="289"/>
      <c r="G473" s="289"/>
      <c r="H473" s="289"/>
      <c r="I473" s="289"/>
      <c r="J473" s="289"/>
      <c r="K473" s="289"/>
      <c r="L473" s="289"/>
      <c r="M473" s="289"/>
      <c r="N473" s="289"/>
      <c r="O473" s="289"/>
      <c r="P473" s="95"/>
    </row>
    <row r="474" spans="1:16" ht="15" customHeight="1" x14ac:dyDescent="0.25">
      <c r="A474" s="96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7"/>
    </row>
    <row r="475" spans="1:16" ht="15" customHeight="1" x14ac:dyDescent="0.25">
      <c r="A475" s="104" t="s">
        <v>173</v>
      </c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7"/>
    </row>
    <row r="476" spans="1:16" ht="15" customHeight="1" x14ac:dyDescent="0.25">
      <c r="A476" s="96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7"/>
    </row>
    <row r="477" spans="1:16" ht="15.75" customHeight="1" thickBot="1" x14ac:dyDescent="0.3">
      <c r="A477" s="96"/>
      <c r="B477" s="105" t="s">
        <v>10</v>
      </c>
      <c r="C477" s="105" t="s">
        <v>174</v>
      </c>
      <c r="D477" s="105" t="s">
        <v>175</v>
      </c>
      <c r="E477" s="105" t="s">
        <v>176</v>
      </c>
      <c r="F477" s="105" t="s">
        <v>177</v>
      </c>
      <c r="G477" s="105" t="s">
        <v>16</v>
      </c>
      <c r="H477" s="106" t="s">
        <v>17</v>
      </c>
      <c r="I477" s="106" t="s">
        <v>178</v>
      </c>
      <c r="J477" s="99"/>
      <c r="K477" s="99"/>
      <c r="L477" s="99"/>
      <c r="M477" s="99"/>
      <c r="N477" s="99"/>
      <c r="O477" s="99"/>
      <c r="P477" s="97"/>
    </row>
    <row r="478" spans="1:16" ht="16.5" customHeight="1" thickTop="1" thickBot="1" x14ac:dyDescent="0.3">
      <c r="A478" s="96"/>
      <c r="B478" s="107" t="s">
        <v>102</v>
      </c>
      <c r="C478" s="108">
        <f>VLOOKUP(B478,'Gebouwgegevens Allacker'!$J$5:$Q$83,3,0)</f>
        <v>2</v>
      </c>
      <c r="D478" s="108" t="str">
        <f>VLOOKUP(B478,'Gebouwgegevens Allacker'!$J$5:$Q$83,4,0)</f>
        <v>Wall internal</v>
      </c>
      <c r="E478" s="108">
        <f>VLOOKUP(B478,'Gebouwgegevens Allacker'!$J$5:$Q$83,5,0)</f>
        <v>14.24</v>
      </c>
      <c r="F478" s="108">
        <f>VLOOKUP(B478,'Gebouwgegevens Allacker'!$J$5:$Q$83,6,0)</f>
        <v>0</v>
      </c>
      <c r="G478" s="108">
        <f>VLOOKUP(B478,'Gebouwgegevens Allacker'!$J$5:$Q$83,7,0)</f>
        <v>1.9926199261992623</v>
      </c>
      <c r="H478" s="109">
        <f>VLOOKUP(B478,'Gebouwgegevens Allacker'!$J$5:$Q$83,8,0)</f>
        <v>28.374907749077497</v>
      </c>
      <c r="I478" s="109">
        <v>1</v>
      </c>
      <c r="J478" s="99"/>
      <c r="K478" s="99"/>
      <c r="L478" s="99"/>
      <c r="M478" s="99"/>
      <c r="N478" s="99"/>
      <c r="O478" s="99"/>
      <c r="P478" s="97"/>
    </row>
    <row r="479" spans="1:16" ht="16.5" customHeight="1" thickTop="1" thickBot="1" x14ac:dyDescent="0.3">
      <c r="A479" s="96"/>
      <c r="B479" s="107" t="s">
        <v>102</v>
      </c>
      <c r="C479" s="108">
        <f>VLOOKUP(B479,'Gebouwgegevens Allacker'!$J$5:$Q$83,3,0)</f>
        <v>2</v>
      </c>
      <c r="D479" s="108" t="str">
        <f>VLOOKUP(B479,'Gebouwgegevens Allacker'!$J$5:$Q$83,4,0)</f>
        <v>Wall internal</v>
      </c>
      <c r="E479" s="108">
        <f>VLOOKUP(B479,'Gebouwgegevens Allacker'!$J$5:$Q$83,5,0)</f>
        <v>14.24</v>
      </c>
      <c r="F479" s="108">
        <f>VLOOKUP(B479,'Gebouwgegevens Allacker'!$J$5:$Q$83,6,0)</f>
        <v>0</v>
      </c>
      <c r="G479" s="108">
        <f>VLOOKUP(B479,'Gebouwgegevens Allacker'!$J$5:$Q$83,7,0)</f>
        <v>1.9926199261992623</v>
      </c>
      <c r="H479" s="109">
        <f>VLOOKUP(B479,'Gebouwgegevens Allacker'!$J$5:$Q$83,8,0)</f>
        <v>28.374907749077497</v>
      </c>
      <c r="I479" s="109">
        <v>1</v>
      </c>
      <c r="J479" s="99"/>
      <c r="K479" s="99"/>
      <c r="L479" s="99"/>
      <c r="M479" s="99"/>
      <c r="N479" s="99"/>
      <c r="O479" s="99"/>
      <c r="P479" s="97"/>
    </row>
    <row r="480" spans="1:16" ht="16.5" customHeight="1" thickTop="1" thickBot="1" x14ac:dyDescent="0.3">
      <c r="A480" s="96"/>
      <c r="B480" s="107" t="s">
        <v>244</v>
      </c>
      <c r="C480" s="108" t="e">
        <f>VLOOKUP(B480,'Gebouwgegevens Allacker'!$J$5:$Q$83,3,0)</f>
        <v>#N/A</v>
      </c>
      <c r="D480" s="108" t="e">
        <f>VLOOKUP(B480,'Gebouwgegevens Allacker'!$J$5:$Q$83,4,0)</f>
        <v>#N/A</v>
      </c>
      <c r="E480" s="108" t="e">
        <f>VLOOKUP(B480,'Gebouwgegevens Allacker'!$J$5:$Q$83,5,0)</f>
        <v>#N/A</v>
      </c>
      <c r="F480" s="108" t="e">
        <f>VLOOKUP(B480,'Gebouwgegevens Allacker'!$J$5:$Q$83,6,0)</f>
        <v>#N/A</v>
      </c>
      <c r="G480" s="108" t="e">
        <f>VLOOKUP(B480,'Gebouwgegevens Allacker'!$J$5:$Q$83,7,0)</f>
        <v>#N/A</v>
      </c>
      <c r="H480" s="109" t="e">
        <f>VLOOKUP(B480,'Gebouwgegevens Allacker'!$J$5:$Q$83,8,0)</f>
        <v>#N/A</v>
      </c>
      <c r="I480" s="109">
        <v>1</v>
      </c>
      <c r="J480" s="99"/>
      <c r="K480" s="99"/>
      <c r="L480" s="99"/>
      <c r="M480" s="99"/>
      <c r="N480" s="99"/>
      <c r="O480" s="99"/>
      <c r="P480" s="97"/>
    </row>
    <row r="481" spans="1:16" ht="16.5" customHeight="1" thickTop="1" thickBot="1" x14ac:dyDescent="0.3">
      <c r="A481" s="96"/>
      <c r="B481" s="107" t="s">
        <v>245</v>
      </c>
      <c r="C481" s="108" t="e">
        <f>VLOOKUP(B481,'Gebouwgegevens Allacker'!$J$5:$Q$83,3,0)</f>
        <v>#N/A</v>
      </c>
      <c r="D481" s="108" t="e">
        <f>VLOOKUP(B481,'Gebouwgegevens Allacker'!$J$5:$Q$83,4,0)</f>
        <v>#N/A</v>
      </c>
      <c r="E481" s="108" t="e">
        <f>VLOOKUP(B481,'Gebouwgegevens Allacker'!$J$5:$Q$83,5,0)</f>
        <v>#N/A</v>
      </c>
      <c r="F481" s="108" t="e">
        <f>VLOOKUP(B481,'Gebouwgegevens Allacker'!$J$5:$Q$83,6,0)</f>
        <v>#N/A</v>
      </c>
      <c r="G481" s="108" t="e">
        <f>VLOOKUP(B481,'Gebouwgegevens Allacker'!$J$5:$Q$83,7,0)</f>
        <v>#N/A</v>
      </c>
      <c r="H481" s="109" t="e">
        <f>VLOOKUP(B481,'Gebouwgegevens Allacker'!$J$5:$Q$83,8,0)</f>
        <v>#N/A</v>
      </c>
      <c r="I481" s="109">
        <v>1</v>
      </c>
      <c r="J481" s="99"/>
      <c r="K481" s="99"/>
      <c r="L481" s="99"/>
      <c r="M481" s="99"/>
      <c r="N481" s="99"/>
      <c r="O481" s="99"/>
      <c r="P481" s="97"/>
    </row>
    <row r="482" spans="1:16" ht="16.5" customHeight="1" thickTop="1" thickBot="1" x14ac:dyDescent="0.3">
      <c r="A482" s="96"/>
      <c r="B482" s="107" t="s">
        <v>246</v>
      </c>
      <c r="C482" s="108" t="e">
        <f>VLOOKUP(B482,'Gebouwgegevens Allacker'!$J$5:$Q$83,3,0)</f>
        <v>#N/A</v>
      </c>
      <c r="D482" s="108" t="e">
        <f>VLOOKUP(B482,'Gebouwgegevens Allacker'!$J$5:$Q$83,4,0)</f>
        <v>#N/A</v>
      </c>
      <c r="E482" s="108" t="e">
        <f>VLOOKUP(B482,'Gebouwgegevens Allacker'!$J$5:$Q$83,5,0)</f>
        <v>#N/A</v>
      </c>
      <c r="F482" s="108" t="e">
        <f>VLOOKUP(B482,'Gebouwgegevens Allacker'!$J$5:$Q$83,6,0)</f>
        <v>#N/A</v>
      </c>
      <c r="G482" s="108" t="e">
        <f>VLOOKUP(B482,'Gebouwgegevens Allacker'!$J$5:$Q$83,7,0)</f>
        <v>#N/A</v>
      </c>
      <c r="H482" s="109" t="e">
        <f>VLOOKUP(B482,'Gebouwgegevens Allacker'!$J$5:$Q$83,8,0)</f>
        <v>#N/A</v>
      </c>
      <c r="I482" s="109">
        <v>1</v>
      </c>
      <c r="J482" s="99"/>
      <c r="K482" s="99"/>
      <c r="L482" s="99"/>
      <c r="M482" s="99"/>
      <c r="N482" s="99"/>
      <c r="O482" s="99"/>
      <c r="P482" s="97"/>
    </row>
    <row r="483" spans="1:16" ht="16.5" customHeight="1" thickTop="1" thickBot="1" x14ac:dyDescent="0.3">
      <c r="A483" s="96"/>
      <c r="B483" s="107" t="s">
        <v>247</v>
      </c>
      <c r="C483" s="108" t="e">
        <f>VLOOKUP(B483,'Gebouwgegevens Allacker'!$J$5:$Q$83,3,0)</f>
        <v>#N/A</v>
      </c>
      <c r="D483" s="108" t="e">
        <f>VLOOKUP(B483,'Gebouwgegevens Allacker'!$J$5:$Q$83,4,0)</f>
        <v>#N/A</v>
      </c>
      <c r="E483" s="108" t="e">
        <f>VLOOKUP(B483,'Gebouwgegevens Allacker'!$J$5:$Q$83,5,0)</f>
        <v>#N/A</v>
      </c>
      <c r="F483" s="108" t="e">
        <f>VLOOKUP(B483,'Gebouwgegevens Allacker'!$J$5:$Q$83,6,0)</f>
        <v>#N/A</v>
      </c>
      <c r="G483" s="108" t="e">
        <f>VLOOKUP(B483,'Gebouwgegevens Allacker'!$J$5:$Q$83,7,0)</f>
        <v>#N/A</v>
      </c>
      <c r="H483" s="109" t="e">
        <f>VLOOKUP(B483,'Gebouwgegevens Allacker'!$J$5:$Q$83,8,0)</f>
        <v>#N/A</v>
      </c>
      <c r="I483" s="109">
        <v>1</v>
      </c>
      <c r="J483" s="99"/>
      <c r="K483" s="99"/>
      <c r="L483" s="99"/>
      <c r="M483" s="99"/>
      <c r="N483" s="99"/>
      <c r="O483" s="99"/>
      <c r="P483" s="97"/>
    </row>
    <row r="484" spans="1:16" ht="16.5" customHeight="1" thickTop="1" thickBot="1" x14ac:dyDescent="0.3">
      <c r="A484" s="96"/>
      <c r="B484" s="107"/>
      <c r="C484" s="108"/>
      <c r="D484" s="108"/>
      <c r="E484" s="108"/>
      <c r="F484" s="108"/>
      <c r="G484" s="108"/>
      <c r="H484" s="109"/>
      <c r="I484" s="109"/>
      <c r="J484" s="99"/>
      <c r="K484" s="99"/>
      <c r="L484" s="99"/>
      <c r="M484" s="99"/>
      <c r="N484" s="99"/>
      <c r="O484" s="99"/>
      <c r="P484" s="97"/>
    </row>
    <row r="485" spans="1:16" ht="16.5" customHeight="1" thickTop="1" thickBot="1" x14ac:dyDescent="0.3">
      <c r="A485" s="96"/>
      <c r="B485" s="107"/>
      <c r="C485" s="108"/>
      <c r="D485" s="108"/>
      <c r="E485" s="108"/>
      <c r="F485" s="108"/>
      <c r="G485" s="108"/>
      <c r="H485" s="109"/>
      <c r="I485" s="109"/>
      <c r="J485" s="99"/>
      <c r="K485" s="99"/>
      <c r="L485" s="99"/>
      <c r="M485" s="99"/>
      <c r="N485" s="99"/>
      <c r="O485" s="99"/>
      <c r="P485" s="97"/>
    </row>
    <row r="486" spans="1:16" ht="16.5" customHeight="1" thickTop="1" thickBot="1" x14ac:dyDescent="0.3">
      <c r="A486" s="96"/>
      <c r="B486" s="107"/>
      <c r="C486" s="108"/>
      <c r="D486" s="108"/>
      <c r="E486" s="108"/>
      <c r="F486" s="108"/>
      <c r="G486" s="108"/>
      <c r="H486" s="109"/>
      <c r="I486" s="109"/>
      <c r="J486" s="99"/>
      <c r="K486" s="99"/>
      <c r="L486" s="99"/>
      <c r="M486" s="99"/>
      <c r="N486" s="99"/>
      <c r="O486" s="99"/>
      <c r="P486" s="97"/>
    </row>
    <row r="487" spans="1:16" ht="16.5" customHeight="1" thickTop="1" thickBot="1" x14ac:dyDescent="0.3">
      <c r="A487" s="96"/>
      <c r="B487" s="107"/>
      <c r="C487" s="108"/>
      <c r="D487" s="108"/>
      <c r="E487" s="108"/>
      <c r="F487" s="108"/>
      <c r="G487" s="108"/>
      <c r="H487" s="109"/>
      <c r="I487" s="109"/>
      <c r="J487" s="99"/>
      <c r="K487" s="99"/>
      <c r="L487" s="99"/>
      <c r="M487" s="99"/>
      <c r="N487" s="99"/>
      <c r="O487" s="99"/>
      <c r="P487" s="97"/>
    </row>
    <row r="488" spans="1:16" ht="16.5" customHeight="1" thickTop="1" thickBot="1" x14ac:dyDescent="0.3">
      <c r="A488" s="96"/>
      <c r="B488" s="107"/>
      <c r="C488" s="108"/>
      <c r="D488" s="108"/>
      <c r="E488" s="108"/>
      <c r="F488" s="108"/>
      <c r="G488" s="108"/>
      <c r="H488" s="109"/>
      <c r="I488" s="109"/>
      <c r="J488" s="99"/>
      <c r="K488" s="99"/>
      <c r="L488" s="99"/>
      <c r="M488" s="99"/>
      <c r="N488" s="99"/>
      <c r="O488" s="99"/>
      <c r="P488" s="97"/>
    </row>
    <row r="489" spans="1:16" ht="16.5" customHeight="1" thickTop="1" thickBot="1" x14ac:dyDescent="0.3">
      <c r="A489" s="96"/>
      <c r="B489" s="107"/>
      <c r="C489" s="108"/>
      <c r="D489" s="108"/>
      <c r="E489" s="108"/>
      <c r="F489" s="108"/>
      <c r="G489" s="108"/>
      <c r="H489" s="109"/>
      <c r="I489" s="109"/>
      <c r="J489" s="99"/>
      <c r="K489" s="99"/>
      <c r="L489" s="99"/>
      <c r="M489" s="99"/>
      <c r="N489" s="99"/>
      <c r="O489" s="99"/>
      <c r="P489" s="97"/>
    </row>
    <row r="490" spans="1:16" ht="15.75" customHeight="1" thickTop="1" x14ac:dyDescent="0.25">
      <c r="A490" s="96"/>
      <c r="B490" s="58"/>
      <c r="C490" s="58"/>
      <c r="D490" s="58"/>
      <c r="E490" s="58"/>
      <c r="F490" s="58"/>
      <c r="G490" s="115"/>
      <c r="H490" s="58"/>
      <c r="I490" s="58"/>
      <c r="J490" s="99"/>
      <c r="K490" s="99"/>
      <c r="L490" s="99"/>
      <c r="M490" s="99"/>
      <c r="N490" s="99"/>
      <c r="O490" s="99"/>
      <c r="P490" s="97"/>
    </row>
    <row r="491" spans="1:16" ht="15" customHeight="1" x14ac:dyDescent="0.25">
      <c r="A491" s="96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7"/>
    </row>
    <row r="492" spans="1:16" ht="15" customHeight="1" x14ac:dyDescent="0.25">
      <c r="A492" s="104" t="s">
        <v>180</v>
      </c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7"/>
    </row>
    <row r="493" spans="1:16" ht="15.75" customHeight="1" x14ac:dyDescent="0.25">
      <c r="A493" s="96"/>
      <c r="B493" s="58" t="s">
        <v>10</v>
      </c>
      <c r="C493" s="58" t="s">
        <v>181</v>
      </c>
      <c r="D493" s="58" t="s">
        <v>175</v>
      </c>
      <c r="E493" s="58" t="s">
        <v>182</v>
      </c>
      <c r="F493" s="58" t="s">
        <v>16</v>
      </c>
      <c r="G493" s="115" t="s">
        <v>17</v>
      </c>
      <c r="H493" s="115" t="s">
        <v>178</v>
      </c>
      <c r="I493" s="58" t="s">
        <v>183</v>
      </c>
      <c r="J493" s="58" t="s">
        <v>184</v>
      </c>
      <c r="K493" s="58" t="s">
        <v>185</v>
      </c>
      <c r="L493" s="116" t="s">
        <v>186</v>
      </c>
      <c r="M493" s="116" t="s">
        <v>187</v>
      </c>
      <c r="N493" s="116" t="s">
        <v>188</v>
      </c>
      <c r="O493" s="99"/>
      <c r="P493" s="97"/>
    </row>
    <row r="494" spans="1:16" ht="16.5" customHeight="1" thickBot="1" x14ac:dyDescent="0.3">
      <c r="A494" s="96"/>
      <c r="B494" s="117"/>
      <c r="C494" s="118"/>
      <c r="D494" s="118"/>
      <c r="E494" s="118"/>
      <c r="F494" s="118"/>
      <c r="G494" s="119"/>
      <c r="H494" s="119"/>
      <c r="I494" s="118"/>
      <c r="J494" s="117"/>
      <c r="K494" s="117"/>
      <c r="L494" s="120"/>
      <c r="M494" s="120"/>
      <c r="N494" s="121"/>
      <c r="O494" s="99"/>
      <c r="P494" s="97"/>
    </row>
    <row r="495" spans="1:16" ht="16.5" customHeight="1" thickTop="1" thickBot="1" x14ac:dyDescent="0.3">
      <c r="A495" s="96"/>
      <c r="B495" s="117"/>
      <c r="C495" s="118"/>
      <c r="D495" s="118"/>
      <c r="E495" s="118"/>
      <c r="F495" s="118"/>
      <c r="G495" s="119"/>
      <c r="H495" s="119"/>
      <c r="I495" s="118"/>
      <c r="J495" s="117"/>
      <c r="K495" s="117"/>
      <c r="L495" s="120"/>
      <c r="M495" s="120"/>
      <c r="N495" s="121"/>
      <c r="O495" s="99"/>
      <c r="P495" s="97"/>
    </row>
    <row r="496" spans="1:16" ht="16.5" customHeight="1" thickTop="1" thickBot="1" x14ac:dyDescent="0.3">
      <c r="A496" s="96"/>
      <c r="B496" s="117"/>
      <c r="C496" s="118"/>
      <c r="D496" s="118"/>
      <c r="E496" s="118"/>
      <c r="F496" s="118"/>
      <c r="G496" s="119"/>
      <c r="H496" s="119"/>
      <c r="I496" s="118"/>
      <c r="J496" s="117"/>
      <c r="K496" s="117"/>
      <c r="L496" s="120"/>
      <c r="M496" s="120"/>
      <c r="N496" s="121"/>
      <c r="O496" s="99"/>
      <c r="P496" s="97"/>
    </row>
    <row r="497" spans="1:16" ht="16.5" customHeight="1" thickTop="1" thickBot="1" x14ac:dyDescent="0.3">
      <c r="A497" s="96"/>
      <c r="B497" s="117"/>
      <c r="C497" s="118"/>
      <c r="D497" s="118"/>
      <c r="E497" s="118"/>
      <c r="F497" s="118"/>
      <c r="G497" s="119"/>
      <c r="H497" s="119"/>
      <c r="I497" s="118"/>
      <c r="J497" s="117"/>
      <c r="K497" s="117"/>
      <c r="L497" s="120"/>
      <c r="M497" s="120"/>
      <c r="N497" s="121"/>
      <c r="O497" s="99"/>
      <c r="P497" s="97"/>
    </row>
    <row r="498" spans="1:16" ht="16.5" customHeight="1" thickTop="1" thickBot="1" x14ac:dyDescent="0.3">
      <c r="A498" s="139"/>
      <c r="B498" s="117"/>
      <c r="C498" s="118"/>
      <c r="D498" s="118"/>
      <c r="E498" s="118"/>
      <c r="F498" s="118"/>
      <c r="G498" s="119"/>
      <c r="H498" s="119"/>
      <c r="I498" s="118"/>
      <c r="J498" s="117"/>
      <c r="K498" s="117"/>
      <c r="L498" s="120"/>
      <c r="M498" s="120"/>
      <c r="N498" s="121"/>
      <c r="O498" s="99"/>
      <c r="P498" s="97"/>
    </row>
    <row r="499" spans="1:16" ht="15.75" customHeight="1" thickTop="1" x14ac:dyDescent="0.25">
      <c r="A499" s="96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7"/>
    </row>
    <row r="500" spans="1:16" ht="15" customHeight="1" x14ac:dyDescent="0.25">
      <c r="A500" s="104" t="s">
        <v>189</v>
      </c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7"/>
    </row>
    <row r="501" spans="1:16" ht="15.75" customHeight="1" thickBot="1" x14ac:dyDescent="0.3">
      <c r="A501" s="96"/>
      <c r="B501" s="58" t="s">
        <v>10</v>
      </c>
      <c r="C501" s="58" t="s">
        <v>190</v>
      </c>
      <c r="D501" s="58" t="s">
        <v>191</v>
      </c>
      <c r="E501" s="58" t="s">
        <v>135</v>
      </c>
      <c r="F501" s="58" t="s">
        <v>192</v>
      </c>
      <c r="G501" s="58" t="s">
        <v>193</v>
      </c>
      <c r="H501" s="58" t="s">
        <v>194</v>
      </c>
      <c r="I501" s="58" t="s">
        <v>16</v>
      </c>
      <c r="J501" s="115" t="s">
        <v>17</v>
      </c>
      <c r="K501" s="115" t="s">
        <v>178</v>
      </c>
      <c r="L501" s="99"/>
      <c r="M501" s="99"/>
      <c r="N501" s="99"/>
      <c r="O501" s="99"/>
      <c r="P501" s="97"/>
    </row>
    <row r="502" spans="1:16" ht="16.5" customHeight="1" thickTop="1" thickBot="1" x14ac:dyDescent="0.3">
      <c r="A502" s="96"/>
      <c r="B502" s="117" t="s">
        <v>240</v>
      </c>
      <c r="C502" s="123" t="e">
        <f>IF(VLOOKUP(B502,'Gebouwgegevens Allacker'!$J$5:$Q$83,2,0)=$B$472,VLOOKUP(B502,'Gebouwgegevens Allacker'!$J$5:$Q$83,2,0),VLOOKUP(B502,'Gebouwgegevens Allacker'!$J$5:$Q$83,3,0))</f>
        <v>#N/A</v>
      </c>
      <c r="D502" s="123" t="e">
        <f>IF(VLOOKUP(B502,'Gebouwgegevens Allacker'!$J$5:$Q$83,2,0)=$B$472,VLOOKUP(B502,'Gebouwgegevens Allacker'!$J$5:$Q$83,3,0),VLOOKUP(B502,'Gebouwgegevens Allacker'!$J$5:$Q$83,2,0))</f>
        <v>#N/A</v>
      </c>
      <c r="E502" s="123" t="e">
        <f>VLOOKUP(B502,'Gebouwgegevens Allacker'!$J$5:$Q$83,4,0)</f>
        <v>#N/A</v>
      </c>
      <c r="F502" s="123" t="e">
        <f>VLOOKUP(B502,'Gebouwgegevens Allacker'!$J$5:$Q$83,5,0)</f>
        <v>#N/A</v>
      </c>
      <c r="G502" s="123" t="e">
        <f>VLOOKUP('Verwarming Tabula 2zone RefULG2'!C502,'Gebouwgegevens Allacker'!$A$35:$F$46,5,0)</f>
        <v>#N/A</v>
      </c>
      <c r="H502" s="123" t="e">
        <f>VLOOKUP('Verwarming Tabula 2zone RefULG2'!D502,'Gebouwgegevens Allacker'!$A$35:$F$46,5,0)</f>
        <v>#N/A</v>
      </c>
      <c r="I502" s="123" t="e">
        <f>VLOOKUP(B502,'Gebouwgegevens Allacker'!$J$5:$Q$83,7,0)</f>
        <v>#N/A</v>
      </c>
      <c r="J502" s="119" t="e">
        <f>VLOOKUP(B502,'Gebouwgegevens Allacker'!$J$5:$Q$83,8,0)</f>
        <v>#N/A</v>
      </c>
      <c r="K502" s="119" t="e">
        <f>(G502-H502)/(G502-$B$4)</f>
        <v>#N/A</v>
      </c>
      <c r="L502" s="99"/>
      <c r="M502" s="99"/>
      <c r="N502" s="99"/>
      <c r="O502" s="99"/>
      <c r="P502" s="97"/>
    </row>
    <row r="503" spans="1:16" ht="16.5" customHeight="1" thickTop="1" thickBot="1" x14ac:dyDescent="0.3">
      <c r="A503" s="96"/>
      <c r="B503" s="117" t="s">
        <v>224</v>
      </c>
      <c r="C503" s="123" t="e">
        <f>IF(VLOOKUP(B503,'Gebouwgegevens Allacker'!$J$5:$Q$83,2,0)=$B$472,VLOOKUP(B503,'Gebouwgegevens Allacker'!$J$5:$Q$83,2,0),VLOOKUP(B503,'Gebouwgegevens Allacker'!$J$5:$Q$83,3,0))</f>
        <v>#N/A</v>
      </c>
      <c r="D503" s="123" t="e">
        <f>IF(VLOOKUP(B503,'Gebouwgegevens Allacker'!$J$5:$Q$83,2,0)=$B$472,VLOOKUP(B503,'Gebouwgegevens Allacker'!$J$5:$Q$83,3,0),VLOOKUP(B503,'Gebouwgegevens Allacker'!$J$5:$Q$83,2,0))</f>
        <v>#N/A</v>
      </c>
      <c r="E503" s="123" t="e">
        <f>VLOOKUP(B503,'Gebouwgegevens Allacker'!$J$5:$Q$83,4,0)</f>
        <v>#N/A</v>
      </c>
      <c r="F503" s="123" t="e">
        <f>VLOOKUP(B503,'Gebouwgegevens Allacker'!$J$5:$Q$83,5,0)</f>
        <v>#N/A</v>
      </c>
      <c r="G503" s="123" t="e">
        <f>VLOOKUP('Verwarming Tabula 2zone RefULG2'!C503,'Gebouwgegevens Allacker'!$A$35:$F$46,5,0)</f>
        <v>#N/A</v>
      </c>
      <c r="H503" s="123" t="e">
        <f>VLOOKUP('Verwarming Tabula 2zone RefULG2'!D503,'Gebouwgegevens Allacker'!$A$35:$F$46,5,0)</f>
        <v>#N/A</v>
      </c>
      <c r="I503" s="123" t="e">
        <f>VLOOKUP(B503,'Gebouwgegevens Allacker'!$J$5:$Q$83,7,0)</f>
        <v>#N/A</v>
      </c>
      <c r="J503" s="119" t="e">
        <f>VLOOKUP(B503,'Gebouwgegevens Allacker'!$J$5:$Q$83,8,0)</f>
        <v>#N/A</v>
      </c>
      <c r="K503" s="119" t="e">
        <f>(G503-H503)/(G503-$B$4)</f>
        <v>#N/A</v>
      </c>
      <c r="L503" s="99"/>
      <c r="M503" s="99"/>
      <c r="N503" s="99"/>
      <c r="O503" s="99"/>
      <c r="P503" s="97"/>
    </row>
    <row r="504" spans="1:16" ht="16.5" customHeight="1" thickTop="1" thickBot="1" x14ac:dyDescent="0.3">
      <c r="A504" s="96"/>
      <c r="B504" s="117" t="s">
        <v>248</v>
      </c>
      <c r="C504" s="123" t="e">
        <f>IF(VLOOKUP(B504,'Gebouwgegevens Allacker'!$J$5:$Q$83,2,0)=$B$472,VLOOKUP(B504,'Gebouwgegevens Allacker'!$J$5:$Q$83,2,0),VLOOKUP(B504,'Gebouwgegevens Allacker'!$J$5:$Q$83,3,0))</f>
        <v>#N/A</v>
      </c>
      <c r="D504" s="123" t="e">
        <f>IF(VLOOKUP(B504,'Gebouwgegevens Allacker'!$J$5:$Q$83,2,0)=$B$472,VLOOKUP(B504,'Gebouwgegevens Allacker'!$J$5:$Q$83,3,0),VLOOKUP(B504,'Gebouwgegevens Allacker'!$J$5:$Q$83,2,0))</f>
        <v>#N/A</v>
      </c>
      <c r="E504" s="123" t="e">
        <f>VLOOKUP(B504,'Gebouwgegevens Allacker'!$J$5:$Q$83,4,0)</f>
        <v>#N/A</v>
      </c>
      <c r="F504" s="123" t="e">
        <f>VLOOKUP(B504,'Gebouwgegevens Allacker'!$J$5:$Q$83,5,0)</f>
        <v>#N/A</v>
      </c>
      <c r="G504" s="123" t="e">
        <f>VLOOKUP('Verwarming Tabula 2zone RefULG2'!C504,'Gebouwgegevens Allacker'!$A$35:$F$46,5,0)</f>
        <v>#N/A</v>
      </c>
      <c r="H504" s="123" t="e">
        <f>VLOOKUP('Verwarming Tabula 2zone RefULG2'!D504,'Gebouwgegevens Allacker'!$A$35:$F$46,5,0)</f>
        <v>#N/A</v>
      </c>
      <c r="I504" s="123" t="e">
        <f>VLOOKUP(B504,'Gebouwgegevens Allacker'!$J$5:$Q$83,7,0)</f>
        <v>#N/A</v>
      </c>
      <c r="J504" s="119" t="e">
        <f>VLOOKUP(B504,'Gebouwgegevens Allacker'!$J$5:$Q$83,8,0)</f>
        <v>#N/A</v>
      </c>
      <c r="K504" s="119" t="e">
        <f>(G504-H504)/(G504-$B$4)</f>
        <v>#N/A</v>
      </c>
      <c r="L504" s="99"/>
      <c r="M504" s="99"/>
      <c r="N504" s="99"/>
      <c r="O504" s="99"/>
      <c r="P504" s="97"/>
    </row>
    <row r="505" spans="1:16" ht="16.5" customHeight="1" thickTop="1" thickBot="1" x14ac:dyDescent="0.3">
      <c r="A505" s="96"/>
      <c r="B505" s="117"/>
      <c r="C505" s="123"/>
      <c r="D505" s="123"/>
      <c r="E505" s="123"/>
      <c r="F505" s="123"/>
      <c r="G505" s="123"/>
      <c r="H505" s="123"/>
      <c r="I505" s="123"/>
      <c r="J505" s="119"/>
      <c r="K505" s="119"/>
      <c r="L505" s="99"/>
      <c r="M505" s="99"/>
      <c r="N505" s="99"/>
      <c r="O505" s="99"/>
      <c r="P505" s="97"/>
    </row>
    <row r="506" spans="1:16" ht="16.5" customHeight="1" thickTop="1" thickBot="1" x14ac:dyDescent="0.3">
      <c r="A506" s="96"/>
      <c r="B506" s="146"/>
      <c r="C506" s="123"/>
      <c r="D506" s="123"/>
      <c r="E506" s="123"/>
      <c r="F506" s="123"/>
      <c r="G506" s="123"/>
      <c r="H506" s="123"/>
      <c r="I506" s="123"/>
      <c r="J506" s="119"/>
      <c r="K506" s="119"/>
      <c r="L506" s="99"/>
      <c r="M506" s="99"/>
      <c r="N506" s="99"/>
      <c r="O506" s="99"/>
      <c r="P506" s="97"/>
    </row>
    <row r="507" spans="1:16" ht="16.5" customHeight="1" thickTop="1" thickBot="1" x14ac:dyDescent="0.3">
      <c r="A507" s="96"/>
      <c r="B507" s="124"/>
      <c r="C507" s="140"/>
      <c r="D507" s="123"/>
      <c r="E507" s="123"/>
      <c r="F507" s="123"/>
      <c r="G507" s="123"/>
      <c r="H507" s="123"/>
      <c r="I507" s="123"/>
      <c r="J507" s="119"/>
      <c r="K507" s="119"/>
      <c r="L507" s="99"/>
      <c r="M507" s="99"/>
      <c r="N507" s="99"/>
      <c r="O507" s="99"/>
      <c r="P507" s="97"/>
    </row>
    <row r="508" spans="1:16" ht="16.5" customHeight="1" thickTop="1" thickBot="1" x14ac:dyDescent="0.3">
      <c r="A508" s="96"/>
      <c r="B508" s="124"/>
      <c r="C508" s="140"/>
      <c r="D508" s="123"/>
      <c r="E508" s="123"/>
      <c r="F508" s="123"/>
      <c r="G508" s="123"/>
      <c r="H508" s="123"/>
      <c r="I508" s="123"/>
      <c r="J508" s="119"/>
      <c r="K508" s="119"/>
      <c r="L508" s="99"/>
      <c r="M508" s="99"/>
      <c r="N508" s="99"/>
      <c r="O508" s="99"/>
      <c r="P508" s="97"/>
    </row>
    <row r="509" spans="1:16" ht="16.5" customHeight="1" thickTop="1" thickBot="1" x14ac:dyDescent="0.3">
      <c r="A509" s="96"/>
      <c r="B509" s="124"/>
      <c r="C509" s="140"/>
      <c r="D509" s="123"/>
      <c r="E509" s="123"/>
      <c r="F509" s="123"/>
      <c r="G509" s="123"/>
      <c r="H509" s="123"/>
      <c r="I509" s="123"/>
      <c r="J509" s="119"/>
      <c r="K509" s="119"/>
      <c r="L509" s="99"/>
      <c r="M509" s="99"/>
      <c r="N509" s="99"/>
      <c r="O509" s="99"/>
      <c r="P509" s="97"/>
    </row>
    <row r="510" spans="1:16" ht="16.5" customHeight="1" thickTop="1" thickBot="1" x14ac:dyDescent="0.3">
      <c r="A510" s="96"/>
      <c r="B510" s="124"/>
      <c r="C510" s="140"/>
      <c r="D510" s="123"/>
      <c r="E510" s="123"/>
      <c r="F510" s="123"/>
      <c r="G510" s="123"/>
      <c r="H510" s="123"/>
      <c r="I510" s="123"/>
      <c r="J510" s="119"/>
      <c r="K510" s="119"/>
      <c r="L510" s="99"/>
      <c r="M510" s="99"/>
      <c r="N510" s="99"/>
      <c r="O510" s="99"/>
      <c r="P510" s="97"/>
    </row>
    <row r="511" spans="1:16" ht="16.5" customHeight="1" thickTop="1" thickBot="1" x14ac:dyDescent="0.3">
      <c r="A511" s="96"/>
      <c r="B511" s="124"/>
      <c r="C511" s="140"/>
      <c r="D511" s="123"/>
      <c r="E511" s="123"/>
      <c r="F511" s="123"/>
      <c r="G511" s="123"/>
      <c r="H511" s="123"/>
      <c r="I511" s="123"/>
      <c r="J511" s="119"/>
      <c r="K511" s="119"/>
      <c r="L511" s="99"/>
      <c r="M511" s="99"/>
      <c r="N511" s="99"/>
      <c r="O511" s="99"/>
      <c r="P511" s="97"/>
    </row>
    <row r="512" spans="1:16" ht="15.75" customHeight="1" thickTop="1" x14ac:dyDescent="0.25">
      <c r="A512" s="96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9"/>
      <c r="M512" s="99"/>
      <c r="N512" s="99"/>
      <c r="O512" s="99"/>
      <c r="P512" s="97"/>
    </row>
    <row r="513" spans="1:16" ht="15" customHeight="1" x14ac:dyDescent="0.25">
      <c r="A513" s="96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7"/>
    </row>
    <row r="514" spans="1:16" ht="15.75" customHeight="1" x14ac:dyDescent="0.25">
      <c r="A514" s="104" t="s">
        <v>195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7"/>
    </row>
    <row r="515" spans="1:16" ht="16.5" customHeight="1" x14ac:dyDescent="0.25">
      <c r="A515" s="125" t="s">
        <v>196</v>
      </c>
      <c r="B515" s="119" t="e">
        <f>SUMPRODUCT(H478:H489,I478:I489)+SUMPRODUCT(G494:G498,H494:H498)+SUMPRODUCT(J502:J511,K502:K511)</f>
        <v>#N/A</v>
      </c>
      <c r="C515" s="119" t="s">
        <v>107</v>
      </c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7"/>
    </row>
    <row r="516" spans="1:16" ht="16.5" customHeight="1" x14ac:dyDescent="0.25">
      <c r="A516" s="125" t="s">
        <v>170</v>
      </c>
      <c r="B516" s="119" t="e">
        <f>B515*(G502-$B$4)</f>
        <v>#N/A</v>
      </c>
      <c r="C516" s="119" t="s">
        <v>172</v>
      </c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7"/>
    </row>
    <row r="517" spans="1:16" ht="15.75" customHeight="1" thickBot="1" x14ac:dyDescent="0.3">
      <c r="A517" s="110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2"/>
    </row>
    <row r="518" spans="1:16" ht="15.75" customHeight="1" thickTop="1" x14ac:dyDescent="0.25">
      <c r="A518" s="312" t="s">
        <v>197</v>
      </c>
      <c r="B518" s="312"/>
      <c r="C518" s="312"/>
      <c r="D518" s="126" t="s">
        <v>225</v>
      </c>
      <c r="E518" s="289"/>
      <c r="F518" s="289"/>
      <c r="G518" s="289"/>
      <c r="H518" s="289"/>
      <c r="I518" s="289"/>
      <c r="J518" s="289"/>
      <c r="K518" s="289"/>
      <c r="L518" s="289"/>
      <c r="M518" s="289"/>
      <c r="N518" s="289"/>
      <c r="O518" s="289"/>
      <c r="P518" s="95"/>
    </row>
    <row r="519" spans="1:16" ht="15" customHeight="1" x14ac:dyDescent="0.25">
      <c r="A519" s="96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7"/>
    </row>
    <row r="520" spans="1:16" ht="15" customHeight="1" thickBot="1" x14ac:dyDescent="0.3">
      <c r="A520" s="127" t="s">
        <v>198</v>
      </c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7"/>
    </row>
    <row r="521" spans="1:16" ht="15" customHeight="1" thickTop="1" thickBot="1" x14ac:dyDescent="0.3">
      <c r="A521" s="128" t="s">
        <v>199</v>
      </c>
      <c r="B521" s="122">
        <v>8</v>
      </c>
      <c r="C521" s="121" t="s">
        <v>200</v>
      </c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7"/>
    </row>
    <row r="522" spans="1:16" ht="15" customHeight="1" thickTop="1" thickBot="1" x14ac:dyDescent="0.3">
      <c r="A522" s="128" t="s">
        <v>201</v>
      </c>
      <c r="B522" s="122">
        <v>0.03</v>
      </c>
      <c r="C522" s="121" t="s">
        <v>202</v>
      </c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7"/>
    </row>
    <row r="523" spans="1:16" ht="15.75" customHeight="1" thickTop="1" thickBot="1" x14ac:dyDescent="0.3">
      <c r="A523" s="128" t="s">
        <v>203</v>
      </c>
      <c r="B523" s="122">
        <v>1</v>
      </c>
      <c r="C523" s="121" t="s">
        <v>204</v>
      </c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7"/>
    </row>
    <row r="524" spans="1:16" ht="16.5" customHeight="1" thickTop="1" x14ac:dyDescent="0.25">
      <c r="A524" s="125" t="s">
        <v>205</v>
      </c>
      <c r="B524" s="119" t="e">
        <f>2*VLOOKUP(B472,'Gebouwgegevens Allacker'!$A$35:$F$46,6,0)*B521*B522*B523</f>
        <v>#N/A</v>
      </c>
      <c r="C524" s="119" t="s">
        <v>206</v>
      </c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7"/>
    </row>
    <row r="525" spans="1:16" ht="15.75" customHeight="1" x14ac:dyDescent="0.25">
      <c r="A525" s="139"/>
      <c r="B525" s="58"/>
      <c r="C525" s="58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7"/>
    </row>
    <row r="526" spans="1:16" ht="15" customHeight="1" x14ac:dyDescent="0.25">
      <c r="A526" s="147" t="s">
        <v>207</v>
      </c>
      <c r="B526" s="58"/>
      <c r="C526" s="58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7"/>
    </row>
    <row r="527" spans="1:16" ht="15.75" customHeight="1" x14ac:dyDescent="0.25">
      <c r="A527" s="139" t="s">
        <v>183</v>
      </c>
      <c r="B527" s="58" t="e">
        <f>VLOOKUP(B472,'Gebouwgegevens Allacker'!$A$35:$F$46,6,0)</f>
        <v>#N/A</v>
      </c>
      <c r="C527" s="58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7"/>
    </row>
    <row r="528" spans="1:16" ht="16.5" customHeight="1" x14ac:dyDescent="0.25">
      <c r="A528" s="125" t="s">
        <v>208</v>
      </c>
      <c r="B528" s="129" t="e">
        <f>B527*3.6</f>
        <v>#N/A</v>
      </c>
      <c r="C528" s="119" t="s">
        <v>206</v>
      </c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7"/>
    </row>
    <row r="529" spans="1:16" ht="15.75" customHeight="1" x14ac:dyDescent="0.25">
      <c r="A529" s="139"/>
      <c r="B529" s="58"/>
      <c r="C529" s="58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7"/>
    </row>
    <row r="530" spans="1:16" ht="15.75" customHeight="1" x14ac:dyDescent="0.25">
      <c r="A530" s="139"/>
      <c r="B530" s="58"/>
      <c r="C530" s="58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7"/>
    </row>
    <row r="531" spans="1:16" ht="16.5" customHeight="1" x14ac:dyDescent="0.25">
      <c r="A531" s="125" t="s">
        <v>210</v>
      </c>
      <c r="B531" s="119" t="e">
        <f>MAX(B524,B528)</f>
        <v>#N/A</v>
      </c>
      <c r="C531" s="119" t="s">
        <v>206</v>
      </c>
      <c r="D531" s="99"/>
      <c r="E531" s="99"/>
      <c r="F531" s="119" t="s">
        <v>211</v>
      </c>
      <c r="G531" s="119" t="e">
        <f>B531/VLOOKUP(B472,'Gebouwgegevens Allacker'!$A$35:$B$46,2,0)</f>
        <v>#N/A</v>
      </c>
      <c r="H531" s="99"/>
      <c r="I531" s="99"/>
      <c r="J531" s="99"/>
      <c r="K531" s="99"/>
      <c r="L531" s="99"/>
      <c r="M531" s="99"/>
      <c r="N531" s="99"/>
      <c r="O531" s="99"/>
      <c r="P531" s="97"/>
    </row>
    <row r="532" spans="1:16" ht="16.5" customHeight="1" x14ac:dyDescent="0.25">
      <c r="A532" s="139"/>
      <c r="B532" s="58"/>
      <c r="C532" s="58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7"/>
    </row>
    <row r="533" spans="1:16" ht="16.5" customHeight="1" x14ac:dyDescent="0.25">
      <c r="A533" s="125" t="s">
        <v>212</v>
      </c>
      <c r="B533" s="119" t="e">
        <f>0.34*B531</f>
        <v>#N/A</v>
      </c>
      <c r="C533" s="119" t="s">
        <v>107</v>
      </c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7"/>
    </row>
    <row r="534" spans="1:16" ht="16.5" customHeight="1" x14ac:dyDescent="0.25">
      <c r="A534" s="125" t="s">
        <v>170</v>
      </c>
      <c r="B534" s="119" t="e">
        <f>B533*('Gebouwgegevens Allacker'!E494-$B$4)</f>
        <v>#N/A</v>
      </c>
      <c r="C534" s="119" t="s">
        <v>172</v>
      </c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7"/>
    </row>
    <row r="535" spans="1:16" ht="15.75" customHeight="1" thickBot="1" x14ac:dyDescent="0.3">
      <c r="A535" s="141"/>
      <c r="B535" s="142"/>
      <c r="C535" s="142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2"/>
    </row>
    <row r="536" spans="1:16" ht="15.75" customHeight="1" thickTop="1" x14ac:dyDescent="0.25">
      <c r="A536" s="312" t="s">
        <v>213</v>
      </c>
      <c r="B536" s="312"/>
      <c r="C536" s="312"/>
      <c r="D536" s="312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7"/>
    </row>
    <row r="537" spans="1:16" ht="15" customHeight="1" thickBot="1" x14ac:dyDescent="0.3">
      <c r="A537" s="96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7"/>
    </row>
    <row r="538" spans="1:16" ht="15" customHeight="1" thickTop="1" thickBot="1" x14ac:dyDescent="0.3">
      <c r="A538" s="128" t="s">
        <v>214</v>
      </c>
      <c r="B538" s="122">
        <v>22</v>
      </c>
      <c r="C538" s="58" t="s">
        <v>235</v>
      </c>
      <c r="D538" s="58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7"/>
    </row>
    <row r="539" spans="1:16" ht="15.75" customHeight="1" thickTop="1" x14ac:dyDescent="0.25">
      <c r="A539" s="92" t="s">
        <v>113</v>
      </c>
      <c r="B539" s="99" t="e">
        <f>VLOOKUP(B472,'Gebouwgegevens Allacker'!$A$35:$F$46,6,0)</f>
        <v>#N/A</v>
      </c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7"/>
    </row>
    <row r="540" spans="1:16" ht="16.5" customHeight="1" x14ac:dyDescent="0.25">
      <c r="A540" s="125" t="s">
        <v>216</v>
      </c>
      <c r="B540" s="119" t="e">
        <f>B541/('Gebouwgegevens Allacker'!E494-'Verwarming Tabula 2zone RefULG2'!$B$4)</f>
        <v>#N/A</v>
      </c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7"/>
    </row>
    <row r="541" spans="1:16" ht="16.5" customHeight="1" x14ac:dyDescent="0.25">
      <c r="A541" s="125" t="s">
        <v>170</v>
      </c>
      <c r="B541" s="119" t="e">
        <f>B538*B539</f>
        <v>#N/A</v>
      </c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7"/>
    </row>
    <row r="542" spans="1:16" ht="15.75" customHeight="1" x14ac:dyDescent="0.25">
      <c r="A542" s="96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7"/>
    </row>
    <row r="543" spans="1:16" ht="15.75" customHeight="1" thickBot="1" x14ac:dyDescent="0.3">
      <c r="A543" s="96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7"/>
    </row>
    <row r="544" spans="1:16" ht="15.75" customHeight="1" thickTop="1" thickBot="1" x14ac:dyDescent="0.3">
      <c r="A544" s="130" t="s">
        <v>217</v>
      </c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2"/>
    </row>
    <row r="545" spans="1:16" ht="16.5" customHeight="1" thickTop="1" x14ac:dyDescent="0.25">
      <c r="A545" s="125" t="s">
        <v>218</v>
      </c>
      <c r="B545" s="119" t="e">
        <f>SUM(B515,B533,B540)</f>
        <v>#N/A</v>
      </c>
      <c r="C545" s="119" t="s">
        <v>107</v>
      </c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4"/>
    </row>
    <row r="546" spans="1:16" ht="16.5" customHeight="1" x14ac:dyDescent="0.25">
      <c r="A546" s="125" t="s">
        <v>170</v>
      </c>
      <c r="B546" s="119" t="e">
        <f>SUM(B516,B534,B541)</f>
        <v>#N/A</v>
      </c>
      <c r="C546" s="119" t="s">
        <v>172</v>
      </c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4"/>
    </row>
    <row r="547" spans="1:16" ht="16.5" customHeight="1" thickBot="1" x14ac:dyDescent="0.3">
      <c r="A547" s="135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7"/>
    </row>
    <row r="548" spans="1:16" ht="15" customHeight="1" thickTop="1" x14ac:dyDescent="0.2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</row>
    <row r="549" spans="1:16" ht="15.75" customHeight="1" thickBot="1" x14ac:dyDescent="0.3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</row>
    <row r="550" spans="1:16" ht="15" customHeight="1" thickTop="1" thickBot="1" x14ac:dyDescent="0.3">
      <c r="A550" s="94"/>
      <c r="B550" s="289"/>
      <c r="C550" s="289"/>
      <c r="D550" s="289"/>
      <c r="E550" s="289"/>
      <c r="F550" s="289"/>
      <c r="G550" s="289"/>
      <c r="H550" s="289"/>
      <c r="I550" s="289"/>
      <c r="J550" s="289"/>
      <c r="K550" s="289"/>
      <c r="L550" s="289"/>
      <c r="M550" s="289"/>
      <c r="N550" s="289"/>
      <c r="O550" s="289"/>
      <c r="P550" s="95"/>
    </row>
    <row r="551" spans="1:16" ht="17.25" customHeight="1" thickTop="1" thickBot="1" x14ac:dyDescent="0.35">
      <c r="A551" s="98" t="s">
        <v>169</v>
      </c>
      <c r="B551" s="93">
        <v>8</v>
      </c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7"/>
    </row>
    <row r="552" spans="1:16" ht="15.75" customHeight="1" thickTop="1" x14ac:dyDescent="0.25">
      <c r="A552" s="312" t="s">
        <v>171</v>
      </c>
      <c r="B552" s="312"/>
      <c r="C552" s="312"/>
      <c r="D552" s="312"/>
      <c r="E552" s="289"/>
      <c r="F552" s="289"/>
      <c r="G552" s="289"/>
      <c r="H552" s="289"/>
      <c r="I552" s="289"/>
      <c r="J552" s="289"/>
      <c r="K552" s="289"/>
      <c r="L552" s="289"/>
      <c r="M552" s="289"/>
      <c r="N552" s="289"/>
      <c r="O552" s="289"/>
      <c r="P552" s="95"/>
    </row>
    <row r="553" spans="1:16" ht="15" customHeight="1" x14ac:dyDescent="0.25">
      <c r="A553" s="96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7"/>
    </row>
    <row r="554" spans="1:16" ht="15" customHeight="1" x14ac:dyDescent="0.25">
      <c r="A554" s="104" t="s">
        <v>173</v>
      </c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7"/>
    </row>
    <row r="555" spans="1:16" ht="15" customHeight="1" x14ac:dyDescent="0.25">
      <c r="A555" s="96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7"/>
    </row>
    <row r="556" spans="1:16" ht="15.75" customHeight="1" thickBot="1" x14ac:dyDescent="0.3">
      <c r="A556" s="96"/>
      <c r="B556" s="105" t="s">
        <v>10</v>
      </c>
      <c r="C556" s="105" t="s">
        <v>174</v>
      </c>
      <c r="D556" s="105" t="s">
        <v>175</v>
      </c>
      <c r="E556" s="105" t="s">
        <v>176</v>
      </c>
      <c r="F556" s="105" t="s">
        <v>177</v>
      </c>
      <c r="G556" s="105" t="s">
        <v>16</v>
      </c>
      <c r="H556" s="106" t="s">
        <v>17</v>
      </c>
      <c r="I556" s="106" t="s">
        <v>178</v>
      </c>
      <c r="J556" s="99"/>
      <c r="K556" s="99"/>
      <c r="L556" s="99"/>
      <c r="M556" s="99"/>
      <c r="N556" s="99"/>
      <c r="O556" s="99"/>
      <c r="P556" s="97"/>
    </row>
    <row r="557" spans="1:16" ht="16.5" customHeight="1" thickTop="1" thickBot="1" x14ac:dyDescent="0.3">
      <c r="A557" s="96"/>
      <c r="B557" s="107" t="s">
        <v>249</v>
      </c>
      <c r="C557" s="108" t="e">
        <f>VLOOKUP(B557,'Gebouwgegevens Allacker'!$J$5:$Q$83,3,0)</f>
        <v>#N/A</v>
      </c>
      <c r="D557" s="108" t="e">
        <f>VLOOKUP(B557,'Gebouwgegevens Allacker'!$J$5:$Q$83,4,0)</f>
        <v>#N/A</v>
      </c>
      <c r="E557" s="108" t="e">
        <f>VLOOKUP(B557,'Gebouwgegevens Allacker'!$J$5:$Q$83,5,0)</f>
        <v>#N/A</v>
      </c>
      <c r="F557" s="108" t="e">
        <f>VLOOKUP(B557,'Gebouwgegevens Allacker'!$J$5:$Q$83,6,0)</f>
        <v>#N/A</v>
      </c>
      <c r="G557" s="108" t="e">
        <f>VLOOKUP(B557,'Gebouwgegevens Allacker'!$J$5:$Q$83,7,0)</f>
        <v>#N/A</v>
      </c>
      <c r="H557" s="109" t="e">
        <f>VLOOKUP(B557,'Gebouwgegevens Allacker'!$J$5:$Q$83,8,0)</f>
        <v>#N/A</v>
      </c>
      <c r="I557" s="109">
        <v>1</v>
      </c>
      <c r="J557" s="99"/>
      <c r="K557" s="99"/>
      <c r="L557" s="99"/>
      <c r="M557" s="99"/>
      <c r="N557" s="99"/>
      <c r="O557" s="99"/>
      <c r="P557" s="97"/>
    </row>
    <row r="558" spans="1:16" ht="16.5" customHeight="1" thickTop="1" thickBot="1" x14ac:dyDescent="0.3">
      <c r="A558" s="96"/>
      <c r="B558" s="107" t="s">
        <v>250</v>
      </c>
      <c r="C558" s="108" t="e">
        <f>VLOOKUP(B558,'Gebouwgegevens Allacker'!$J$5:$Q$83,3,0)</f>
        <v>#N/A</v>
      </c>
      <c r="D558" s="108" t="e">
        <f>VLOOKUP(B558,'Gebouwgegevens Allacker'!$J$5:$Q$83,4,0)</f>
        <v>#N/A</v>
      </c>
      <c r="E558" s="108" t="e">
        <f>VLOOKUP(B558,'Gebouwgegevens Allacker'!$J$5:$Q$83,5,0)</f>
        <v>#N/A</v>
      </c>
      <c r="F558" s="108" t="e">
        <f>VLOOKUP(B558,'Gebouwgegevens Allacker'!$J$5:$Q$83,6,0)</f>
        <v>#N/A</v>
      </c>
      <c r="G558" s="108" t="e">
        <f>VLOOKUP(B558,'Gebouwgegevens Allacker'!$J$5:$Q$83,7,0)</f>
        <v>#N/A</v>
      </c>
      <c r="H558" s="109" t="e">
        <f>VLOOKUP(B558,'Gebouwgegevens Allacker'!$J$5:$Q$83,8,0)</f>
        <v>#N/A</v>
      </c>
      <c r="I558" s="109">
        <v>1</v>
      </c>
      <c r="J558" s="99"/>
      <c r="K558" s="99"/>
      <c r="L558" s="99"/>
      <c r="M558" s="99"/>
      <c r="N558" s="99"/>
      <c r="O558" s="99"/>
      <c r="P558" s="97"/>
    </row>
    <row r="559" spans="1:16" ht="16.5" customHeight="1" thickTop="1" thickBot="1" x14ac:dyDescent="0.3">
      <c r="A559" s="96"/>
      <c r="B559" s="107" t="s">
        <v>251</v>
      </c>
      <c r="C559" s="108" t="e">
        <f>VLOOKUP(B559,'Gebouwgegevens Allacker'!$J$5:$Q$83,3,0)</f>
        <v>#N/A</v>
      </c>
      <c r="D559" s="108" t="e">
        <f>VLOOKUP(B559,'Gebouwgegevens Allacker'!$J$5:$Q$83,4,0)</f>
        <v>#N/A</v>
      </c>
      <c r="E559" s="108" t="e">
        <f>VLOOKUP(B559,'Gebouwgegevens Allacker'!$J$5:$Q$83,5,0)</f>
        <v>#N/A</v>
      </c>
      <c r="F559" s="108" t="e">
        <f>VLOOKUP(B559,'Gebouwgegevens Allacker'!$J$5:$Q$83,6,0)</f>
        <v>#N/A</v>
      </c>
      <c r="G559" s="108" t="e">
        <f>VLOOKUP(B559,'Gebouwgegevens Allacker'!$J$5:$Q$83,7,0)</f>
        <v>#N/A</v>
      </c>
      <c r="H559" s="109" t="e">
        <f>VLOOKUP(B559,'Gebouwgegevens Allacker'!$J$5:$Q$83,8,0)</f>
        <v>#N/A</v>
      </c>
      <c r="I559" s="109">
        <v>1</v>
      </c>
      <c r="J559" s="99"/>
      <c r="K559" s="99"/>
      <c r="L559" s="99"/>
      <c r="M559" s="99"/>
      <c r="N559" s="99"/>
      <c r="O559" s="99"/>
      <c r="P559" s="97"/>
    </row>
    <row r="560" spans="1:16" ht="16.5" customHeight="1" thickTop="1" thickBot="1" x14ac:dyDescent="0.3">
      <c r="A560" s="96"/>
      <c r="B560" s="107"/>
      <c r="C560" s="108"/>
      <c r="D560" s="108"/>
      <c r="E560" s="108"/>
      <c r="F560" s="108"/>
      <c r="G560" s="108"/>
      <c r="H560" s="109"/>
      <c r="I560" s="109"/>
      <c r="J560" s="99"/>
      <c r="K560" s="99"/>
      <c r="L560" s="99"/>
      <c r="M560" s="99"/>
      <c r="N560" s="99"/>
      <c r="O560" s="99"/>
      <c r="P560" s="97"/>
    </row>
    <row r="561" spans="1:16" ht="16.5" customHeight="1" thickTop="1" thickBot="1" x14ac:dyDescent="0.3">
      <c r="A561" s="96"/>
      <c r="B561" s="107"/>
      <c r="C561" s="108"/>
      <c r="D561" s="108"/>
      <c r="E561" s="108"/>
      <c r="F561" s="108"/>
      <c r="G561" s="108"/>
      <c r="H561" s="109"/>
      <c r="I561" s="109"/>
      <c r="J561" s="99"/>
      <c r="K561" s="99"/>
      <c r="L561" s="99"/>
      <c r="M561" s="99"/>
      <c r="N561" s="99"/>
      <c r="O561" s="99"/>
      <c r="P561" s="97"/>
    </row>
    <row r="562" spans="1:16" ht="16.5" customHeight="1" thickTop="1" thickBot="1" x14ac:dyDescent="0.3">
      <c r="A562" s="96"/>
      <c r="B562" s="107"/>
      <c r="C562" s="108"/>
      <c r="D562" s="108"/>
      <c r="E562" s="108"/>
      <c r="F562" s="108"/>
      <c r="G562" s="108"/>
      <c r="H562" s="109"/>
      <c r="I562" s="109"/>
      <c r="J562" s="99"/>
      <c r="K562" s="99"/>
      <c r="L562" s="99"/>
      <c r="M562" s="99"/>
      <c r="N562" s="99"/>
      <c r="O562" s="99"/>
      <c r="P562" s="97"/>
    </row>
    <row r="563" spans="1:16" ht="16.5" customHeight="1" thickTop="1" thickBot="1" x14ac:dyDescent="0.3">
      <c r="A563" s="96"/>
      <c r="B563" s="107"/>
      <c r="C563" s="108"/>
      <c r="D563" s="108"/>
      <c r="E563" s="108"/>
      <c r="F563" s="108"/>
      <c r="G563" s="108"/>
      <c r="H563" s="109"/>
      <c r="I563" s="109"/>
      <c r="J563" s="99"/>
      <c r="K563" s="99"/>
      <c r="L563" s="99"/>
      <c r="M563" s="99"/>
      <c r="N563" s="99"/>
      <c r="O563" s="99"/>
      <c r="P563" s="97"/>
    </row>
    <row r="564" spans="1:16" ht="16.5" customHeight="1" thickTop="1" thickBot="1" x14ac:dyDescent="0.3">
      <c r="A564" s="96"/>
      <c r="B564" s="107"/>
      <c r="C564" s="108"/>
      <c r="D564" s="108"/>
      <c r="E564" s="108"/>
      <c r="F564" s="108"/>
      <c r="G564" s="108"/>
      <c r="H564" s="109"/>
      <c r="I564" s="109"/>
      <c r="J564" s="99"/>
      <c r="K564" s="99"/>
      <c r="L564" s="99"/>
      <c r="M564" s="99"/>
      <c r="N564" s="99"/>
      <c r="O564" s="99"/>
      <c r="P564" s="97"/>
    </row>
    <row r="565" spans="1:16" ht="16.5" customHeight="1" thickTop="1" thickBot="1" x14ac:dyDescent="0.3">
      <c r="A565" s="96"/>
      <c r="B565" s="107"/>
      <c r="C565" s="108"/>
      <c r="D565" s="108"/>
      <c r="E565" s="108"/>
      <c r="F565" s="108"/>
      <c r="G565" s="108"/>
      <c r="H565" s="109"/>
      <c r="I565" s="109"/>
      <c r="J565" s="99"/>
      <c r="K565" s="99"/>
      <c r="L565" s="99"/>
      <c r="M565" s="99"/>
      <c r="N565" s="99"/>
      <c r="O565" s="99"/>
      <c r="P565" s="97"/>
    </row>
    <row r="566" spans="1:16" ht="16.5" customHeight="1" thickTop="1" thickBot="1" x14ac:dyDescent="0.3">
      <c r="A566" s="96"/>
      <c r="B566" s="107"/>
      <c r="C566" s="108"/>
      <c r="D566" s="108"/>
      <c r="E566" s="108"/>
      <c r="F566" s="108"/>
      <c r="G566" s="108"/>
      <c r="H566" s="109"/>
      <c r="I566" s="109"/>
      <c r="J566" s="99"/>
      <c r="K566" s="99"/>
      <c r="L566" s="99"/>
      <c r="M566" s="99"/>
      <c r="N566" s="99"/>
      <c r="O566" s="99"/>
      <c r="P566" s="97"/>
    </row>
    <row r="567" spans="1:16" ht="16.5" customHeight="1" thickTop="1" thickBot="1" x14ac:dyDescent="0.3">
      <c r="A567" s="96"/>
      <c r="B567" s="107"/>
      <c r="C567" s="108"/>
      <c r="D567" s="108"/>
      <c r="E567" s="108"/>
      <c r="F567" s="108"/>
      <c r="G567" s="108"/>
      <c r="H567" s="109"/>
      <c r="I567" s="109"/>
      <c r="J567" s="99"/>
      <c r="K567" s="99"/>
      <c r="L567" s="99"/>
      <c r="M567" s="99"/>
      <c r="N567" s="99"/>
      <c r="O567" s="99"/>
      <c r="P567" s="97"/>
    </row>
    <row r="568" spans="1:16" ht="16.5" customHeight="1" thickTop="1" thickBot="1" x14ac:dyDescent="0.3">
      <c r="A568" s="96"/>
      <c r="B568" s="107"/>
      <c r="C568" s="108"/>
      <c r="D568" s="108"/>
      <c r="E568" s="108"/>
      <c r="F568" s="108"/>
      <c r="G568" s="108"/>
      <c r="H568" s="109"/>
      <c r="I568" s="109"/>
      <c r="J568" s="99"/>
      <c r="K568" s="99"/>
      <c r="L568" s="99"/>
      <c r="M568" s="99"/>
      <c r="N568" s="99"/>
      <c r="O568" s="99"/>
      <c r="P568" s="97"/>
    </row>
    <row r="569" spans="1:16" ht="15.75" customHeight="1" thickTop="1" x14ac:dyDescent="0.25">
      <c r="A569" s="96"/>
      <c r="B569" s="58"/>
      <c r="C569" s="58"/>
      <c r="D569" s="58"/>
      <c r="E569" s="58"/>
      <c r="F569" s="58"/>
      <c r="G569" s="115"/>
      <c r="H569" s="58"/>
      <c r="I569" s="58"/>
      <c r="J569" s="99"/>
      <c r="K569" s="99"/>
      <c r="L569" s="99"/>
      <c r="M569" s="99"/>
      <c r="N569" s="99"/>
      <c r="O569" s="99"/>
      <c r="P569" s="97"/>
    </row>
    <row r="570" spans="1:16" ht="15" customHeight="1" x14ac:dyDescent="0.25">
      <c r="A570" s="96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7"/>
    </row>
    <row r="571" spans="1:16" ht="15" customHeight="1" x14ac:dyDescent="0.25">
      <c r="A571" s="104" t="s">
        <v>180</v>
      </c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7"/>
    </row>
    <row r="572" spans="1:16" ht="15.75" customHeight="1" x14ac:dyDescent="0.25">
      <c r="A572" s="96"/>
      <c r="B572" s="58" t="s">
        <v>10</v>
      </c>
      <c r="C572" s="58" t="s">
        <v>181</v>
      </c>
      <c r="D572" s="58" t="s">
        <v>175</v>
      </c>
      <c r="E572" s="58" t="s">
        <v>182</v>
      </c>
      <c r="F572" s="58" t="s">
        <v>16</v>
      </c>
      <c r="G572" s="115" t="s">
        <v>17</v>
      </c>
      <c r="H572" s="115" t="s">
        <v>178</v>
      </c>
      <c r="I572" s="58" t="s">
        <v>183</v>
      </c>
      <c r="J572" s="58" t="s">
        <v>184</v>
      </c>
      <c r="K572" s="58" t="s">
        <v>185</v>
      </c>
      <c r="L572" s="116" t="s">
        <v>186</v>
      </c>
      <c r="M572" s="116" t="s">
        <v>187</v>
      </c>
      <c r="N572" s="116" t="s">
        <v>188</v>
      </c>
      <c r="O572" s="99"/>
      <c r="P572" s="97"/>
    </row>
    <row r="573" spans="1:16" ht="16.5" customHeight="1" thickBot="1" x14ac:dyDescent="0.3">
      <c r="A573" s="96"/>
      <c r="B573" s="117" t="s">
        <v>252</v>
      </c>
      <c r="C573" s="118" t="e">
        <f>VLOOKUP(B573,'Gebouwgegevens Allacker'!$J$5:$Q$83,3,0)</f>
        <v>#N/A</v>
      </c>
      <c r="D573" s="118" t="e">
        <f>VLOOKUP(B573,'Gebouwgegevens Allacker'!$J$5:$Q$83,4,0)</f>
        <v>#N/A</v>
      </c>
      <c r="E573" s="118" t="e">
        <f>VLOOKUP(B573,'Gebouwgegevens Allacker'!$J$5:$Q$83,5,0)</f>
        <v>#N/A</v>
      </c>
      <c r="F573" s="118" t="e">
        <f>VLOOKUP(B573,'Gebouwgegevens Allacker'!$J$5:$Q$83,7,0)</f>
        <v>#N/A</v>
      </c>
      <c r="G573" s="119" t="e">
        <f>VLOOKUP(B573,'Gebouwgegevens Allacker'!$J$5:$Q$83,8,0)</f>
        <v>#N/A</v>
      </c>
      <c r="H573" s="119" t="e">
        <f>N573/F573</f>
        <v>#N/A</v>
      </c>
      <c r="I573" s="118" t="e">
        <f>VLOOKUP(C573,'Gebouwgegevens Allacker'!$A$35:$F$46,6,0)</f>
        <v>#N/A</v>
      </c>
      <c r="J573" s="117">
        <v>6.11</v>
      </c>
      <c r="K573" s="117">
        <v>0.33</v>
      </c>
      <c r="L573" s="120" t="e">
        <f>I573/(0.5*J573)</f>
        <v>#N/A</v>
      </c>
      <c r="M573" s="120" t="e">
        <f>K573+2*(1/F573)</f>
        <v>#N/A</v>
      </c>
      <c r="N573" s="121" t="e">
        <f>IF(M573&lt;L573,2*2/(PI()*L573+M573)*LN(PI()*L573/M573+1),2/(0.457*L573+M573))</f>
        <v>#N/A</v>
      </c>
      <c r="O573" s="99"/>
      <c r="P573" s="97"/>
    </row>
    <row r="574" spans="1:16" ht="16.5" customHeight="1" thickTop="1" thickBot="1" x14ac:dyDescent="0.3">
      <c r="A574" s="96"/>
      <c r="B574" s="117"/>
      <c r="C574" s="118"/>
      <c r="D574" s="118"/>
      <c r="E574" s="118"/>
      <c r="F574" s="118"/>
      <c r="G574" s="119"/>
      <c r="H574" s="119"/>
      <c r="I574" s="118"/>
      <c r="J574" s="117"/>
      <c r="K574" s="117"/>
      <c r="L574" s="120"/>
      <c r="M574" s="120"/>
      <c r="N574" s="121"/>
      <c r="O574" s="99"/>
      <c r="P574" s="97"/>
    </row>
    <row r="575" spans="1:16" ht="16.5" customHeight="1" thickTop="1" thickBot="1" x14ac:dyDescent="0.3">
      <c r="A575" s="96"/>
      <c r="B575" s="117"/>
      <c r="C575" s="118"/>
      <c r="D575" s="118"/>
      <c r="E575" s="118"/>
      <c r="F575" s="118"/>
      <c r="G575" s="119"/>
      <c r="H575" s="119"/>
      <c r="I575" s="118"/>
      <c r="J575" s="117"/>
      <c r="K575" s="117"/>
      <c r="L575" s="120"/>
      <c r="M575" s="120"/>
      <c r="N575" s="121"/>
      <c r="O575" s="99"/>
      <c r="P575" s="97"/>
    </row>
    <row r="576" spans="1:16" ht="16.5" customHeight="1" thickTop="1" thickBot="1" x14ac:dyDescent="0.3">
      <c r="A576" s="96"/>
      <c r="B576" s="117"/>
      <c r="C576" s="118"/>
      <c r="D576" s="118"/>
      <c r="E576" s="118"/>
      <c r="F576" s="118"/>
      <c r="G576" s="119"/>
      <c r="H576" s="119"/>
      <c r="I576" s="118"/>
      <c r="J576" s="117"/>
      <c r="K576" s="117"/>
      <c r="L576" s="120"/>
      <c r="M576" s="120"/>
      <c r="N576" s="121"/>
      <c r="O576" s="99"/>
      <c r="P576" s="97"/>
    </row>
    <row r="577" spans="1:16" ht="16.5" customHeight="1" thickTop="1" thickBot="1" x14ac:dyDescent="0.3">
      <c r="A577" s="139"/>
      <c r="B577" s="117"/>
      <c r="C577" s="118"/>
      <c r="D577" s="118"/>
      <c r="E577" s="118"/>
      <c r="F577" s="118"/>
      <c r="G577" s="119"/>
      <c r="H577" s="119"/>
      <c r="I577" s="118"/>
      <c r="J577" s="117"/>
      <c r="K577" s="117"/>
      <c r="L577" s="120"/>
      <c r="M577" s="120"/>
      <c r="N577" s="121"/>
      <c r="O577" s="99"/>
      <c r="P577" s="97"/>
    </row>
    <row r="578" spans="1:16" ht="15.75" customHeight="1" thickTop="1" x14ac:dyDescent="0.25">
      <c r="A578" s="96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7"/>
    </row>
    <row r="579" spans="1:16" ht="15" customHeight="1" x14ac:dyDescent="0.25">
      <c r="A579" s="104" t="s">
        <v>189</v>
      </c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7"/>
    </row>
    <row r="580" spans="1:16" ht="15.75" customHeight="1" thickBot="1" x14ac:dyDescent="0.3">
      <c r="A580" s="96"/>
      <c r="B580" s="58" t="s">
        <v>10</v>
      </c>
      <c r="C580" s="58" t="s">
        <v>190</v>
      </c>
      <c r="D580" s="58" t="s">
        <v>191</v>
      </c>
      <c r="E580" s="58" t="s">
        <v>135</v>
      </c>
      <c r="F580" s="58" t="s">
        <v>192</v>
      </c>
      <c r="G580" s="58" t="s">
        <v>193</v>
      </c>
      <c r="H580" s="58" t="s">
        <v>194</v>
      </c>
      <c r="I580" s="58" t="s">
        <v>16</v>
      </c>
      <c r="J580" s="115" t="s">
        <v>17</v>
      </c>
      <c r="K580" s="115" t="s">
        <v>178</v>
      </c>
      <c r="L580" s="99"/>
      <c r="M580" s="99"/>
      <c r="N580" s="99"/>
      <c r="O580" s="99"/>
      <c r="P580" s="97"/>
    </row>
    <row r="581" spans="1:16" ht="16.5" customHeight="1" thickTop="1" thickBot="1" x14ac:dyDescent="0.3">
      <c r="A581" s="96"/>
      <c r="B581" s="117" t="s">
        <v>253</v>
      </c>
      <c r="C581" s="123" t="e">
        <f>IF(VLOOKUP(B581,'Gebouwgegevens Allacker'!$J$5:$Q$83,2,0)=$B$551,VLOOKUP(B581,'Gebouwgegevens Allacker'!$J$5:$Q$83,2,0),VLOOKUP(B581,'Gebouwgegevens Allacker'!$J$5:$Q$83,3,0))</f>
        <v>#N/A</v>
      </c>
      <c r="D581" s="123" t="e">
        <f>IF(VLOOKUP(B581,'Gebouwgegevens Allacker'!$J$5:$Q$83,2,0)=$B$551,VLOOKUP(B581,'Gebouwgegevens Allacker'!$J$5:$Q$83,3,0),VLOOKUP(B581,'Gebouwgegevens Allacker'!$J$5:$Q$83,2,0))</f>
        <v>#N/A</v>
      </c>
      <c r="E581" s="123" t="e">
        <f>VLOOKUP(B581,'Gebouwgegevens Allacker'!$J$5:$Q$83,4,0)</f>
        <v>#N/A</v>
      </c>
      <c r="F581" s="123" t="e">
        <f>VLOOKUP(B581,'Gebouwgegevens Allacker'!$J$5:$Q$83,5,0)</f>
        <v>#N/A</v>
      </c>
      <c r="G581" s="123" t="e">
        <f>VLOOKUP('Verwarming Tabula 2zone RefULG2'!C581,'Gebouwgegevens Allacker'!$A$35:$F$46,5,0)</f>
        <v>#N/A</v>
      </c>
      <c r="H581" s="123" t="e">
        <f>VLOOKUP('Verwarming Tabula 2zone RefULG2'!D581,'Gebouwgegevens Allacker'!$A$35:$F$46,5,0)</f>
        <v>#N/A</v>
      </c>
      <c r="I581" s="123" t="e">
        <f>VLOOKUP(B581,'Gebouwgegevens Allacker'!$J$5:$Q$83,7,0)</f>
        <v>#N/A</v>
      </c>
      <c r="J581" s="119" t="e">
        <f>VLOOKUP(B581,'Gebouwgegevens Allacker'!$J$5:$Q$83,8,0)</f>
        <v>#N/A</v>
      </c>
      <c r="K581" s="119" t="e">
        <f>(G581-H581)/(G581-$B$4)</f>
        <v>#N/A</v>
      </c>
      <c r="L581" s="99"/>
      <c r="M581" s="99"/>
      <c r="N581" s="99"/>
      <c r="O581" s="99"/>
      <c r="P581" s="97"/>
    </row>
    <row r="582" spans="1:16" ht="16.5" customHeight="1" thickTop="1" thickBot="1" x14ac:dyDescent="0.3">
      <c r="A582" s="96"/>
      <c r="B582" s="117" t="s">
        <v>227</v>
      </c>
      <c r="C582" s="123" t="e">
        <f>IF(VLOOKUP(B582,'Gebouwgegevens Allacker'!$J$5:$Q$83,2,0)=$B$551,VLOOKUP(B582,'Gebouwgegevens Allacker'!$J$5:$Q$83,2,0),VLOOKUP(B582,'Gebouwgegevens Allacker'!$J$5:$Q$83,3,0))</f>
        <v>#N/A</v>
      </c>
      <c r="D582" s="123" t="e">
        <f>IF(VLOOKUP(B582,'Gebouwgegevens Allacker'!$J$5:$Q$83,2,0)=$B$551,VLOOKUP(B582,'Gebouwgegevens Allacker'!$J$5:$Q$83,3,0),VLOOKUP(B582,'Gebouwgegevens Allacker'!$J$5:$Q$83,2,0))</f>
        <v>#N/A</v>
      </c>
      <c r="E582" s="123" t="e">
        <f>VLOOKUP(B582,'Gebouwgegevens Allacker'!$J$5:$Q$83,4,0)</f>
        <v>#N/A</v>
      </c>
      <c r="F582" s="123" t="e">
        <f>VLOOKUP(B582,'Gebouwgegevens Allacker'!$J$5:$Q$83,5,0)</f>
        <v>#N/A</v>
      </c>
      <c r="G582" s="123" t="e">
        <f>VLOOKUP('Verwarming Tabula 2zone RefULG2'!C582,'Gebouwgegevens Allacker'!$A$35:$F$46,5,0)</f>
        <v>#N/A</v>
      </c>
      <c r="H582" s="123" t="e">
        <f>VLOOKUP('Verwarming Tabula 2zone RefULG2'!D582,'Gebouwgegevens Allacker'!$A$35:$F$46,5,0)</f>
        <v>#N/A</v>
      </c>
      <c r="I582" s="123" t="e">
        <f>VLOOKUP(B582,'Gebouwgegevens Allacker'!$J$5:$Q$83,7,0)</f>
        <v>#N/A</v>
      </c>
      <c r="J582" s="119" t="e">
        <f>VLOOKUP(B582,'Gebouwgegevens Allacker'!$J$5:$Q$83,8,0)</f>
        <v>#N/A</v>
      </c>
      <c r="K582" s="119" t="e">
        <f>(G582-H582)/(G582-$B$4)</f>
        <v>#N/A</v>
      </c>
      <c r="L582" s="99"/>
      <c r="M582" s="99"/>
      <c r="N582" s="99"/>
      <c r="O582" s="99"/>
      <c r="P582" s="97"/>
    </row>
    <row r="583" spans="1:16" ht="16.5" customHeight="1" thickTop="1" thickBot="1" x14ac:dyDescent="0.3">
      <c r="A583" s="96"/>
      <c r="B583" s="117" t="s">
        <v>233</v>
      </c>
      <c r="C583" s="123" t="e">
        <f>IF(VLOOKUP(B583,'Gebouwgegevens Allacker'!$J$5:$Q$83,2,0)=$B$551,VLOOKUP(B583,'Gebouwgegevens Allacker'!$J$5:$Q$83,2,0),VLOOKUP(B583,'Gebouwgegevens Allacker'!$J$5:$Q$83,3,0))</f>
        <v>#N/A</v>
      </c>
      <c r="D583" s="123" t="e">
        <f>IF(VLOOKUP(B583,'Gebouwgegevens Allacker'!$J$5:$Q$83,2,0)=$B$551,VLOOKUP(B583,'Gebouwgegevens Allacker'!$J$5:$Q$83,3,0),VLOOKUP(B583,'Gebouwgegevens Allacker'!$J$5:$Q$83,2,0))</f>
        <v>#N/A</v>
      </c>
      <c r="E583" s="123" t="e">
        <f>VLOOKUP(B583,'Gebouwgegevens Allacker'!$J$5:$Q$83,4,0)</f>
        <v>#N/A</v>
      </c>
      <c r="F583" s="123" t="e">
        <f>VLOOKUP(B583,'Gebouwgegevens Allacker'!$J$5:$Q$83,5,0)</f>
        <v>#N/A</v>
      </c>
      <c r="G583" s="123" t="e">
        <f>VLOOKUP('Verwarming Tabula 2zone RefULG2'!C583,'Gebouwgegevens Allacker'!$A$35:$F$46,5,0)</f>
        <v>#N/A</v>
      </c>
      <c r="H583" s="123" t="e">
        <f>VLOOKUP('Verwarming Tabula 2zone RefULG2'!D583,'Gebouwgegevens Allacker'!$A$35:$F$46,5,0)</f>
        <v>#N/A</v>
      </c>
      <c r="I583" s="123" t="e">
        <f>VLOOKUP(B583,'Gebouwgegevens Allacker'!$J$5:$Q$83,7,0)</f>
        <v>#N/A</v>
      </c>
      <c r="J583" s="119" t="e">
        <f>VLOOKUP(B583,'Gebouwgegevens Allacker'!$J$5:$Q$83,8,0)</f>
        <v>#N/A</v>
      </c>
      <c r="K583" s="119" t="e">
        <f>(G583-H583)/(G583-$B$4)</f>
        <v>#N/A</v>
      </c>
      <c r="L583" s="99"/>
      <c r="M583" s="99"/>
      <c r="N583" s="99"/>
      <c r="O583" s="99"/>
      <c r="P583" s="97"/>
    </row>
    <row r="584" spans="1:16" ht="16.5" customHeight="1" thickTop="1" thickBot="1" x14ac:dyDescent="0.3">
      <c r="A584" s="96"/>
      <c r="B584" s="117"/>
      <c r="C584" s="123"/>
      <c r="D584" s="123"/>
      <c r="E584" s="123"/>
      <c r="F584" s="123"/>
      <c r="G584" s="123"/>
      <c r="H584" s="123"/>
      <c r="I584" s="123"/>
      <c r="J584" s="119"/>
      <c r="K584" s="119"/>
      <c r="L584" s="99"/>
      <c r="M584" s="99"/>
      <c r="N584" s="99"/>
      <c r="O584" s="99"/>
      <c r="P584" s="97"/>
    </row>
    <row r="585" spans="1:16" ht="16.5" customHeight="1" thickTop="1" thickBot="1" x14ac:dyDescent="0.3">
      <c r="A585" s="96"/>
      <c r="B585" s="146"/>
      <c r="C585" s="123"/>
      <c r="D585" s="123"/>
      <c r="E585" s="123"/>
      <c r="F585" s="123"/>
      <c r="G585" s="123"/>
      <c r="H585" s="123"/>
      <c r="I585" s="123"/>
      <c r="J585" s="119"/>
      <c r="K585" s="119"/>
      <c r="L585" s="99"/>
      <c r="M585" s="99"/>
      <c r="N585" s="99"/>
      <c r="O585" s="99"/>
      <c r="P585" s="97"/>
    </row>
    <row r="586" spans="1:16" ht="16.5" customHeight="1" thickTop="1" thickBot="1" x14ac:dyDescent="0.3">
      <c r="A586" s="96"/>
      <c r="B586" s="124"/>
      <c r="C586" s="140"/>
      <c r="D586" s="123"/>
      <c r="E586" s="123"/>
      <c r="F586" s="123"/>
      <c r="G586" s="123"/>
      <c r="H586" s="123"/>
      <c r="I586" s="123"/>
      <c r="J586" s="119"/>
      <c r="K586" s="119"/>
      <c r="L586" s="99"/>
      <c r="M586" s="99"/>
      <c r="N586" s="99"/>
      <c r="O586" s="99"/>
      <c r="P586" s="97"/>
    </row>
    <row r="587" spans="1:16" ht="16.5" customHeight="1" thickTop="1" thickBot="1" x14ac:dyDescent="0.3">
      <c r="A587" s="96"/>
      <c r="B587" s="124"/>
      <c r="C587" s="140"/>
      <c r="D587" s="123"/>
      <c r="E587" s="123"/>
      <c r="F587" s="123"/>
      <c r="G587" s="123"/>
      <c r="H587" s="123"/>
      <c r="I587" s="123"/>
      <c r="J587" s="119"/>
      <c r="K587" s="119"/>
      <c r="L587" s="99"/>
      <c r="M587" s="99"/>
      <c r="N587" s="99"/>
      <c r="O587" s="99"/>
      <c r="P587" s="97"/>
    </row>
    <row r="588" spans="1:16" ht="16.5" customHeight="1" thickTop="1" thickBot="1" x14ac:dyDescent="0.3">
      <c r="A588" s="96"/>
      <c r="B588" s="124"/>
      <c r="C588" s="140"/>
      <c r="D588" s="123"/>
      <c r="E588" s="123"/>
      <c r="F588" s="123"/>
      <c r="G588" s="123"/>
      <c r="H588" s="123"/>
      <c r="I588" s="123"/>
      <c r="J588" s="119"/>
      <c r="K588" s="119"/>
      <c r="L588" s="99"/>
      <c r="M588" s="99"/>
      <c r="N588" s="99"/>
      <c r="O588" s="99"/>
      <c r="P588" s="97"/>
    </row>
    <row r="589" spans="1:16" ht="16.5" customHeight="1" thickTop="1" thickBot="1" x14ac:dyDescent="0.3">
      <c r="A589" s="96"/>
      <c r="B589" s="124"/>
      <c r="C589" s="140"/>
      <c r="D589" s="123"/>
      <c r="E589" s="123"/>
      <c r="F589" s="123"/>
      <c r="G589" s="123"/>
      <c r="H589" s="123"/>
      <c r="I589" s="123"/>
      <c r="J589" s="119"/>
      <c r="K589" s="119"/>
      <c r="L589" s="99"/>
      <c r="M589" s="99"/>
      <c r="N589" s="99"/>
      <c r="O589" s="99"/>
      <c r="P589" s="97"/>
    </row>
    <row r="590" spans="1:16" ht="16.5" customHeight="1" thickTop="1" thickBot="1" x14ac:dyDescent="0.3">
      <c r="A590" s="96"/>
      <c r="B590" s="124"/>
      <c r="C590" s="140"/>
      <c r="D590" s="123"/>
      <c r="E590" s="123"/>
      <c r="F590" s="123"/>
      <c r="G590" s="123"/>
      <c r="H590" s="123"/>
      <c r="I590" s="123"/>
      <c r="J590" s="119"/>
      <c r="K590" s="119"/>
      <c r="L590" s="99"/>
      <c r="M590" s="99"/>
      <c r="N590" s="99"/>
      <c r="O590" s="99"/>
      <c r="P590" s="97"/>
    </row>
    <row r="591" spans="1:16" ht="15.75" customHeight="1" thickTop="1" x14ac:dyDescent="0.25">
      <c r="A591" s="96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9"/>
      <c r="M591" s="99"/>
      <c r="N591" s="99"/>
      <c r="O591" s="99"/>
      <c r="P591" s="97"/>
    </row>
    <row r="592" spans="1:16" ht="15" customHeight="1" x14ac:dyDescent="0.25">
      <c r="A592" s="96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7"/>
    </row>
    <row r="593" spans="1:16" ht="15.75" customHeight="1" x14ac:dyDescent="0.25">
      <c r="A593" s="104" t="s">
        <v>195</v>
      </c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7"/>
    </row>
    <row r="594" spans="1:16" ht="16.5" customHeight="1" x14ac:dyDescent="0.25">
      <c r="A594" s="125" t="s">
        <v>196</v>
      </c>
      <c r="B594" s="119" t="e">
        <f>SUMPRODUCT(H557:H568,I557:I568)+SUMPRODUCT(G573:G577,H573:H577)+SUMPRODUCT(J581:J590,K581:K590)</f>
        <v>#N/A</v>
      </c>
      <c r="C594" s="119" t="s">
        <v>107</v>
      </c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7"/>
    </row>
    <row r="595" spans="1:16" ht="16.5" customHeight="1" x14ac:dyDescent="0.25">
      <c r="A595" s="125" t="s">
        <v>170</v>
      </c>
      <c r="B595" s="119" t="e">
        <f>B594*(G581-$B$4)</f>
        <v>#N/A</v>
      </c>
      <c r="C595" s="119" t="s">
        <v>172</v>
      </c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7"/>
    </row>
    <row r="596" spans="1:16" ht="15.75" customHeight="1" thickBot="1" x14ac:dyDescent="0.3">
      <c r="A596" s="110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2"/>
    </row>
    <row r="597" spans="1:16" ht="15.75" customHeight="1" thickTop="1" x14ac:dyDescent="0.25">
      <c r="A597" s="312" t="s">
        <v>197</v>
      </c>
      <c r="B597" s="312"/>
      <c r="C597" s="312"/>
      <c r="D597" s="126" t="s">
        <v>225</v>
      </c>
      <c r="E597" s="289"/>
      <c r="F597" s="289"/>
      <c r="G597" s="289"/>
      <c r="H597" s="289"/>
      <c r="I597" s="289"/>
      <c r="J597" s="289"/>
      <c r="K597" s="289"/>
      <c r="L597" s="289"/>
      <c r="M597" s="289"/>
      <c r="N597" s="289"/>
      <c r="O597" s="289"/>
      <c r="P597" s="95"/>
    </row>
    <row r="598" spans="1:16" ht="15" customHeight="1" x14ac:dyDescent="0.25">
      <c r="A598" s="96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7"/>
    </row>
    <row r="599" spans="1:16" ht="15" customHeight="1" thickBot="1" x14ac:dyDescent="0.3">
      <c r="A599" s="127" t="s">
        <v>198</v>
      </c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7"/>
    </row>
    <row r="600" spans="1:16" ht="15" customHeight="1" thickTop="1" thickBot="1" x14ac:dyDescent="0.3">
      <c r="A600" s="128" t="s">
        <v>199</v>
      </c>
      <c r="B600" s="122">
        <v>8</v>
      </c>
      <c r="C600" s="121" t="s">
        <v>200</v>
      </c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7"/>
    </row>
    <row r="601" spans="1:16" ht="15" customHeight="1" thickTop="1" thickBot="1" x14ac:dyDescent="0.3">
      <c r="A601" s="128" t="s">
        <v>201</v>
      </c>
      <c r="B601" s="122">
        <v>0.03</v>
      </c>
      <c r="C601" s="121" t="s">
        <v>202</v>
      </c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7"/>
    </row>
    <row r="602" spans="1:16" ht="15.75" customHeight="1" thickTop="1" thickBot="1" x14ac:dyDescent="0.3">
      <c r="A602" s="128" t="s">
        <v>203</v>
      </c>
      <c r="B602" s="122">
        <v>1</v>
      </c>
      <c r="C602" s="121" t="s">
        <v>204</v>
      </c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7"/>
    </row>
    <row r="603" spans="1:16" ht="16.5" customHeight="1" thickTop="1" x14ac:dyDescent="0.25">
      <c r="A603" s="125" t="s">
        <v>205</v>
      </c>
      <c r="B603" s="119" t="e">
        <f>2*VLOOKUP(B551,'Gebouwgegevens Allacker'!$A$35:$F$46,6,0)*B600*B601*B602</f>
        <v>#N/A</v>
      </c>
      <c r="C603" s="119" t="s">
        <v>206</v>
      </c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7"/>
    </row>
    <row r="604" spans="1:16" ht="15.75" customHeight="1" x14ac:dyDescent="0.25">
      <c r="A604" s="139"/>
      <c r="B604" s="58"/>
      <c r="C604" s="58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7"/>
    </row>
    <row r="605" spans="1:16" ht="15" customHeight="1" x14ac:dyDescent="0.25">
      <c r="A605" s="147" t="s">
        <v>207</v>
      </c>
      <c r="B605" s="58"/>
      <c r="C605" s="58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7"/>
    </row>
    <row r="606" spans="1:16" ht="15.75" customHeight="1" x14ac:dyDescent="0.25">
      <c r="A606" s="139" t="s">
        <v>183</v>
      </c>
      <c r="B606" s="58" t="e">
        <f>VLOOKUP(B551,'Gebouwgegevens Allacker'!$A$35:$F$46,6,0)</f>
        <v>#N/A</v>
      </c>
      <c r="C606" s="58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7"/>
    </row>
    <row r="607" spans="1:16" ht="16.5" customHeight="1" x14ac:dyDescent="0.25">
      <c r="A607" s="125" t="s">
        <v>208</v>
      </c>
      <c r="B607" s="129" t="e">
        <f>B606*3.6</f>
        <v>#N/A</v>
      </c>
      <c r="C607" s="119" t="s">
        <v>206</v>
      </c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7"/>
    </row>
    <row r="608" spans="1:16" ht="15.75" customHeight="1" x14ac:dyDescent="0.25">
      <c r="A608" s="139"/>
      <c r="B608" s="58"/>
      <c r="C608" s="58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7"/>
    </row>
    <row r="609" spans="1:16" ht="15.75" customHeight="1" x14ac:dyDescent="0.25">
      <c r="A609" s="139"/>
      <c r="B609" s="58"/>
      <c r="C609" s="58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7"/>
    </row>
    <row r="610" spans="1:16" ht="16.5" customHeight="1" x14ac:dyDescent="0.25">
      <c r="A610" s="125" t="s">
        <v>210</v>
      </c>
      <c r="B610" s="119" t="e">
        <f>MAX(B603,B607)</f>
        <v>#N/A</v>
      </c>
      <c r="C610" s="119" t="s">
        <v>206</v>
      </c>
      <c r="D610" s="99"/>
      <c r="E610" s="99"/>
      <c r="F610" s="119" t="s">
        <v>211</v>
      </c>
      <c r="G610" s="119" t="e">
        <f>B610/VLOOKUP(B551,'Gebouwgegevens Allacker'!$A$35:$B$46,2,0)</f>
        <v>#N/A</v>
      </c>
      <c r="H610" s="99"/>
      <c r="I610" s="99"/>
      <c r="J610" s="99"/>
      <c r="K610" s="99"/>
      <c r="L610" s="99"/>
      <c r="M610" s="99"/>
      <c r="N610" s="99"/>
      <c r="O610" s="99"/>
      <c r="P610" s="97"/>
    </row>
    <row r="611" spans="1:16" ht="16.5" customHeight="1" x14ac:dyDescent="0.25">
      <c r="A611" s="139"/>
      <c r="B611" s="58"/>
      <c r="C611" s="58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7"/>
    </row>
    <row r="612" spans="1:16" ht="16.5" customHeight="1" x14ac:dyDescent="0.25">
      <c r="A612" s="125" t="s">
        <v>212</v>
      </c>
      <c r="B612" s="119" t="e">
        <f>0.34*B610</f>
        <v>#N/A</v>
      </c>
      <c r="C612" s="119" t="s">
        <v>107</v>
      </c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7"/>
    </row>
    <row r="613" spans="1:16" ht="16.5" customHeight="1" x14ac:dyDescent="0.25">
      <c r="A613" s="125" t="s">
        <v>170</v>
      </c>
      <c r="B613" s="119" t="e">
        <f>B612*('Gebouwgegevens Allacker'!E573-$B$4)</f>
        <v>#N/A</v>
      </c>
      <c r="C613" s="119" t="s">
        <v>172</v>
      </c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7"/>
    </row>
    <row r="614" spans="1:16" ht="15.75" customHeight="1" thickBot="1" x14ac:dyDescent="0.3">
      <c r="A614" s="141"/>
      <c r="B614" s="142"/>
      <c r="C614" s="142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2"/>
    </row>
    <row r="615" spans="1:16" ht="15.75" customHeight="1" thickTop="1" x14ac:dyDescent="0.25">
      <c r="A615" s="312" t="s">
        <v>213</v>
      </c>
      <c r="B615" s="312"/>
      <c r="C615" s="312"/>
      <c r="D615" s="312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7"/>
    </row>
    <row r="616" spans="1:16" ht="15" customHeight="1" thickBot="1" x14ac:dyDescent="0.3">
      <c r="A616" s="96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7"/>
    </row>
    <row r="617" spans="1:16" ht="15" customHeight="1" thickTop="1" thickBot="1" x14ac:dyDescent="0.3">
      <c r="A617" s="128" t="s">
        <v>214</v>
      </c>
      <c r="B617" s="122">
        <v>45</v>
      </c>
      <c r="C617" s="58" t="s">
        <v>235</v>
      </c>
      <c r="D617" s="58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7"/>
    </row>
    <row r="618" spans="1:16" ht="15.75" customHeight="1" thickTop="1" x14ac:dyDescent="0.25">
      <c r="A618" s="153" t="s">
        <v>113</v>
      </c>
      <c r="B618" s="58" t="e">
        <f>VLOOKUP(B551,'Gebouwgegevens Allacker'!$A$35:$F$46,6,0)</f>
        <v>#N/A</v>
      </c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7"/>
    </row>
    <row r="619" spans="1:16" ht="16.5" customHeight="1" x14ac:dyDescent="0.25">
      <c r="A619" s="125" t="s">
        <v>216</v>
      </c>
      <c r="B619" s="119" t="e">
        <f>B620/('Gebouwgegevens Allacker'!E573-'Verwarming Tabula 2zone RefULG2'!$B$4)</f>
        <v>#N/A</v>
      </c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7"/>
    </row>
    <row r="620" spans="1:16" ht="16.5" customHeight="1" x14ac:dyDescent="0.25">
      <c r="A620" s="125" t="s">
        <v>170</v>
      </c>
      <c r="B620" s="119" t="e">
        <f>B617*B618</f>
        <v>#N/A</v>
      </c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7"/>
    </row>
    <row r="621" spans="1:16" ht="15.75" customHeight="1" x14ac:dyDescent="0.25">
      <c r="A621" s="96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7"/>
    </row>
    <row r="622" spans="1:16" ht="15.75" customHeight="1" thickBot="1" x14ac:dyDescent="0.3">
      <c r="A622" s="96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7"/>
    </row>
    <row r="623" spans="1:16" ht="15.75" customHeight="1" thickTop="1" thickBot="1" x14ac:dyDescent="0.3">
      <c r="A623" s="130" t="s">
        <v>217</v>
      </c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2"/>
    </row>
    <row r="624" spans="1:16" ht="16.5" customHeight="1" thickTop="1" x14ac:dyDescent="0.25">
      <c r="A624" s="125" t="s">
        <v>218</v>
      </c>
      <c r="B624" s="119" t="e">
        <f>SUM(B594,B612,B619)</f>
        <v>#N/A</v>
      </c>
      <c r="C624" s="119" t="s">
        <v>107</v>
      </c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4"/>
    </row>
    <row r="625" spans="1:16" ht="16.5" customHeight="1" x14ac:dyDescent="0.25">
      <c r="A625" s="125" t="s">
        <v>170</v>
      </c>
      <c r="B625" s="119" t="e">
        <f>SUM(B595,B613,B620)</f>
        <v>#N/A</v>
      </c>
      <c r="C625" s="119" t="s">
        <v>172</v>
      </c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4"/>
    </row>
    <row r="626" spans="1:16" ht="16.5" customHeight="1" thickBot="1" x14ac:dyDescent="0.3">
      <c r="A626" s="135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7"/>
    </row>
    <row r="627" spans="1:16" ht="15" customHeight="1" thickTop="1" x14ac:dyDescent="0.2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</row>
    <row r="628" spans="1:16" ht="15.75" customHeight="1" thickBot="1" x14ac:dyDescent="0.3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</row>
    <row r="629" spans="1:16" ht="15" customHeight="1" thickTop="1" thickBot="1" x14ac:dyDescent="0.3">
      <c r="A629" s="94"/>
      <c r="B629" s="289"/>
      <c r="C629" s="289"/>
      <c r="D629" s="289"/>
      <c r="E629" s="289"/>
      <c r="F629" s="289"/>
      <c r="G629" s="289"/>
      <c r="H629" s="289"/>
      <c r="I629" s="289"/>
      <c r="J629" s="289"/>
      <c r="K629" s="289"/>
      <c r="L629" s="289"/>
      <c r="M629" s="289"/>
      <c r="N629" s="289"/>
      <c r="O629" s="289"/>
      <c r="P629" s="95"/>
    </row>
    <row r="630" spans="1:16" ht="17.25" customHeight="1" thickTop="1" thickBot="1" x14ac:dyDescent="0.35">
      <c r="A630" s="98" t="s">
        <v>169</v>
      </c>
      <c r="B630" s="93">
        <v>9</v>
      </c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7"/>
    </row>
    <row r="631" spans="1:16" ht="15.75" customHeight="1" thickTop="1" x14ac:dyDescent="0.25">
      <c r="A631" s="312" t="s">
        <v>171</v>
      </c>
      <c r="B631" s="312"/>
      <c r="C631" s="312"/>
      <c r="D631" s="312"/>
      <c r="E631" s="289"/>
      <c r="F631" s="289"/>
      <c r="G631" s="289"/>
      <c r="H631" s="289"/>
      <c r="I631" s="289"/>
      <c r="J631" s="289"/>
      <c r="K631" s="289"/>
      <c r="L631" s="289"/>
      <c r="M631" s="289"/>
      <c r="N631" s="289"/>
      <c r="O631" s="289"/>
      <c r="P631" s="95"/>
    </row>
    <row r="632" spans="1:16" ht="15" customHeight="1" x14ac:dyDescent="0.25">
      <c r="A632" s="96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7"/>
    </row>
    <row r="633" spans="1:16" ht="15" customHeight="1" x14ac:dyDescent="0.25">
      <c r="A633" s="104" t="s">
        <v>173</v>
      </c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7"/>
    </row>
    <row r="634" spans="1:16" ht="15" customHeight="1" x14ac:dyDescent="0.25">
      <c r="A634" s="96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7"/>
    </row>
    <row r="635" spans="1:16" ht="15.75" customHeight="1" thickBot="1" x14ac:dyDescent="0.3">
      <c r="A635" s="96"/>
      <c r="B635" s="105" t="s">
        <v>10</v>
      </c>
      <c r="C635" s="105" t="s">
        <v>174</v>
      </c>
      <c r="D635" s="105" t="s">
        <v>175</v>
      </c>
      <c r="E635" s="105" t="s">
        <v>176</v>
      </c>
      <c r="F635" s="105" t="s">
        <v>177</v>
      </c>
      <c r="G635" s="105" t="s">
        <v>16</v>
      </c>
      <c r="H635" s="106" t="s">
        <v>17</v>
      </c>
      <c r="I635" s="106" t="s">
        <v>178</v>
      </c>
      <c r="J635" s="99"/>
      <c r="K635" s="99"/>
      <c r="L635" s="99"/>
      <c r="M635" s="99"/>
      <c r="N635" s="99"/>
      <c r="O635" s="99"/>
      <c r="P635" s="97"/>
    </row>
    <row r="636" spans="1:16" ht="16.5" customHeight="1" thickTop="1" thickBot="1" x14ac:dyDescent="0.3">
      <c r="A636" s="96"/>
      <c r="B636" s="107" t="s">
        <v>254</v>
      </c>
      <c r="C636" s="108" t="e">
        <f>VLOOKUP(B636,'Gebouwgegevens Allacker'!$J$5:$Q$83,3,0)</f>
        <v>#N/A</v>
      </c>
      <c r="D636" s="108" t="e">
        <f>VLOOKUP(B636,'Gebouwgegevens Allacker'!$J$5:$Q$83,4,0)</f>
        <v>#N/A</v>
      </c>
      <c r="E636" s="108" t="e">
        <f>VLOOKUP(B636,'Gebouwgegevens Allacker'!$J$5:$Q$83,5,0)</f>
        <v>#N/A</v>
      </c>
      <c r="F636" s="108" t="e">
        <f>VLOOKUP(B636,'Gebouwgegevens Allacker'!$J$5:$Q$83,6,0)</f>
        <v>#N/A</v>
      </c>
      <c r="G636" s="108" t="e">
        <f>VLOOKUP(B636,'Gebouwgegevens Allacker'!$J$5:$Q$83,7,0)</f>
        <v>#N/A</v>
      </c>
      <c r="H636" s="109" t="e">
        <f>VLOOKUP(B636,'Gebouwgegevens Allacker'!$J$5:$Q$83,8,0)</f>
        <v>#N/A</v>
      </c>
      <c r="I636" s="109">
        <v>1</v>
      </c>
      <c r="J636" s="99"/>
      <c r="K636" s="99"/>
      <c r="L636" s="99"/>
      <c r="M636" s="99"/>
      <c r="N636" s="99"/>
      <c r="O636" s="99"/>
      <c r="P636" s="97"/>
    </row>
    <row r="637" spans="1:16" ht="16.5" customHeight="1" thickTop="1" thickBot="1" x14ac:dyDescent="0.3">
      <c r="A637" s="96"/>
      <c r="B637" s="107" t="s">
        <v>255</v>
      </c>
      <c r="C637" s="108" t="e">
        <f>VLOOKUP(B637,'Gebouwgegevens Allacker'!$J$5:$Q$83,3,0)</f>
        <v>#N/A</v>
      </c>
      <c r="D637" s="108" t="e">
        <f>VLOOKUP(B637,'Gebouwgegevens Allacker'!$J$5:$Q$83,4,0)</f>
        <v>#N/A</v>
      </c>
      <c r="E637" s="108" t="e">
        <f>VLOOKUP(B637,'Gebouwgegevens Allacker'!$J$5:$Q$83,5,0)</f>
        <v>#N/A</v>
      </c>
      <c r="F637" s="108" t="e">
        <f>VLOOKUP(B637,'Gebouwgegevens Allacker'!$J$5:$Q$83,6,0)</f>
        <v>#N/A</v>
      </c>
      <c r="G637" s="108" t="e">
        <f>VLOOKUP(B637,'Gebouwgegevens Allacker'!$J$5:$Q$83,7,0)</f>
        <v>#N/A</v>
      </c>
      <c r="H637" s="109" t="e">
        <f>VLOOKUP(B637,'Gebouwgegevens Allacker'!$J$5:$Q$83,8,0)</f>
        <v>#N/A</v>
      </c>
      <c r="I637" s="109">
        <v>1</v>
      </c>
      <c r="J637" s="99"/>
      <c r="K637" s="99"/>
      <c r="L637" s="99"/>
      <c r="M637" s="99"/>
      <c r="N637" s="99"/>
      <c r="O637" s="99"/>
      <c r="P637" s="97"/>
    </row>
    <row r="638" spans="1:16" ht="16.5" customHeight="1" thickTop="1" thickBot="1" x14ac:dyDescent="0.3">
      <c r="A638" s="96"/>
      <c r="B638" s="107"/>
      <c r="C638" s="108"/>
      <c r="D638" s="108"/>
      <c r="E638" s="108"/>
      <c r="F638" s="108"/>
      <c r="G638" s="108"/>
      <c r="H638" s="109"/>
      <c r="I638" s="109"/>
      <c r="J638" s="99"/>
      <c r="K638" s="99"/>
      <c r="L638" s="99"/>
      <c r="M638" s="99"/>
      <c r="N638" s="99"/>
      <c r="O638" s="99"/>
      <c r="P638" s="97"/>
    </row>
    <row r="639" spans="1:16" ht="16.5" customHeight="1" thickTop="1" thickBot="1" x14ac:dyDescent="0.3">
      <c r="A639" s="96"/>
      <c r="B639" s="107"/>
      <c r="C639" s="108"/>
      <c r="D639" s="108"/>
      <c r="E639" s="108"/>
      <c r="F639" s="108"/>
      <c r="G639" s="108"/>
      <c r="H639" s="109"/>
      <c r="I639" s="109"/>
      <c r="J639" s="99"/>
      <c r="K639" s="99"/>
      <c r="L639" s="99"/>
      <c r="M639" s="99"/>
      <c r="N639" s="99"/>
      <c r="O639" s="99"/>
      <c r="P639" s="97"/>
    </row>
    <row r="640" spans="1:16" ht="16.5" customHeight="1" thickTop="1" thickBot="1" x14ac:dyDescent="0.3">
      <c r="A640" s="96"/>
      <c r="B640" s="107"/>
      <c r="C640" s="108"/>
      <c r="D640" s="108"/>
      <c r="E640" s="108"/>
      <c r="F640" s="108"/>
      <c r="G640" s="108"/>
      <c r="H640" s="109"/>
      <c r="I640" s="109"/>
      <c r="J640" s="99"/>
      <c r="K640" s="99"/>
      <c r="L640" s="99"/>
      <c r="M640" s="99"/>
      <c r="N640" s="99"/>
      <c r="O640" s="99"/>
      <c r="P640" s="97"/>
    </row>
    <row r="641" spans="1:16" ht="16.5" customHeight="1" thickTop="1" thickBot="1" x14ac:dyDescent="0.3">
      <c r="A641" s="96"/>
      <c r="B641" s="107"/>
      <c r="C641" s="108"/>
      <c r="D641" s="108"/>
      <c r="E641" s="108"/>
      <c r="F641" s="108"/>
      <c r="G641" s="108"/>
      <c r="H641" s="109"/>
      <c r="I641" s="109"/>
      <c r="J641" s="99"/>
      <c r="K641" s="99"/>
      <c r="L641" s="99"/>
      <c r="M641" s="99"/>
      <c r="N641" s="99"/>
      <c r="O641" s="99"/>
      <c r="P641" s="97"/>
    </row>
    <row r="642" spans="1:16" ht="16.5" customHeight="1" thickTop="1" thickBot="1" x14ac:dyDescent="0.3">
      <c r="A642" s="96"/>
      <c r="B642" s="107"/>
      <c r="C642" s="108"/>
      <c r="D642" s="108"/>
      <c r="E642" s="108"/>
      <c r="F642" s="108"/>
      <c r="G642" s="108"/>
      <c r="H642" s="109"/>
      <c r="I642" s="109"/>
      <c r="J642" s="99"/>
      <c r="K642" s="99"/>
      <c r="L642" s="99"/>
      <c r="M642" s="99"/>
      <c r="N642" s="99"/>
      <c r="O642" s="99"/>
      <c r="P642" s="97"/>
    </row>
    <row r="643" spans="1:16" ht="16.5" customHeight="1" thickTop="1" thickBot="1" x14ac:dyDescent="0.3">
      <c r="A643" s="96"/>
      <c r="B643" s="107"/>
      <c r="C643" s="108"/>
      <c r="D643" s="108"/>
      <c r="E643" s="108"/>
      <c r="F643" s="108"/>
      <c r="G643" s="108"/>
      <c r="H643" s="109"/>
      <c r="I643" s="109"/>
      <c r="J643" s="99"/>
      <c r="K643" s="99"/>
      <c r="L643" s="99"/>
      <c r="M643" s="99"/>
      <c r="N643" s="99"/>
      <c r="O643" s="99"/>
      <c r="P643" s="97"/>
    </row>
    <row r="644" spans="1:16" ht="16.5" customHeight="1" thickTop="1" thickBot="1" x14ac:dyDescent="0.3">
      <c r="A644" s="96"/>
      <c r="B644" s="107"/>
      <c r="C644" s="108"/>
      <c r="D644" s="108"/>
      <c r="E644" s="108"/>
      <c r="F644" s="108"/>
      <c r="G644" s="108"/>
      <c r="H644" s="109"/>
      <c r="I644" s="109"/>
      <c r="J644" s="99"/>
      <c r="K644" s="99"/>
      <c r="L644" s="99"/>
      <c r="M644" s="99"/>
      <c r="N644" s="99"/>
      <c r="O644" s="99"/>
      <c r="P644" s="97"/>
    </row>
    <row r="645" spans="1:16" ht="16.5" customHeight="1" thickTop="1" thickBot="1" x14ac:dyDescent="0.3">
      <c r="A645" s="96"/>
      <c r="B645" s="107"/>
      <c r="C645" s="108"/>
      <c r="D645" s="108"/>
      <c r="E645" s="108"/>
      <c r="F645" s="108"/>
      <c r="G645" s="108"/>
      <c r="H645" s="109"/>
      <c r="I645" s="109"/>
      <c r="J645" s="99"/>
      <c r="K645" s="99"/>
      <c r="L645" s="99"/>
      <c r="M645" s="99"/>
      <c r="N645" s="99"/>
      <c r="O645" s="99"/>
      <c r="P645" s="97"/>
    </row>
    <row r="646" spans="1:16" ht="16.5" customHeight="1" thickTop="1" thickBot="1" x14ac:dyDescent="0.3">
      <c r="A646" s="96"/>
      <c r="B646" s="107"/>
      <c r="C646" s="108"/>
      <c r="D646" s="108"/>
      <c r="E646" s="108"/>
      <c r="F646" s="108"/>
      <c r="G646" s="108"/>
      <c r="H646" s="109"/>
      <c r="I646" s="109"/>
      <c r="J646" s="99"/>
      <c r="K646" s="99"/>
      <c r="L646" s="99"/>
      <c r="M646" s="99"/>
      <c r="N646" s="99"/>
      <c r="O646" s="99"/>
      <c r="P646" s="97"/>
    </row>
    <row r="647" spans="1:16" ht="16.5" customHeight="1" thickTop="1" thickBot="1" x14ac:dyDescent="0.3">
      <c r="A647" s="96"/>
      <c r="B647" s="107"/>
      <c r="C647" s="108"/>
      <c r="D647" s="108"/>
      <c r="E647" s="108"/>
      <c r="F647" s="108"/>
      <c r="G647" s="108"/>
      <c r="H647" s="109"/>
      <c r="I647" s="109"/>
      <c r="J647" s="99"/>
      <c r="K647" s="99"/>
      <c r="L647" s="99"/>
      <c r="M647" s="99"/>
      <c r="N647" s="99"/>
      <c r="O647" s="99"/>
      <c r="P647" s="97"/>
    </row>
    <row r="648" spans="1:16" ht="15.75" customHeight="1" thickTop="1" x14ac:dyDescent="0.25">
      <c r="A648" s="96"/>
      <c r="B648" s="58"/>
      <c r="C648" s="58"/>
      <c r="D648" s="58"/>
      <c r="E648" s="58"/>
      <c r="F648" s="58"/>
      <c r="G648" s="115"/>
      <c r="H648" s="58"/>
      <c r="I648" s="58"/>
      <c r="J648" s="99"/>
      <c r="K648" s="99"/>
      <c r="L648" s="99"/>
      <c r="M648" s="99"/>
      <c r="N648" s="99"/>
      <c r="O648" s="99"/>
      <c r="P648" s="97"/>
    </row>
    <row r="649" spans="1:16" ht="15" customHeight="1" x14ac:dyDescent="0.25">
      <c r="A649" s="96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7"/>
    </row>
    <row r="650" spans="1:16" ht="15" customHeight="1" x14ac:dyDescent="0.25">
      <c r="A650" s="104" t="s">
        <v>180</v>
      </c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7"/>
    </row>
    <row r="651" spans="1:16" ht="15.75" customHeight="1" x14ac:dyDescent="0.25">
      <c r="A651" s="96"/>
      <c r="B651" s="58" t="s">
        <v>10</v>
      </c>
      <c r="C651" s="58" t="s">
        <v>181</v>
      </c>
      <c r="D651" s="58" t="s">
        <v>175</v>
      </c>
      <c r="E651" s="58" t="s">
        <v>182</v>
      </c>
      <c r="F651" s="58" t="s">
        <v>16</v>
      </c>
      <c r="G651" s="115" t="s">
        <v>17</v>
      </c>
      <c r="H651" s="115" t="s">
        <v>178</v>
      </c>
      <c r="I651" s="58" t="s">
        <v>183</v>
      </c>
      <c r="J651" s="58" t="s">
        <v>184</v>
      </c>
      <c r="K651" s="58" t="s">
        <v>185</v>
      </c>
      <c r="L651" s="116" t="s">
        <v>186</v>
      </c>
      <c r="M651" s="116" t="s">
        <v>187</v>
      </c>
      <c r="N651" s="116" t="s">
        <v>188</v>
      </c>
      <c r="O651" s="99"/>
      <c r="P651" s="97"/>
    </row>
    <row r="652" spans="1:16" ht="16.5" customHeight="1" thickBot="1" x14ac:dyDescent="0.3">
      <c r="A652" s="96"/>
      <c r="B652" s="117" t="s">
        <v>256</v>
      </c>
      <c r="C652" s="118" t="e">
        <f>VLOOKUP(B652,'Gebouwgegevens Allacker'!$J$5:$Q$83,3,0)</f>
        <v>#N/A</v>
      </c>
      <c r="D652" s="118" t="e">
        <f>VLOOKUP(B652,'Gebouwgegevens Allacker'!$J$5:$Q$83,4,0)</f>
        <v>#N/A</v>
      </c>
      <c r="E652" s="118" t="e">
        <f>VLOOKUP(B652,'Gebouwgegevens Allacker'!$J$5:$Q$83,5,0)</f>
        <v>#N/A</v>
      </c>
      <c r="F652" s="118" t="e">
        <f>VLOOKUP(B652,'Gebouwgegevens Allacker'!$J$5:$Q$83,7,0)</f>
        <v>#N/A</v>
      </c>
      <c r="G652" s="119" t="e">
        <f>VLOOKUP(B652,'Gebouwgegevens Allacker'!$J$5:$Q$83,8,0)</f>
        <v>#N/A</v>
      </c>
      <c r="H652" s="119" t="e">
        <f>N652/F652</f>
        <v>#N/A</v>
      </c>
      <c r="I652" s="118" t="e">
        <f>VLOOKUP(C652,'Gebouwgegevens Allacker'!$A$35:$F$46,6,0)</f>
        <v>#N/A</v>
      </c>
      <c r="J652" s="117">
        <v>6.52</v>
      </c>
      <c r="K652" s="117">
        <v>0.33</v>
      </c>
      <c r="L652" s="120" t="e">
        <f>I652/(0.5*J652)</f>
        <v>#N/A</v>
      </c>
      <c r="M652" s="120" t="e">
        <f>K652+2*(1/F652)</f>
        <v>#N/A</v>
      </c>
      <c r="N652" s="121" t="e">
        <f>IF(M652&lt;L652,2*2/(PI()*L652+M652)*LN(PI()*L652/M652+1),2/(0.457*L652+M652))</f>
        <v>#N/A</v>
      </c>
      <c r="O652" s="99"/>
      <c r="P652" s="97"/>
    </row>
    <row r="653" spans="1:16" ht="16.5" customHeight="1" thickTop="1" thickBot="1" x14ac:dyDescent="0.3">
      <c r="A653" s="96"/>
      <c r="B653" s="117"/>
      <c r="C653" s="118"/>
      <c r="D653" s="118"/>
      <c r="E653" s="118"/>
      <c r="F653" s="118"/>
      <c r="G653" s="119"/>
      <c r="H653" s="119"/>
      <c r="I653" s="118"/>
      <c r="J653" s="117"/>
      <c r="K653" s="117"/>
      <c r="L653" s="120"/>
      <c r="M653" s="120"/>
      <c r="N653" s="121"/>
      <c r="O653" s="99"/>
      <c r="P653" s="97"/>
    </row>
    <row r="654" spans="1:16" ht="16.5" customHeight="1" thickTop="1" thickBot="1" x14ac:dyDescent="0.3">
      <c r="A654" s="96"/>
      <c r="B654" s="117"/>
      <c r="C654" s="118"/>
      <c r="D654" s="118"/>
      <c r="E654" s="118"/>
      <c r="F654" s="118"/>
      <c r="G654" s="119"/>
      <c r="H654" s="119"/>
      <c r="I654" s="118"/>
      <c r="J654" s="117"/>
      <c r="K654" s="117"/>
      <c r="L654" s="120"/>
      <c r="M654" s="120"/>
      <c r="N654" s="121"/>
      <c r="O654" s="99"/>
      <c r="P654" s="97"/>
    </row>
    <row r="655" spans="1:16" ht="16.5" customHeight="1" thickTop="1" thickBot="1" x14ac:dyDescent="0.3">
      <c r="A655" s="96"/>
      <c r="B655" s="117"/>
      <c r="C655" s="118"/>
      <c r="D655" s="118"/>
      <c r="E655" s="118"/>
      <c r="F655" s="118"/>
      <c r="G655" s="119"/>
      <c r="H655" s="119"/>
      <c r="I655" s="118"/>
      <c r="J655" s="117"/>
      <c r="K655" s="117"/>
      <c r="L655" s="120"/>
      <c r="M655" s="120"/>
      <c r="N655" s="121"/>
      <c r="O655" s="99"/>
      <c r="P655" s="97"/>
    </row>
    <row r="656" spans="1:16" ht="16.5" customHeight="1" thickTop="1" thickBot="1" x14ac:dyDescent="0.3">
      <c r="A656" s="139"/>
      <c r="B656" s="117"/>
      <c r="C656" s="118"/>
      <c r="D656" s="118"/>
      <c r="E656" s="118"/>
      <c r="F656" s="118"/>
      <c r="G656" s="119"/>
      <c r="H656" s="119"/>
      <c r="I656" s="118"/>
      <c r="J656" s="117"/>
      <c r="K656" s="117"/>
      <c r="L656" s="120"/>
      <c r="M656" s="120"/>
      <c r="N656" s="121"/>
      <c r="O656" s="99"/>
      <c r="P656" s="97"/>
    </row>
    <row r="657" spans="1:16" ht="15.75" customHeight="1" thickTop="1" x14ac:dyDescent="0.25">
      <c r="A657" s="96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7"/>
    </row>
    <row r="658" spans="1:16" ht="15" customHeight="1" x14ac:dyDescent="0.25">
      <c r="A658" s="104" t="s">
        <v>189</v>
      </c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7"/>
    </row>
    <row r="659" spans="1:16" ht="15.75" customHeight="1" thickBot="1" x14ac:dyDescent="0.3">
      <c r="A659" s="96"/>
      <c r="B659" s="58" t="s">
        <v>10</v>
      </c>
      <c r="C659" s="58" t="s">
        <v>190</v>
      </c>
      <c r="D659" s="58" t="s">
        <v>191</v>
      </c>
      <c r="E659" s="58" t="s">
        <v>135</v>
      </c>
      <c r="F659" s="58" t="s">
        <v>192</v>
      </c>
      <c r="G659" s="58" t="s">
        <v>193</v>
      </c>
      <c r="H659" s="58" t="s">
        <v>194</v>
      </c>
      <c r="I659" s="58" t="s">
        <v>16</v>
      </c>
      <c r="J659" s="115" t="s">
        <v>17</v>
      </c>
      <c r="K659" s="115" t="s">
        <v>178</v>
      </c>
      <c r="L659" s="99"/>
      <c r="M659" s="99"/>
      <c r="N659" s="99"/>
      <c r="O659" s="99"/>
      <c r="P659" s="97"/>
    </row>
    <row r="660" spans="1:16" ht="16.5" customHeight="1" thickTop="1" thickBot="1" x14ac:dyDescent="0.3">
      <c r="A660" s="96"/>
      <c r="B660" s="117" t="s">
        <v>222</v>
      </c>
      <c r="C660" s="123" t="e">
        <f>IF(VLOOKUP(B660,'Gebouwgegevens Allacker'!$J$5:$Q$83,2,0)=$B$630,VLOOKUP(B660,'Gebouwgegevens Allacker'!$J$5:$Q$83,2,0),VLOOKUP(B660,'Gebouwgegevens Allacker'!$J$5:$Q$83,3,0))</f>
        <v>#N/A</v>
      </c>
      <c r="D660" s="123" t="e">
        <f>IF(VLOOKUP(B660,'Gebouwgegevens Allacker'!$J$5:$Q$83,2,0)=$B$630,VLOOKUP(B660,'Gebouwgegevens Allacker'!$J$5:$Q$83,3,0),VLOOKUP(B660,'Gebouwgegevens Allacker'!$J$5:$Q$83,2,0))</f>
        <v>#N/A</v>
      </c>
      <c r="E660" s="123" t="e">
        <f>VLOOKUP(B660,'Gebouwgegevens Allacker'!$J$5:$Q$83,4,0)</f>
        <v>#N/A</v>
      </c>
      <c r="F660" s="123" t="e">
        <f>VLOOKUP(B660,'Gebouwgegevens Allacker'!$J$5:$Q$83,5,0)</f>
        <v>#N/A</v>
      </c>
      <c r="G660" s="123" t="e">
        <f>VLOOKUP('Verwarming Tabula 2zone RefULG2'!C660,'Gebouwgegevens Allacker'!$A$35:$F$46,5,0)</f>
        <v>#N/A</v>
      </c>
      <c r="H660" s="123" t="e">
        <f>VLOOKUP('Verwarming Tabula 2zone RefULG2'!D660,'Gebouwgegevens Allacker'!$A$35:$F$46,5,0)</f>
        <v>#N/A</v>
      </c>
      <c r="I660" s="123" t="e">
        <f>VLOOKUP(B660,'Gebouwgegevens Allacker'!$J$5:$Q$83,7,0)</f>
        <v>#N/A</v>
      </c>
      <c r="J660" s="119" t="e">
        <f>VLOOKUP(B660,'Gebouwgegevens Allacker'!$J$5:$Q$83,8,0)</f>
        <v>#N/A</v>
      </c>
      <c r="K660" s="119" t="e">
        <f>(G660-H660)/(G660-$B$4)</f>
        <v>#N/A</v>
      </c>
      <c r="L660" s="99"/>
      <c r="M660" s="99"/>
      <c r="N660" s="99"/>
      <c r="O660" s="99"/>
      <c r="P660" s="97"/>
    </row>
    <row r="661" spans="1:16" ht="16.5" customHeight="1" thickTop="1" thickBot="1" x14ac:dyDescent="0.3">
      <c r="A661" s="96"/>
      <c r="B661" s="117" t="s">
        <v>257</v>
      </c>
      <c r="C661" s="123" t="e">
        <f>IF(VLOOKUP(B661,'Gebouwgegevens Allacker'!$J$5:$Q$83,2,0)=$B$630,VLOOKUP(B661,'Gebouwgegevens Allacker'!$J$5:$Q$83,2,0),VLOOKUP(B661,'Gebouwgegevens Allacker'!$J$5:$Q$83,3,0))</f>
        <v>#N/A</v>
      </c>
      <c r="D661" s="123" t="e">
        <f>IF(VLOOKUP(B661,'Gebouwgegevens Allacker'!$J$5:$Q$83,2,0)=$B$630,VLOOKUP(B661,'Gebouwgegevens Allacker'!$J$5:$Q$83,3,0),VLOOKUP(B661,'Gebouwgegevens Allacker'!$J$5:$Q$83,2,0))</f>
        <v>#N/A</v>
      </c>
      <c r="E661" s="123" t="e">
        <f>VLOOKUP(B661,'Gebouwgegevens Allacker'!$J$5:$Q$83,4,0)</f>
        <v>#N/A</v>
      </c>
      <c r="F661" s="123" t="e">
        <f>VLOOKUP(B661,'Gebouwgegevens Allacker'!$J$5:$Q$83,5,0)</f>
        <v>#N/A</v>
      </c>
      <c r="G661" s="123" t="e">
        <f>VLOOKUP('Verwarming Tabula 2zone RefULG2'!C661,'Gebouwgegevens Allacker'!$A$35:$F$46,5,0)</f>
        <v>#N/A</v>
      </c>
      <c r="H661" s="123" t="e">
        <f>VLOOKUP('Verwarming Tabula 2zone RefULG2'!D661,'Gebouwgegevens Allacker'!$A$35:$F$46,5,0)</f>
        <v>#N/A</v>
      </c>
      <c r="I661" s="123" t="e">
        <f>VLOOKUP(B661,'Gebouwgegevens Allacker'!$J$5:$Q$83,7,0)</f>
        <v>#N/A</v>
      </c>
      <c r="J661" s="119" t="e">
        <f>VLOOKUP(B661,'Gebouwgegevens Allacker'!$J$5:$Q$83,8,0)</f>
        <v>#N/A</v>
      </c>
      <c r="K661" s="119" t="e">
        <f>(G661-H661)/(G661-$B$4)</f>
        <v>#N/A</v>
      </c>
      <c r="L661" s="99"/>
      <c r="M661" s="99"/>
      <c r="N661" s="99"/>
      <c r="O661" s="99"/>
      <c r="P661" s="97"/>
    </row>
    <row r="662" spans="1:16" ht="16.5" customHeight="1" thickTop="1" thickBot="1" x14ac:dyDescent="0.3">
      <c r="A662" s="96"/>
      <c r="B662" s="117"/>
      <c r="C662" s="123"/>
      <c r="D662" s="123"/>
      <c r="E662" s="123"/>
      <c r="F662" s="123"/>
      <c r="G662" s="123"/>
      <c r="H662" s="123"/>
      <c r="I662" s="123"/>
      <c r="J662" s="119"/>
      <c r="K662" s="119"/>
      <c r="L662" s="99"/>
      <c r="M662" s="99"/>
      <c r="N662" s="99"/>
      <c r="O662" s="99"/>
      <c r="P662" s="97"/>
    </row>
    <row r="663" spans="1:16" ht="16.5" customHeight="1" thickTop="1" thickBot="1" x14ac:dyDescent="0.3">
      <c r="A663" s="96"/>
      <c r="B663" s="117"/>
      <c r="C663" s="123"/>
      <c r="D663" s="123"/>
      <c r="E663" s="123"/>
      <c r="F663" s="123"/>
      <c r="G663" s="123"/>
      <c r="H663" s="123"/>
      <c r="I663" s="123"/>
      <c r="J663" s="119"/>
      <c r="K663" s="119"/>
      <c r="L663" s="99"/>
      <c r="M663" s="99"/>
      <c r="N663" s="99"/>
      <c r="O663" s="99"/>
      <c r="P663" s="97"/>
    </row>
    <row r="664" spans="1:16" ht="16.5" customHeight="1" thickTop="1" thickBot="1" x14ac:dyDescent="0.3">
      <c r="A664" s="96"/>
      <c r="B664" s="146"/>
      <c r="C664" s="123"/>
      <c r="D664" s="123"/>
      <c r="E664" s="123"/>
      <c r="F664" s="123"/>
      <c r="G664" s="123"/>
      <c r="H664" s="123"/>
      <c r="I664" s="123"/>
      <c r="J664" s="119"/>
      <c r="K664" s="119"/>
      <c r="L664" s="99"/>
      <c r="M664" s="99"/>
      <c r="N664" s="99"/>
      <c r="O664" s="99"/>
      <c r="P664" s="97"/>
    </row>
    <row r="665" spans="1:16" ht="16.5" customHeight="1" thickTop="1" thickBot="1" x14ac:dyDescent="0.3">
      <c r="A665" s="96"/>
      <c r="B665" s="124"/>
      <c r="C665" s="140"/>
      <c r="D665" s="123"/>
      <c r="E665" s="123"/>
      <c r="F665" s="123"/>
      <c r="G665" s="123"/>
      <c r="H665" s="123"/>
      <c r="I665" s="123"/>
      <c r="J665" s="119"/>
      <c r="K665" s="119"/>
      <c r="L665" s="99"/>
      <c r="M665" s="99"/>
      <c r="N665" s="99"/>
      <c r="O665" s="99"/>
      <c r="P665" s="97"/>
    </row>
    <row r="666" spans="1:16" ht="16.5" customHeight="1" thickTop="1" thickBot="1" x14ac:dyDescent="0.3">
      <c r="A666" s="96"/>
      <c r="B666" s="124"/>
      <c r="C666" s="140"/>
      <c r="D666" s="123"/>
      <c r="E666" s="123"/>
      <c r="F666" s="123"/>
      <c r="G666" s="123"/>
      <c r="H666" s="123"/>
      <c r="I666" s="123"/>
      <c r="J666" s="119"/>
      <c r="K666" s="119"/>
      <c r="L666" s="99"/>
      <c r="M666" s="99"/>
      <c r="N666" s="99"/>
      <c r="O666" s="99"/>
      <c r="P666" s="97"/>
    </row>
    <row r="667" spans="1:16" ht="16.5" customHeight="1" thickTop="1" thickBot="1" x14ac:dyDescent="0.3">
      <c r="A667" s="96"/>
      <c r="B667" s="124"/>
      <c r="C667" s="140"/>
      <c r="D667" s="123"/>
      <c r="E667" s="123"/>
      <c r="F667" s="123"/>
      <c r="G667" s="123"/>
      <c r="H667" s="123"/>
      <c r="I667" s="123"/>
      <c r="J667" s="119"/>
      <c r="K667" s="119"/>
      <c r="L667" s="99"/>
      <c r="M667" s="99"/>
      <c r="N667" s="99"/>
      <c r="O667" s="99"/>
      <c r="P667" s="97"/>
    </row>
    <row r="668" spans="1:16" ht="16.5" customHeight="1" thickTop="1" thickBot="1" x14ac:dyDescent="0.3">
      <c r="A668" s="96"/>
      <c r="B668" s="124"/>
      <c r="C668" s="140"/>
      <c r="D668" s="123"/>
      <c r="E668" s="123"/>
      <c r="F668" s="123"/>
      <c r="G668" s="123"/>
      <c r="H668" s="123"/>
      <c r="I668" s="123"/>
      <c r="J668" s="119"/>
      <c r="K668" s="119"/>
      <c r="L668" s="99"/>
      <c r="M668" s="99"/>
      <c r="N668" s="99"/>
      <c r="O668" s="99"/>
      <c r="P668" s="97"/>
    </row>
    <row r="669" spans="1:16" ht="16.5" customHeight="1" thickTop="1" thickBot="1" x14ac:dyDescent="0.3">
      <c r="A669" s="96"/>
      <c r="B669" s="124"/>
      <c r="C669" s="140"/>
      <c r="D669" s="123"/>
      <c r="E669" s="123"/>
      <c r="F669" s="123"/>
      <c r="G669" s="123"/>
      <c r="H669" s="123"/>
      <c r="I669" s="123"/>
      <c r="J669" s="119"/>
      <c r="K669" s="119"/>
      <c r="L669" s="99"/>
      <c r="M669" s="99"/>
      <c r="N669" s="99"/>
      <c r="O669" s="99"/>
      <c r="P669" s="97"/>
    </row>
    <row r="670" spans="1:16" ht="15.75" customHeight="1" thickTop="1" x14ac:dyDescent="0.25">
      <c r="A670" s="96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9"/>
      <c r="M670" s="99"/>
      <c r="N670" s="99"/>
      <c r="O670" s="99"/>
      <c r="P670" s="97"/>
    </row>
    <row r="671" spans="1:16" ht="15" customHeight="1" x14ac:dyDescent="0.25">
      <c r="A671" s="96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7"/>
    </row>
    <row r="672" spans="1:16" ht="15.75" customHeight="1" x14ac:dyDescent="0.25">
      <c r="A672" s="104" t="s">
        <v>195</v>
      </c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7"/>
    </row>
    <row r="673" spans="1:16" ht="16.5" customHeight="1" x14ac:dyDescent="0.25">
      <c r="A673" s="125" t="s">
        <v>196</v>
      </c>
      <c r="B673" s="119" t="e">
        <f>SUMPRODUCT(H636:H647,I636:I647)+SUMPRODUCT(G652:G656,H652:H656)+SUMPRODUCT(J660:J669,K660:K669)</f>
        <v>#N/A</v>
      </c>
      <c r="C673" s="119" t="s">
        <v>107</v>
      </c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7"/>
    </row>
    <row r="674" spans="1:16" ht="16.5" customHeight="1" x14ac:dyDescent="0.25">
      <c r="A674" s="125" t="s">
        <v>170</v>
      </c>
      <c r="B674" s="119" t="e">
        <f>B673*(G660-$B$4)</f>
        <v>#N/A</v>
      </c>
      <c r="C674" s="119" t="s">
        <v>172</v>
      </c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7"/>
    </row>
    <row r="675" spans="1:16" ht="15.75" customHeight="1" thickBot="1" x14ac:dyDescent="0.3">
      <c r="A675" s="110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1:16" ht="15.75" customHeight="1" thickTop="1" x14ac:dyDescent="0.25">
      <c r="A676" s="312" t="s">
        <v>197</v>
      </c>
      <c r="B676" s="312"/>
      <c r="C676" s="312"/>
      <c r="D676" s="126" t="s">
        <v>225</v>
      </c>
      <c r="E676" s="289"/>
      <c r="F676" s="289"/>
      <c r="G676" s="289"/>
      <c r="H676" s="289"/>
      <c r="I676" s="289"/>
      <c r="J676" s="289"/>
      <c r="K676" s="289"/>
      <c r="L676" s="289"/>
      <c r="M676" s="289"/>
      <c r="N676" s="289"/>
      <c r="O676" s="289"/>
      <c r="P676" s="95"/>
    </row>
    <row r="677" spans="1:16" ht="15" customHeight="1" x14ac:dyDescent="0.25">
      <c r="A677" s="96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7"/>
    </row>
    <row r="678" spans="1:16" ht="15" customHeight="1" thickBot="1" x14ac:dyDescent="0.3">
      <c r="A678" s="127" t="s">
        <v>198</v>
      </c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7"/>
    </row>
    <row r="679" spans="1:16" ht="15" customHeight="1" thickTop="1" thickBot="1" x14ac:dyDescent="0.3">
      <c r="A679" s="128" t="s">
        <v>199</v>
      </c>
      <c r="B679" s="122">
        <v>8</v>
      </c>
      <c r="C679" s="121" t="s">
        <v>200</v>
      </c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7"/>
    </row>
    <row r="680" spans="1:16" ht="15" customHeight="1" thickTop="1" thickBot="1" x14ac:dyDescent="0.3">
      <c r="A680" s="128" t="s">
        <v>201</v>
      </c>
      <c r="B680" s="122">
        <v>0.03</v>
      </c>
      <c r="C680" s="121" t="s">
        <v>202</v>
      </c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7"/>
    </row>
    <row r="681" spans="1:16" ht="15.75" customHeight="1" thickTop="1" thickBot="1" x14ac:dyDescent="0.3">
      <c r="A681" s="128" t="s">
        <v>203</v>
      </c>
      <c r="B681" s="122">
        <v>1</v>
      </c>
      <c r="C681" s="121" t="s">
        <v>204</v>
      </c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7"/>
    </row>
    <row r="682" spans="1:16" ht="16.5" customHeight="1" thickTop="1" x14ac:dyDescent="0.25">
      <c r="A682" s="125" t="s">
        <v>205</v>
      </c>
      <c r="B682" s="119" t="e">
        <f>2*VLOOKUP(B630,'Gebouwgegevens Allacker'!$A$35:$F$46,6,0)*B679*B680*B681</f>
        <v>#N/A</v>
      </c>
      <c r="C682" s="119" t="s">
        <v>206</v>
      </c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7"/>
    </row>
    <row r="683" spans="1:16" ht="15.75" customHeight="1" x14ac:dyDescent="0.25">
      <c r="A683" s="139"/>
      <c r="B683" s="58"/>
      <c r="C683" s="58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7"/>
    </row>
    <row r="684" spans="1:16" ht="15" customHeight="1" x14ac:dyDescent="0.25">
      <c r="A684" s="147" t="s">
        <v>207</v>
      </c>
      <c r="B684" s="58"/>
      <c r="C684" s="58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7"/>
    </row>
    <row r="685" spans="1:16" ht="15.75" customHeight="1" x14ac:dyDescent="0.25">
      <c r="A685" s="139" t="s">
        <v>183</v>
      </c>
      <c r="B685" s="58" t="e">
        <f>VLOOKUP(B630,'Gebouwgegevens Allacker'!$A$35:$F$46,6,0)</f>
        <v>#N/A</v>
      </c>
      <c r="C685" s="58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7"/>
    </row>
    <row r="686" spans="1:16" ht="16.5" customHeight="1" x14ac:dyDescent="0.25">
      <c r="A686" s="125" t="s">
        <v>208</v>
      </c>
      <c r="B686" s="129">
        <v>50</v>
      </c>
      <c r="C686" s="119" t="s">
        <v>206</v>
      </c>
      <c r="D686" s="148" t="s">
        <v>258</v>
      </c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7"/>
    </row>
    <row r="687" spans="1:16" ht="15.75" customHeight="1" x14ac:dyDescent="0.25">
      <c r="A687" s="139"/>
      <c r="B687" s="58"/>
      <c r="C687" s="58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7"/>
    </row>
    <row r="688" spans="1:16" ht="15.75" customHeight="1" x14ac:dyDescent="0.25">
      <c r="A688" s="139"/>
      <c r="B688" s="58"/>
      <c r="C688" s="58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7"/>
    </row>
    <row r="689" spans="1:16" ht="16.5" customHeight="1" x14ac:dyDescent="0.25">
      <c r="A689" s="125" t="s">
        <v>210</v>
      </c>
      <c r="B689" s="119" t="e">
        <f>MAX(B682,B686)</f>
        <v>#N/A</v>
      </c>
      <c r="C689" s="119" t="s">
        <v>206</v>
      </c>
      <c r="D689" s="99"/>
      <c r="E689" s="99"/>
      <c r="F689" s="119" t="s">
        <v>211</v>
      </c>
      <c r="G689" s="119" t="e">
        <f>B689/VLOOKUP(B630,'Gebouwgegevens Allacker'!$A$35:$B$46,2,0)</f>
        <v>#N/A</v>
      </c>
      <c r="H689" s="99"/>
      <c r="I689" s="99"/>
      <c r="J689" s="99"/>
      <c r="K689" s="99"/>
      <c r="L689" s="99"/>
      <c r="M689" s="99"/>
      <c r="N689" s="99"/>
      <c r="O689" s="99"/>
      <c r="P689" s="97"/>
    </row>
    <row r="690" spans="1:16" ht="16.5" customHeight="1" x14ac:dyDescent="0.25">
      <c r="A690" s="139"/>
      <c r="B690" s="58"/>
      <c r="C690" s="58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7"/>
    </row>
    <row r="691" spans="1:16" ht="16.5" customHeight="1" x14ac:dyDescent="0.25">
      <c r="A691" s="125" t="s">
        <v>212</v>
      </c>
      <c r="B691" s="119" t="e">
        <f>0.34*B689</f>
        <v>#N/A</v>
      </c>
      <c r="C691" s="119" t="s">
        <v>107</v>
      </c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7"/>
    </row>
    <row r="692" spans="1:16" ht="16.5" customHeight="1" x14ac:dyDescent="0.25">
      <c r="A692" s="125" t="s">
        <v>170</v>
      </c>
      <c r="B692" s="119" t="e">
        <f>B691*('Gebouwgegevens Allacker'!E652-$B$4)</f>
        <v>#N/A</v>
      </c>
      <c r="C692" s="119" t="s">
        <v>172</v>
      </c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7"/>
    </row>
    <row r="693" spans="1:16" ht="15.75" customHeight="1" thickBot="1" x14ac:dyDescent="0.3">
      <c r="A693" s="141"/>
      <c r="B693" s="142"/>
      <c r="C693" s="142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2"/>
    </row>
    <row r="694" spans="1:16" ht="15.75" customHeight="1" thickTop="1" x14ac:dyDescent="0.25">
      <c r="A694" s="312" t="s">
        <v>213</v>
      </c>
      <c r="B694" s="312"/>
      <c r="C694" s="312"/>
      <c r="D694" s="312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7"/>
    </row>
    <row r="695" spans="1:16" ht="15" customHeight="1" thickBot="1" x14ac:dyDescent="0.3">
      <c r="A695" s="96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7"/>
    </row>
    <row r="696" spans="1:16" ht="15" customHeight="1" thickTop="1" thickBot="1" x14ac:dyDescent="0.3">
      <c r="A696" s="128" t="s">
        <v>214</v>
      </c>
      <c r="B696" s="122">
        <v>0</v>
      </c>
      <c r="C696" s="58" t="s">
        <v>235</v>
      </c>
      <c r="D696" s="58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7"/>
    </row>
    <row r="697" spans="1:16" ht="15.75" customHeight="1" thickTop="1" x14ac:dyDescent="0.25">
      <c r="A697" s="153" t="s">
        <v>113</v>
      </c>
      <c r="B697" s="58" t="e">
        <f>VLOOKUP(B630,'Gebouwgegevens Allacker'!$A$35:$F$46,6,0)</f>
        <v>#N/A</v>
      </c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7"/>
    </row>
    <row r="698" spans="1:16" ht="16.5" customHeight="1" x14ac:dyDescent="0.25">
      <c r="A698" s="125" t="s">
        <v>216</v>
      </c>
      <c r="B698" s="119" t="e">
        <f>B699/('Gebouwgegevens Allacker'!E652-'Verwarming Tabula 2zone RefULG2'!$B$4)</f>
        <v>#N/A</v>
      </c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7"/>
    </row>
    <row r="699" spans="1:16" ht="16.5" customHeight="1" x14ac:dyDescent="0.25">
      <c r="A699" s="125" t="s">
        <v>170</v>
      </c>
      <c r="B699" s="119" t="e">
        <f>B696*B697</f>
        <v>#N/A</v>
      </c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7"/>
    </row>
    <row r="700" spans="1:16" ht="15.75" customHeight="1" x14ac:dyDescent="0.25">
      <c r="A700" s="96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7"/>
    </row>
    <row r="701" spans="1:16" ht="15.75" customHeight="1" thickBot="1" x14ac:dyDescent="0.3">
      <c r="A701" s="96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7"/>
    </row>
    <row r="702" spans="1:16" ht="15.75" customHeight="1" thickTop="1" thickBot="1" x14ac:dyDescent="0.3">
      <c r="A702" s="130" t="s">
        <v>217</v>
      </c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2"/>
    </row>
    <row r="703" spans="1:16" ht="16.5" customHeight="1" thickTop="1" x14ac:dyDescent="0.25">
      <c r="A703" s="125" t="s">
        <v>218</v>
      </c>
      <c r="B703" s="119" t="e">
        <f>SUM(B673,B691,B698)</f>
        <v>#N/A</v>
      </c>
      <c r="C703" s="119" t="s">
        <v>107</v>
      </c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4"/>
    </row>
    <row r="704" spans="1:16" ht="16.5" customHeight="1" x14ac:dyDescent="0.25">
      <c r="A704" s="125" t="s">
        <v>170</v>
      </c>
      <c r="B704" s="119" t="e">
        <f>SUM(B674,B692,B699)</f>
        <v>#N/A</v>
      </c>
      <c r="C704" s="119" t="s">
        <v>172</v>
      </c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4"/>
    </row>
    <row r="705" spans="1:16" ht="16.5" customHeight="1" thickBot="1" x14ac:dyDescent="0.3">
      <c r="A705" s="135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7"/>
    </row>
    <row r="706" spans="1:16" ht="15" customHeight="1" thickTop="1" x14ac:dyDescent="0.2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</row>
    <row r="707" spans="1:16" ht="15.75" customHeight="1" thickBot="1" x14ac:dyDescent="0.3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</row>
    <row r="708" spans="1:16" ht="15" customHeight="1" thickTop="1" thickBot="1" x14ac:dyDescent="0.3">
      <c r="A708" s="94"/>
      <c r="B708" s="289"/>
      <c r="C708" s="289"/>
      <c r="D708" s="289"/>
      <c r="E708" s="289"/>
      <c r="F708" s="289"/>
      <c r="G708" s="289"/>
      <c r="H708" s="289"/>
      <c r="I708" s="289"/>
      <c r="J708" s="289"/>
      <c r="K708" s="289"/>
      <c r="L708" s="289"/>
      <c r="M708" s="289"/>
      <c r="N708" s="289"/>
      <c r="O708" s="289"/>
      <c r="P708" s="95"/>
    </row>
    <row r="709" spans="1:16" ht="17.25" customHeight="1" thickTop="1" thickBot="1" x14ac:dyDescent="0.35">
      <c r="A709" s="98" t="s">
        <v>169</v>
      </c>
      <c r="B709" s="93">
        <v>10</v>
      </c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7"/>
    </row>
    <row r="710" spans="1:16" ht="15.75" customHeight="1" thickTop="1" x14ac:dyDescent="0.25">
      <c r="A710" s="312" t="s">
        <v>171</v>
      </c>
      <c r="B710" s="312"/>
      <c r="C710" s="312"/>
      <c r="D710" s="312"/>
      <c r="E710" s="289"/>
      <c r="F710" s="289"/>
      <c r="G710" s="289"/>
      <c r="H710" s="289"/>
      <c r="I710" s="289"/>
      <c r="J710" s="289"/>
      <c r="K710" s="289"/>
      <c r="L710" s="289"/>
      <c r="M710" s="289"/>
      <c r="N710" s="289"/>
      <c r="O710" s="289"/>
      <c r="P710" s="95"/>
    </row>
    <row r="711" spans="1:16" ht="15" customHeight="1" x14ac:dyDescent="0.25">
      <c r="A711" s="96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7"/>
    </row>
    <row r="712" spans="1:16" ht="15" customHeight="1" x14ac:dyDescent="0.25">
      <c r="A712" s="104" t="s">
        <v>173</v>
      </c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7"/>
    </row>
    <row r="713" spans="1:16" ht="15" customHeight="1" x14ac:dyDescent="0.25">
      <c r="A713" s="96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7"/>
    </row>
    <row r="714" spans="1:16" ht="15.75" customHeight="1" thickBot="1" x14ac:dyDescent="0.3">
      <c r="A714" s="96"/>
      <c r="B714" s="105" t="s">
        <v>10</v>
      </c>
      <c r="C714" s="105" t="s">
        <v>174</v>
      </c>
      <c r="D714" s="105" t="s">
        <v>175</v>
      </c>
      <c r="E714" s="105" t="s">
        <v>176</v>
      </c>
      <c r="F714" s="105" t="s">
        <v>177</v>
      </c>
      <c r="G714" s="105" t="s">
        <v>16</v>
      </c>
      <c r="H714" s="106" t="s">
        <v>17</v>
      </c>
      <c r="I714" s="106" t="s">
        <v>178</v>
      </c>
      <c r="J714" s="99"/>
      <c r="K714" s="99"/>
      <c r="L714" s="99"/>
      <c r="M714" s="99"/>
      <c r="N714" s="99"/>
      <c r="O714" s="99"/>
      <c r="P714" s="97"/>
    </row>
    <row r="715" spans="1:16" ht="16.5" customHeight="1" thickTop="1" thickBot="1" x14ac:dyDescent="0.3">
      <c r="A715" s="96"/>
      <c r="B715" s="107" t="s">
        <v>259</v>
      </c>
      <c r="C715" s="108" t="e">
        <f>VLOOKUP(B715,'Gebouwgegevens Allacker'!$J$5:$Q$83,3,0)</f>
        <v>#N/A</v>
      </c>
      <c r="D715" s="108" t="e">
        <f>VLOOKUP(B715,'Gebouwgegevens Allacker'!$J$5:$Q$83,4,0)</f>
        <v>#N/A</v>
      </c>
      <c r="E715" s="108" t="e">
        <f>VLOOKUP(B715,'Gebouwgegevens Allacker'!$J$5:$Q$83,5,0)</f>
        <v>#N/A</v>
      </c>
      <c r="F715" s="108" t="e">
        <f>VLOOKUP(B715,'Gebouwgegevens Allacker'!$J$5:$Q$83,6,0)</f>
        <v>#N/A</v>
      </c>
      <c r="G715" s="108" t="e">
        <f>VLOOKUP(B715,'Gebouwgegevens Allacker'!$J$5:$Q$83,7,0)</f>
        <v>#N/A</v>
      </c>
      <c r="H715" s="109" t="e">
        <f>VLOOKUP(B715,'Gebouwgegevens Allacker'!$J$5:$Q$83,8,0)</f>
        <v>#N/A</v>
      </c>
      <c r="I715" s="109">
        <v>1</v>
      </c>
      <c r="J715" s="99"/>
      <c r="K715" s="99"/>
      <c r="L715" s="99"/>
      <c r="M715" s="99"/>
      <c r="N715" s="99"/>
      <c r="O715" s="99"/>
      <c r="P715" s="97"/>
    </row>
    <row r="716" spans="1:16" ht="16.5" customHeight="1" thickTop="1" thickBot="1" x14ac:dyDescent="0.3">
      <c r="A716" s="96"/>
      <c r="B716" s="107" t="s">
        <v>260</v>
      </c>
      <c r="C716" s="108" t="e">
        <f>VLOOKUP(B716,'Gebouwgegevens Allacker'!$J$5:$Q$83,3,0)</f>
        <v>#N/A</v>
      </c>
      <c r="D716" s="108" t="e">
        <f>VLOOKUP(B716,'Gebouwgegevens Allacker'!$J$5:$Q$83,4,0)</f>
        <v>#N/A</v>
      </c>
      <c r="E716" s="108" t="e">
        <f>VLOOKUP(B716,'Gebouwgegevens Allacker'!$J$5:$Q$83,5,0)</f>
        <v>#N/A</v>
      </c>
      <c r="F716" s="108" t="e">
        <f>VLOOKUP(B716,'Gebouwgegevens Allacker'!$J$5:$Q$83,6,0)</f>
        <v>#N/A</v>
      </c>
      <c r="G716" s="108" t="e">
        <f>VLOOKUP(B716,'Gebouwgegevens Allacker'!$J$5:$Q$83,7,0)</f>
        <v>#N/A</v>
      </c>
      <c r="H716" s="109" t="e">
        <f>VLOOKUP(B716,'Gebouwgegevens Allacker'!$J$5:$Q$83,8,0)</f>
        <v>#N/A</v>
      </c>
      <c r="I716" s="109">
        <v>1</v>
      </c>
      <c r="J716" s="99"/>
      <c r="K716" s="99"/>
      <c r="L716" s="99"/>
      <c r="M716" s="99"/>
      <c r="N716" s="99"/>
      <c r="O716" s="99"/>
      <c r="P716" s="97"/>
    </row>
    <row r="717" spans="1:16" ht="16.5" customHeight="1" thickTop="1" thickBot="1" x14ac:dyDescent="0.3">
      <c r="A717" s="96"/>
      <c r="B717" s="107" t="s">
        <v>261</v>
      </c>
      <c r="C717" s="108" t="e">
        <f>VLOOKUP(B717,'Gebouwgegevens Allacker'!$J$5:$Q$83,3,0)</f>
        <v>#N/A</v>
      </c>
      <c r="D717" s="108" t="e">
        <f>VLOOKUP(B717,'Gebouwgegevens Allacker'!$J$5:$Q$83,4,0)</f>
        <v>#N/A</v>
      </c>
      <c r="E717" s="108" t="e">
        <f>VLOOKUP(B717,'Gebouwgegevens Allacker'!$J$5:$Q$83,5,0)</f>
        <v>#N/A</v>
      </c>
      <c r="F717" s="108" t="e">
        <f>VLOOKUP(B717,'Gebouwgegevens Allacker'!$J$5:$Q$83,6,0)</f>
        <v>#N/A</v>
      </c>
      <c r="G717" s="108" t="e">
        <f>VLOOKUP(B717,'Gebouwgegevens Allacker'!$J$5:$Q$83,7,0)</f>
        <v>#N/A</v>
      </c>
      <c r="H717" s="109" t="e">
        <f>VLOOKUP(B717,'Gebouwgegevens Allacker'!$J$5:$Q$83,8,0)</f>
        <v>#N/A</v>
      </c>
      <c r="I717" s="109">
        <v>1</v>
      </c>
      <c r="J717" s="99"/>
      <c r="K717" s="99"/>
      <c r="L717" s="99"/>
      <c r="M717" s="99"/>
      <c r="N717" s="99"/>
      <c r="O717" s="99"/>
      <c r="P717" s="97"/>
    </row>
    <row r="718" spans="1:16" ht="16.5" customHeight="1" thickTop="1" thickBot="1" x14ac:dyDescent="0.3">
      <c r="A718" s="96"/>
      <c r="B718" s="107"/>
      <c r="C718" s="108"/>
      <c r="D718" s="108"/>
      <c r="E718" s="108"/>
      <c r="F718" s="108"/>
      <c r="G718" s="108"/>
      <c r="H718" s="109"/>
      <c r="I718" s="109"/>
      <c r="J718" s="99"/>
      <c r="K718" s="99"/>
      <c r="L718" s="99"/>
      <c r="M718" s="99"/>
      <c r="N718" s="99"/>
      <c r="O718" s="99"/>
      <c r="P718" s="97"/>
    </row>
    <row r="719" spans="1:16" ht="16.5" customHeight="1" thickTop="1" thickBot="1" x14ac:dyDescent="0.3">
      <c r="A719" s="96"/>
      <c r="B719" s="107"/>
      <c r="C719" s="108"/>
      <c r="D719" s="108"/>
      <c r="E719" s="108"/>
      <c r="F719" s="108"/>
      <c r="G719" s="108"/>
      <c r="H719" s="109"/>
      <c r="I719" s="109"/>
      <c r="J719" s="99"/>
      <c r="K719" s="99"/>
      <c r="L719" s="99"/>
      <c r="M719" s="99"/>
      <c r="N719" s="99"/>
      <c r="O719" s="99"/>
      <c r="P719" s="97"/>
    </row>
    <row r="720" spans="1:16" ht="16.5" customHeight="1" thickTop="1" thickBot="1" x14ac:dyDescent="0.3">
      <c r="A720" s="96"/>
      <c r="B720" s="107"/>
      <c r="C720" s="108"/>
      <c r="D720" s="108"/>
      <c r="E720" s="108"/>
      <c r="F720" s="108"/>
      <c r="G720" s="108"/>
      <c r="H720" s="109"/>
      <c r="I720" s="109"/>
      <c r="J720" s="99"/>
      <c r="K720" s="99"/>
      <c r="L720" s="99"/>
      <c r="M720" s="99"/>
      <c r="N720" s="99"/>
      <c r="O720" s="99"/>
      <c r="P720" s="97"/>
    </row>
    <row r="721" spans="1:16" ht="16.5" customHeight="1" thickTop="1" thickBot="1" x14ac:dyDescent="0.3">
      <c r="A721" s="96"/>
      <c r="B721" s="107"/>
      <c r="C721" s="108"/>
      <c r="D721" s="108"/>
      <c r="E721" s="108"/>
      <c r="F721" s="108"/>
      <c r="G721" s="108"/>
      <c r="H721" s="109"/>
      <c r="I721" s="109"/>
      <c r="J721" s="99"/>
      <c r="K721" s="99"/>
      <c r="L721" s="99"/>
      <c r="M721" s="99"/>
      <c r="N721" s="99"/>
      <c r="O721" s="99"/>
      <c r="P721" s="97"/>
    </row>
    <row r="722" spans="1:16" ht="16.5" customHeight="1" thickTop="1" thickBot="1" x14ac:dyDescent="0.3">
      <c r="A722" s="96"/>
      <c r="B722" s="107"/>
      <c r="C722" s="108"/>
      <c r="D722" s="108"/>
      <c r="E722" s="108"/>
      <c r="F722" s="108"/>
      <c r="G722" s="108"/>
      <c r="H722" s="109"/>
      <c r="I722" s="109"/>
      <c r="J722" s="99"/>
      <c r="K722" s="99"/>
      <c r="L722" s="99"/>
      <c r="M722" s="99"/>
      <c r="N722" s="99"/>
      <c r="O722" s="99"/>
      <c r="P722" s="97"/>
    </row>
    <row r="723" spans="1:16" ht="16.5" customHeight="1" thickTop="1" thickBot="1" x14ac:dyDescent="0.3">
      <c r="A723" s="96"/>
      <c r="B723" s="107"/>
      <c r="C723" s="108"/>
      <c r="D723" s="108"/>
      <c r="E723" s="108"/>
      <c r="F723" s="108"/>
      <c r="G723" s="108"/>
      <c r="H723" s="109"/>
      <c r="I723" s="109"/>
      <c r="J723" s="99"/>
      <c r="K723" s="99"/>
      <c r="L723" s="99"/>
      <c r="M723" s="99"/>
      <c r="N723" s="99"/>
      <c r="O723" s="99"/>
      <c r="P723" s="97"/>
    </row>
    <row r="724" spans="1:16" ht="16.5" customHeight="1" thickTop="1" thickBot="1" x14ac:dyDescent="0.3">
      <c r="A724" s="96"/>
      <c r="B724" s="107"/>
      <c r="C724" s="108"/>
      <c r="D724" s="108"/>
      <c r="E724" s="108"/>
      <c r="F724" s="108"/>
      <c r="G724" s="108"/>
      <c r="H724" s="109"/>
      <c r="I724" s="109"/>
      <c r="J724" s="99"/>
      <c r="K724" s="99"/>
      <c r="L724" s="99"/>
      <c r="M724" s="99"/>
      <c r="N724" s="99"/>
      <c r="O724" s="99"/>
      <c r="P724" s="97"/>
    </row>
    <row r="725" spans="1:16" ht="16.5" customHeight="1" thickTop="1" thickBot="1" x14ac:dyDescent="0.3">
      <c r="A725" s="96"/>
      <c r="B725" s="107"/>
      <c r="C725" s="108"/>
      <c r="D725" s="108"/>
      <c r="E725" s="108"/>
      <c r="F725" s="108"/>
      <c r="G725" s="108"/>
      <c r="H725" s="109"/>
      <c r="I725" s="109"/>
      <c r="J725" s="99"/>
      <c r="K725" s="99"/>
      <c r="L725" s="99"/>
      <c r="M725" s="99"/>
      <c r="N725" s="99"/>
      <c r="O725" s="99"/>
      <c r="P725" s="97"/>
    </row>
    <row r="726" spans="1:16" ht="16.5" customHeight="1" thickTop="1" thickBot="1" x14ac:dyDescent="0.3">
      <c r="A726" s="96"/>
      <c r="B726" s="107"/>
      <c r="C726" s="108"/>
      <c r="D726" s="108"/>
      <c r="E726" s="108"/>
      <c r="F726" s="108"/>
      <c r="G726" s="108"/>
      <c r="H726" s="109"/>
      <c r="I726" s="109"/>
      <c r="J726" s="99"/>
      <c r="K726" s="99"/>
      <c r="L726" s="99"/>
      <c r="M726" s="99"/>
      <c r="N726" s="99"/>
      <c r="O726" s="99"/>
      <c r="P726" s="97"/>
    </row>
    <row r="727" spans="1:16" ht="15.75" customHeight="1" thickTop="1" x14ac:dyDescent="0.25">
      <c r="A727" s="96"/>
      <c r="B727" s="58"/>
      <c r="C727" s="58"/>
      <c r="D727" s="58"/>
      <c r="E727" s="58"/>
      <c r="F727" s="58"/>
      <c r="G727" s="115"/>
      <c r="H727" s="58"/>
      <c r="I727" s="58"/>
      <c r="J727" s="99"/>
      <c r="K727" s="99"/>
      <c r="L727" s="99"/>
      <c r="M727" s="99"/>
      <c r="N727" s="99"/>
      <c r="O727" s="99"/>
      <c r="P727" s="97"/>
    </row>
    <row r="728" spans="1:16" ht="15" customHeight="1" x14ac:dyDescent="0.25">
      <c r="A728" s="96"/>
      <c r="B728" s="99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7"/>
    </row>
    <row r="729" spans="1:16" ht="15" customHeight="1" x14ac:dyDescent="0.25">
      <c r="A729" s="104" t="s">
        <v>180</v>
      </c>
      <c r="B729" s="99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7"/>
    </row>
    <row r="730" spans="1:16" ht="15.75" customHeight="1" x14ac:dyDescent="0.25">
      <c r="A730" s="96"/>
      <c r="B730" s="58" t="s">
        <v>10</v>
      </c>
      <c r="C730" s="58" t="s">
        <v>181</v>
      </c>
      <c r="D730" s="58" t="s">
        <v>175</v>
      </c>
      <c r="E730" s="58" t="s">
        <v>182</v>
      </c>
      <c r="F730" s="58" t="s">
        <v>16</v>
      </c>
      <c r="G730" s="115" t="s">
        <v>17</v>
      </c>
      <c r="H730" s="115" t="s">
        <v>178</v>
      </c>
      <c r="I730" s="58" t="s">
        <v>183</v>
      </c>
      <c r="J730" s="58" t="s">
        <v>184</v>
      </c>
      <c r="K730" s="58" t="s">
        <v>185</v>
      </c>
      <c r="L730" s="116" t="s">
        <v>186</v>
      </c>
      <c r="M730" s="116" t="s">
        <v>187</v>
      </c>
      <c r="N730" s="116" t="s">
        <v>188</v>
      </c>
      <c r="O730" s="99"/>
      <c r="P730" s="97"/>
    </row>
    <row r="731" spans="1:16" ht="16.5" customHeight="1" thickBot="1" x14ac:dyDescent="0.3">
      <c r="A731" s="96"/>
      <c r="B731" s="117" t="s">
        <v>262</v>
      </c>
      <c r="C731" s="118" t="e">
        <f>VLOOKUP(B731,'Gebouwgegevens Allacker'!$J$5:$Q$83,3,0)</f>
        <v>#N/A</v>
      </c>
      <c r="D731" s="118" t="e">
        <f>VLOOKUP(B731,'Gebouwgegevens Allacker'!$J$5:$Q$83,4,0)</f>
        <v>#N/A</v>
      </c>
      <c r="E731" s="118" t="e">
        <f>VLOOKUP(B731,'Gebouwgegevens Allacker'!$J$5:$Q$83,5,0)</f>
        <v>#N/A</v>
      </c>
      <c r="F731" s="118" t="e">
        <f>VLOOKUP(B731,'Gebouwgegevens Allacker'!$J$5:$Q$83,7,0)</f>
        <v>#N/A</v>
      </c>
      <c r="G731" s="119" t="e">
        <f>VLOOKUP(B731,'Gebouwgegevens Allacker'!$J$5:$Q$83,8,0)</f>
        <v>#N/A</v>
      </c>
      <c r="H731" s="119" t="e">
        <f>N731/F731</f>
        <v>#N/A</v>
      </c>
      <c r="I731" s="118" t="e">
        <f>VLOOKUP(C731,'Gebouwgegevens Allacker'!$A$35:$F$46,6,0)</f>
        <v>#N/A</v>
      </c>
      <c r="J731" s="117">
        <v>4.68</v>
      </c>
      <c r="K731" s="117">
        <v>0.33</v>
      </c>
      <c r="L731" s="120" t="e">
        <f>I731/(0.5*J731)</f>
        <v>#N/A</v>
      </c>
      <c r="M731" s="120" t="e">
        <f>K731+2*(1/F731)</f>
        <v>#N/A</v>
      </c>
      <c r="N731" s="121" t="e">
        <f>IF(M731&lt;L731,2*2/(PI()*L731+M731)*LN(PI()*L731/M731+1),2/(0.457*L731+M731))</f>
        <v>#N/A</v>
      </c>
      <c r="O731" s="99"/>
      <c r="P731" s="97"/>
    </row>
    <row r="732" spans="1:16" ht="16.5" customHeight="1" thickTop="1" thickBot="1" x14ac:dyDescent="0.3">
      <c r="A732" s="96"/>
      <c r="B732" s="117"/>
      <c r="C732" s="118"/>
      <c r="D732" s="118"/>
      <c r="E732" s="118"/>
      <c r="F732" s="118"/>
      <c r="G732" s="119"/>
      <c r="H732" s="119"/>
      <c r="I732" s="118"/>
      <c r="J732" s="117"/>
      <c r="K732" s="117"/>
      <c r="L732" s="120"/>
      <c r="M732" s="120"/>
      <c r="N732" s="121"/>
      <c r="O732" s="99"/>
      <c r="P732" s="97"/>
    </row>
    <row r="733" spans="1:16" ht="16.5" customHeight="1" thickTop="1" thickBot="1" x14ac:dyDescent="0.3">
      <c r="A733" s="96"/>
      <c r="B733" s="117"/>
      <c r="C733" s="118"/>
      <c r="D733" s="118"/>
      <c r="E733" s="118"/>
      <c r="F733" s="118"/>
      <c r="G733" s="119"/>
      <c r="H733" s="119"/>
      <c r="I733" s="118"/>
      <c r="J733" s="117"/>
      <c r="K733" s="117"/>
      <c r="L733" s="120"/>
      <c r="M733" s="120"/>
      <c r="N733" s="121"/>
      <c r="O733" s="99"/>
      <c r="P733" s="97"/>
    </row>
    <row r="734" spans="1:16" ht="16.5" customHeight="1" thickTop="1" thickBot="1" x14ac:dyDescent="0.3">
      <c r="A734" s="96"/>
      <c r="B734" s="117"/>
      <c r="C734" s="118"/>
      <c r="D734" s="118"/>
      <c r="E734" s="118"/>
      <c r="F734" s="118"/>
      <c r="G734" s="119"/>
      <c r="H734" s="119"/>
      <c r="I734" s="118"/>
      <c r="J734" s="117"/>
      <c r="K734" s="117"/>
      <c r="L734" s="120"/>
      <c r="M734" s="120"/>
      <c r="N734" s="121"/>
      <c r="O734" s="99"/>
      <c r="P734" s="97"/>
    </row>
    <row r="735" spans="1:16" ht="16.5" customHeight="1" thickTop="1" thickBot="1" x14ac:dyDescent="0.3">
      <c r="A735" s="139"/>
      <c r="B735" s="117"/>
      <c r="C735" s="118"/>
      <c r="D735" s="118"/>
      <c r="E735" s="118"/>
      <c r="F735" s="118"/>
      <c r="G735" s="119"/>
      <c r="H735" s="119"/>
      <c r="I735" s="118"/>
      <c r="J735" s="117"/>
      <c r="K735" s="117"/>
      <c r="L735" s="120"/>
      <c r="M735" s="120"/>
      <c r="N735" s="121"/>
      <c r="O735" s="99"/>
      <c r="P735" s="97"/>
    </row>
    <row r="736" spans="1:16" ht="15.75" customHeight="1" thickTop="1" x14ac:dyDescent="0.25">
      <c r="A736" s="96"/>
      <c r="B736" s="99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7"/>
    </row>
    <row r="737" spans="1:16" ht="15" customHeight="1" x14ac:dyDescent="0.25">
      <c r="A737" s="104" t="s">
        <v>189</v>
      </c>
      <c r="B737" s="99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7"/>
    </row>
    <row r="738" spans="1:16" ht="15.75" customHeight="1" thickBot="1" x14ac:dyDescent="0.3">
      <c r="A738" s="96"/>
      <c r="B738" s="58" t="s">
        <v>10</v>
      </c>
      <c r="C738" s="58" t="s">
        <v>190</v>
      </c>
      <c r="D738" s="58" t="s">
        <v>191</v>
      </c>
      <c r="E738" s="58" t="s">
        <v>135</v>
      </c>
      <c r="F738" s="58" t="s">
        <v>192</v>
      </c>
      <c r="G738" s="58" t="s">
        <v>193</v>
      </c>
      <c r="H738" s="58" t="s">
        <v>194</v>
      </c>
      <c r="I738" s="58" t="s">
        <v>16</v>
      </c>
      <c r="J738" s="115" t="s">
        <v>17</v>
      </c>
      <c r="K738" s="115" t="s">
        <v>178</v>
      </c>
      <c r="L738" s="99"/>
      <c r="M738" s="99"/>
      <c r="N738" s="99"/>
      <c r="O738" s="99"/>
      <c r="P738" s="97"/>
    </row>
    <row r="739" spans="1:16" ht="16.5" customHeight="1" thickTop="1" thickBot="1" x14ac:dyDescent="0.3">
      <c r="A739" s="96"/>
      <c r="B739" s="117" t="s">
        <v>263</v>
      </c>
      <c r="C739" s="123" t="e">
        <f>IF(VLOOKUP(B739,'Gebouwgegevens Allacker'!$J$5:$Q$83,2,0)=$B$709,VLOOKUP(B739,'Gebouwgegevens Allacker'!$J$5:$Q$83,2,0),VLOOKUP(B739,'Gebouwgegevens Allacker'!$J$5:$Q$83,3,0))</f>
        <v>#N/A</v>
      </c>
      <c r="D739" s="123" t="e">
        <f>IF(VLOOKUP(B739,'Gebouwgegevens Allacker'!$J$5:$Q$83,2,0)=$B$709,VLOOKUP(B739,'Gebouwgegevens Allacker'!$J$5:$Q$83,3,0),VLOOKUP(B739,'Gebouwgegevens Allacker'!$J$5:$Q$83,2,0))</f>
        <v>#N/A</v>
      </c>
      <c r="E739" s="123" t="e">
        <f>VLOOKUP(B739,'Gebouwgegevens Allacker'!$J$5:$Q$83,4,0)</f>
        <v>#N/A</v>
      </c>
      <c r="F739" s="123" t="e">
        <f>VLOOKUP(B739,'Gebouwgegevens Allacker'!$J$5:$Q$83,5,0)</f>
        <v>#N/A</v>
      </c>
      <c r="G739" s="123" t="e">
        <f>VLOOKUP('Verwarming Tabula 2zone RefULG2'!C739,'Gebouwgegevens Allacker'!$A$35:$F$46,5,0)</f>
        <v>#N/A</v>
      </c>
      <c r="H739" s="123" t="e">
        <f>VLOOKUP('Verwarming Tabula 2zone RefULG2'!D739,'Gebouwgegevens Allacker'!$A$35:$F$46,5,0)</f>
        <v>#N/A</v>
      </c>
      <c r="I739" s="123" t="e">
        <f>VLOOKUP(B739,'Gebouwgegevens Allacker'!$J$5:$Q$83,7,0)</f>
        <v>#N/A</v>
      </c>
      <c r="J739" s="119" t="e">
        <f>VLOOKUP(B739,'Gebouwgegevens Allacker'!$J$5:$Q$83,8,0)</f>
        <v>#N/A</v>
      </c>
      <c r="K739" s="119" t="e">
        <f t="shared" ref="K739:K750" si="0">(G739-H739)/(G739-$B$4)</f>
        <v>#N/A</v>
      </c>
      <c r="L739" s="99"/>
      <c r="M739" s="99"/>
      <c r="N739" s="99"/>
      <c r="O739" s="99"/>
      <c r="P739" s="97"/>
    </row>
    <row r="740" spans="1:16" ht="16.5" customHeight="1" thickTop="1" thickBot="1" x14ac:dyDescent="0.3">
      <c r="A740" s="96"/>
      <c r="B740" s="117" t="s">
        <v>223</v>
      </c>
      <c r="C740" s="123" t="e">
        <f>IF(VLOOKUP(B740,'Gebouwgegevens Allacker'!$J$5:$Q$83,2,0)=$B$709,VLOOKUP(B740,'Gebouwgegevens Allacker'!$J$5:$Q$83,2,0),VLOOKUP(B740,'Gebouwgegevens Allacker'!$J$5:$Q$83,3,0))</f>
        <v>#N/A</v>
      </c>
      <c r="D740" s="123" t="e">
        <f>IF(VLOOKUP(B740,'Gebouwgegevens Allacker'!$J$5:$Q$83,2,0)=$B$709,VLOOKUP(B740,'Gebouwgegevens Allacker'!$J$5:$Q$83,3,0),VLOOKUP(B740,'Gebouwgegevens Allacker'!$J$5:$Q$83,2,0))</f>
        <v>#N/A</v>
      </c>
      <c r="E740" s="123" t="e">
        <f>VLOOKUP(B740,'Gebouwgegevens Allacker'!$J$5:$Q$83,4,0)</f>
        <v>#N/A</v>
      </c>
      <c r="F740" s="123" t="e">
        <f>VLOOKUP(B740,'Gebouwgegevens Allacker'!$J$5:$Q$83,5,0)</f>
        <v>#N/A</v>
      </c>
      <c r="G740" s="123" t="e">
        <f>VLOOKUP('Verwarming Tabula 2zone RefULG2'!C740,'Gebouwgegevens Allacker'!$A$35:$F$46,5,0)</f>
        <v>#N/A</v>
      </c>
      <c r="H740" s="123" t="e">
        <f>VLOOKUP('Verwarming Tabula 2zone RefULG2'!D740,'Gebouwgegevens Allacker'!$A$35:$F$46,5,0)</f>
        <v>#N/A</v>
      </c>
      <c r="I740" s="123" t="e">
        <f>VLOOKUP(B740,'Gebouwgegevens Allacker'!$J$5:$Q$83,7,0)</f>
        <v>#N/A</v>
      </c>
      <c r="J740" s="119" t="e">
        <f>VLOOKUP(B740,'Gebouwgegevens Allacker'!$J$5:$Q$83,8,0)</f>
        <v>#N/A</v>
      </c>
      <c r="K740" s="119" t="e">
        <f t="shared" si="0"/>
        <v>#N/A</v>
      </c>
      <c r="L740" s="99"/>
      <c r="M740" s="99"/>
      <c r="N740" s="99"/>
      <c r="O740" s="99"/>
      <c r="P740" s="97"/>
    </row>
    <row r="741" spans="1:16" ht="16.5" customHeight="1" thickTop="1" thickBot="1" x14ac:dyDescent="0.3">
      <c r="A741" s="96"/>
      <c r="B741" s="117" t="s">
        <v>228</v>
      </c>
      <c r="C741" s="123" t="e">
        <f>IF(VLOOKUP(B741,'Gebouwgegevens Allacker'!$J$5:$Q$83,2,0)=$B$709,VLOOKUP(B741,'Gebouwgegevens Allacker'!$J$5:$Q$83,2,0),VLOOKUP(B741,'Gebouwgegevens Allacker'!$J$5:$Q$83,3,0))</f>
        <v>#N/A</v>
      </c>
      <c r="D741" s="123" t="e">
        <f>IF(VLOOKUP(B741,'Gebouwgegevens Allacker'!$J$5:$Q$83,2,0)=$B$709,VLOOKUP(B741,'Gebouwgegevens Allacker'!$J$5:$Q$83,3,0),VLOOKUP(B741,'Gebouwgegevens Allacker'!$J$5:$Q$83,2,0))</f>
        <v>#N/A</v>
      </c>
      <c r="E741" s="123" t="e">
        <f>VLOOKUP(B741,'Gebouwgegevens Allacker'!$J$5:$Q$83,4,0)</f>
        <v>#N/A</v>
      </c>
      <c r="F741" s="123" t="e">
        <f>VLOOKUP(B741,'Gebouwgegevens Allacker'!$J$5:$Q$83,5,0)</f>
        <v>#N/A</v>
      </c>
      <c r="G741" s="123" t="e">
        <f>VLOOKUP('Verwarming Tabula 2zone RefULG2'!C741,'Gebouwgegevens Allacker'!$A$35:$F$46,5,0)</f>
        <v>#N/A</v>
      </c>
      <c r="H741" s="123" t="e">
        <f>VLOOKUP('Verwarming Tabula 2zone RefULG2'!D741,'Gebouwgegevens Allacker'!$A$35:$F$46,5,0)</f>
        <v>#N/A</v>
      </c>
      <c r="I741" s="123" t="e">
        <f>VLOOKUP(B741,'Gebouwgegevens Allacker'!$J$5:$Q$83,7,0)</f>
        <v>#N/A</v>
      </c>
      <c r="J741" s="119" t="e">
        <f>VLOOKUP(B741,'Gebouwgegevens Allacker'!$J$5:$Q$83,8,0)</f>
        <v>#N/A</v>
      </c>
      <c r="K741" s="119" t="e">
        <f t="shared" si="0"/>
        <v>#N/A</v>
      </c>
      <c r="L741" s="99"/>
      <c r="M741" s="99"/>
      <c r="N741" s="99"/>
      <c r="O741" s="99"/>
      <c r="P741" s="97"/>
    </row>
    <row r="742" spans="1:16" ht="16.5" customHeight="1" thickTop="1" thickBot="1" x14ac:dyDescent="0.3">
      <c r="A742" s="96"/>
      <c r="B742" s="117" t="s">
        <v>232</v>
      </c>
      <c r="C742" s="123" t="e">
        <f>IF(VLOOKUP(B742,'Gebouwgegevens Allacker'!$J$5:$Q$83,2,0)=$B$709,VLOOKUP(B742,'Gebouwgegevens Allacker'!$J$5:$Q$83,2,0),VLOOKUP(B742,'Gebouwgegevens Allacker'!$J$5:$Q$83,3,0))</f>
        <v>#N/A</v>
      </c>
      <c r="D742" s="123" t="e">
        <f>IF(VLOOKUP(B742,'Gebouwgegevens Allacker'!$J$5:$Q$83,2,0)=$B$709,VLOOKUP(B742,'Gebouwgegevens Allacker'!$J$5:$Q$83,3,0),VLOOKUP(B742,'Gebouwgegevens Allacker'!$J$5:$Q$83,2,0))</f>
        <v>#N/A</v>
      </c>
      <c r="E742" s="123" t="e">
        <f>VLOOKUP(B742,'Gebouwgegevens Allacker'!$J$5:$Q$83,4,0)</f>
        <v>#N/A</v>
      </c>
      <c r="F742" s="123" t="e">
        <f>VLOOKUP(B742,'Gebouwgegevens Allacker'!$J$5:$Q$83,5,0)</f>
        <v>#N/A</v>
      </c>
      <c r="G742" s="123" t="e">
        <f>VLOOKUP('Verwarming Tabula 2zone RefULG2'!C742,'Gebouwgegevens Allacker'!$A$35:$F$46,5,0)</f>
        <v>#N/A</v>
      </c>
      <c r="H742" s="123" t="e">
        <f>VLOOKUP('Verwarming Tabula 2zone RefULG2'!D742,'Gebouwgegevens Allacker'!$A$35:$F$46,5,0)</f>
        <v>#N/A</v>
      </c>
      <c r="I742" s="123" t="e">
        <f>VLOOKUP(B742,'Gebouwgegevens Allacker'!$J$5:$Q$83,7,0)</f>
        <v>#N/A</v>
      </c>
      <c r="J742" s="119" t="e">
        <f>VLOOKUP(B742,'Gebouwgegevens Allacker'!$J$5:$Q$83,8,0)</f>
        <v>#N/A</v>
      </c>
      <c r="K742" s="119" t="e">
        <f t="shared" si="0"/>
        <v>#N/A</v>
      </c>
      <c r="L742" s="99"/>
      <c r="M742" s="99"/>
      <c r="N742" s="99"/>
      <c r="O742" s="99"/>
      <c r="P742" s="97"/>
    </row>
    <row r="743" spans="1:16" ht="16.5" customHeight="1" thickTop="1" thickBot="1" x14ac:dyDescent="0.3">
      <c r="A743" s="96"/>
      <c r="B743" s="146" t="s">
        <v>237</v>
      </c>
      <c r="C743" s="123" t="e">
        <f>IF(VLOOKUP(B743,'Gebouwgegevens Allacker'!$J$5:$Q$83,2,0)=$B$709,VLOOKUP(B743,'Gebouwgegevens Allacker'!$J$5:$Q$83,2,0),VLOOKUP(B743,'Gebouwgegevens Allacker'!$J$5:$Q$83,3,0))</f>
        <v>#N/A</v>
      </c>
      <c r="D743" s="123" t="e">
        <f>IF(VLOOKUP(B743,'Gebouwgegevens Allacker'!$J$5:$Q$83,2,0)=$B$709,VLOOKUP(B743,'Gebouwgegevens Allacker'!$J$5:$Q$83,3,0),VLOOKUP(B743,'Gebouwgegevens Allacker'!$J$5:$Q$83,2,0))</f>
        <v>#N/A</v>
      </c>
      <c r="E743" s="123" t="e">
        <f>VLOOKUP(B743,'Gebouwgegevens Allacker'!$J$5:$Q$83,4,0)</f>
        <v>#N/A</v>
      </c>
      <c r="F743" s="123" t="e">
        <f>VLOOKUP(B743,'Gebouwgegevens Allacker'!$J$5:$Q$83,5,0)</f>
        <v>#N/A</v>
      </c>
      <c r="G743" s="123" t="e">
        <f>VLOOKUP('Verwarming Tabula 2zone RefULG2'!C743,'Gebouwgegevens Allacker'!$A$35:$F$46,5,0)</f>
        <v>#N/A</v>
      </c>
      <c r="H743" s="123" t="e">
        <f>VLOOKUP('Verwarming Tabula 2zone RefULG2'!D743,'Gebouwgegevens Allacker'!$A$35:$F$46,5,0)</f>
        <v>#N/A</v>
      </c>
      <c r="I743" s="123" t="e">
        <f>VLOOKUP(B743,'Gebouwgegevens Allacker'!$J$5:$Q$83,7,0)</f>
        <v>#N/A</v>
      </c>
      <c r="J743" s="119" t="e">
        <f>VLOOKUP(B743,'Gebouwgegevens Allacker'!$J$5:$Q$83,8,0)</f>
        <v>#N/A</v>
      </c>
      <c r="K743" s="119" t="e">
        <f t="shared" si="0"/>
        <v>#N/A</v>
      </c>
      <c r="L743" s="99"/>
      <c r="M743" s="99"/>
      <c r="N743" s="99"/>
      <c r="O743" s="99"/>
      <c r="P743" s="97"/>
    </row>
    <row r="744" spans="1:16" ht="16.5" customHeight="1" thickTop="1" thickBot="1" x14ac:dyDescent="0.3">
      <c r="A744" s="96"/>
      <c r="B744" s="124" t="s">
        <v>241</v>
      </c>
      <c r="C744" s="123" t="e">
        <f>IF(VLOOKUP(B744,'Gebouwgegevens Allacker'!$J$5:$Q$83,2,0)=$B$709,VLOOKUP(B744,'Gebouwgegevens Allacker'!$J$5:$Q$83,2,0),VLOOKUP(B744,'Gebouwgegevens Allacker'!$J$5:$Q$83,3,0))</f>
        <v>#N/A</v>
      </c>
      <c r="D744" s="123" t="e">
        <f>IF(VLOOKUP(B744,'Gebouwgegevens Allacker'!$J$5:$Q$83,2,0)=$B$709,VLOOKUP(B744,'Gebouwgegevens Allacker'!$J$5:$Q$83,3,0),VLOOKUP(B744,'Gebouwgegevens Allacker'!$J$5:$Q$83,2,0))</f>
        <v>#N/A</v>
      </c>
      <c r="E744" s="123" t="e">
        <f>VLOOKUP(B744,'Gebouwgegevens Allacker'!$J$5:$Q$83,4,0)</f>
        <v>#N/A</v>
      </c>
      <c r="F744" s="123" t="e">
        <f>VLOOKUP(B744,'Gebouwgegevens Allacker'!$J$5:$Q$83,5,0)</f>
        <v>#N/A</v>
      </c>
      <c r="G744" s="123" t="e">
        <f>VLOOKUP('Verwarming Tabula 2zone RefULG2'!C744,'Gebouwgegevens Allacker'!$A$35:$F$46,5,0)</f>
        <v>#N/A</v>
      </c>
      <c r="H744" s="123" t="e">
        <f>VLOOKUP('Verwarming Tabula 2zone RefULG2'!D744,'Gebouwgegevens Allacker'!$A$35:$F$46,5,0)</f>
        <v>#N/A</v>
      </c>
      <c r="I744" s="123" t="e">
        <f>VLOOKUP(B744,'Gebouwgegevens Allacker'!$J$5:$Q$83,7,0)</f>
        <v>#N/A</v>
      </c>
      <c r="J744" s="119" t="e">
        <f>VLOOKUP(B744,'Gebouwgegevens Allacker'!$J$5:$Q$83,8,0)</f>
        <v>#N/A</v>
      </c>
      <c r="K744" s="119" t="e">
        <f t="shared" si="0"/>
        <v>#N/A</v>
      </c>
      <c r="L744" s="99"/>
      <c r="M744" s="99"/>
      <c r="N744" s="99"/>
      <c r="O744" s="99"/>
      <c r="P744" s="97"/>
    </row>
    <row r="745" spans="1:16" ht="16.5" customHeight="1" thickTop="1" thickBot="1" x14ac:dyDescent="0.3">
      <c r="A745" s="96"/>
      <c r="B745" s="124" t="s">
        <v>264</v>
      </c>
      <c r="C745" s="123" t="e">
        <f>IF(VLOOKUP(B745,'Gebouwgegevens Allacker'!$J$5:$Q$83,2,0)=$B$709,VLOOKUP(B745,'Gebouwgegevens Allacker'!$J$5:$Q$83,2,0),VLOOKUP(B745,'Gebouwgegevens Allacker'!$J$5:$Q$83,3,0))</f>
        <v>#N/A</v>
      </c>
      <c r="D745" s="123" t="e">
        <f>IF(VLOOKUP(B745,'Gebouwgegevens Allacker'!$J$5:$Q$83,2,0)=$B$709,VLOOKUP(B745,'Gebouwgegevens Allacker'!$J$5:$Q$83,3,0),VLOOKUP(B745,'Gebouwgegevens Allacker'!$J$5:$Q$83,2,0))</f>
        <v>#N/A</v>
      </c>
      <c r="E745" s="123" t="e">
        <f>VLOOKUP(B745,'Gebouwgegevens Allacker'!$J$5:$Q$83,4,0)</f>
        <v>#N/A</v>
      </c>
      <c r="F745" s="123" t="e">
        <f>VLOOKUP(B745,'Gebouwgegevens Allacker'!$J$5:$Q$83,5,0)</f>
        <v>#N/A</v>
      </c>
      <c r="G745" s="123" t="e">
        <f>VLOOKUP('Verwarming Tabula 2zone RefULG2'!C745,'Gebouwgegevens Allacker'!$A$35:$F$46,5,0)</f>
        <v>#N/A</v>
      </c>
      <c r="H745" s="123" t="e">
        <f>VLOOKUP('Verwarming Tabula 2zone RefULG2'!D745,'Gebouwgegevens Allacker'!$A$35:$F$46,5,0)</f>
        <v>#N/A</v>
      </c>
      <c r="I745" s="123" t="e">
        <f>VLOOKUP(B745,'Gebouwgegevens Allacker'!$J$5:$Q$83,7,0)</f>
        <v>#N/A</v>
      </c>
      <c r="J745" s="119" t="e">
        <f>VLOOKUP(B745,'Gebouwgegevens Allacker'!$J$5:$Q$83,8,0)</f>
        <v>#N/A</v>
      </c>
      <c r="K745" s="119" t="e">
        <f t="shared" si="0"/>
        <v>#N/A</v>
      </c>
      <c r="L745" s="99"/>
      <c r="M745" s="99"/>
      <c r="N745" s="99"/>
      <c r="O745" s="99"/>
      <c r="P745" s="97"/>
    </row>
    <row r="746" spans="1:16" ht="16.5" customHeight="1" thickTop="1" thickBot="1" x14ac:dyDescent="0.3">
      <c r="A746" s="96"/>
      <c r="B746" s="124" t="s">
        <v>265</v>
      </c>
      <c r="C746" s="123" t="e">
        <f>IF(VLOOKUP(B746,'Gebouwgegevens Allacker'!$J$5:$Q$83,2,0)=$B$709,VLOOKUP(B746,'Gebouwgegevens Allacker'!$J$5:$Q$83,2,0),VLOOKUP(B746,'Gebouwgegevens Allacker'!$J$5:$Q$83,3,0))</f>
        <v>#N/A</v>
      </c>
      <c r="D746" s="123" t="e">
        <f>IF(VLOOKUP(B746,'Gebouwgegevens Allacker'!$J$5:$Q$83,2,0)=$B$709,VLOOKUP(B746,'Gebouwgegevens Allacker'!$J$5:$Q$83,3,0),VLOOKUP(B746,'Gebouwgegevens Allacker'!$J$5:$Q$83,2,0))</f>
        <v>#N/A</v>
      </c>
      <c r="E746" s="123" t="e">
        <f>VLOOKUP(B746,'Gebouwgegevens Allacker'!$J$5:$Q$83,4,0)</f>
        <v>#N/A</v>
      </c>
      <c r="F746" s="123" t="e">
        <f>VLOOKUP(B746,'Gebouwgegevens Allacker'!$J$5:$Q$83,5,0)</f>
        <v>#N/A</v>
      </c>
      <c r="G746" s="123" t="e">
        <f>VLOOKUP('Verwarming Tabula 2zone RefULG2'!C746,'Gebouwgegevens Allacker'!$A$35:$F$46,5,0)</f>
        <v>#N/A</v>
      </c>
      <c r="H746" s="123" t="e">
        <f>VLOOKUP('Verwarming Tabula 2zone RefULG2'!D746,'Gebouwgegevens Allacker'!$A$35:$F$46,5,0)</f>
        <v>#N/A</v>
      </c>
      <c r="I746" s="123" t="e">
        <f>VLOOKUP(B746,'Gebouwgegevens Allacker'!$J$5:$Q$83,7,0)</f>
        <v>#N/A</v>
      </c>
      <c r="J746" s="119" t="e">
        <f>VLOOKUP(B746,'Gebouwgegevens Allacker'!$J$5:$Q$83,8,0)</f>
        <v>#N/A</v>
      </c>
      <c r="K746" s="119" t="e">
        <f t="shared" si="0"/>
        <v>#N/A</v>
      </c>
      <c r="L746" s="99"/>
      <c r="M746" s="99"/>
      <c r="N746" s="99"/>
      <c r="O746" s="99"/>
      <c r="P746" s="97"/>
    </row>
    <row r="747" spans="1:16" ht="16.5" customHeight="1" thickTop="1" thickBot="1" x14ac:dyDescent="0.3">
      <c r="A747" s="96"/>
      <c r="B747" s="124" t="s">
        <v>266</v>
      </c>
      <c r="C747" s="123" t="e">
        <f>IF(VLOOKUP(B747,'Gebouwgegevens Allacker'!$J$5:$Q$83,2,0)=$B$709,VLOOKUP(B747,'Gebouwgegevens Allacker'!$J$5:$Q$83,2,0),VLOOKUP(B747,'Gebouwgegevens Allacker'!$J$5:$Q$83,3,0))</f>
        <v>#N/A</v>
      </c>
      <c r="D747" s="123" t="e">
        <f>IF(VLOOKUP(B747,'Gebouwgegevens Allacker'!$J$5:$Q$83,2,0)=$B$709,VLOOKUP(B747,'Gebouwgegevens Allacker'!$J$5:$Q$83,3,0),VLOOKUP(B747,'Gebouwgegevens Allacker'!$J$5:$Q$83,2,0))</f>
        <v>#N/A</v>
      </c>
      <c r="E747" s="123" t="e">
        <f>VLOOKUP(B747,'Gebouwgegevens Allacker'!$J$5:$Q$83,4,0)</f>
        <v>#N/A</v>
      </c>
      <c r="F747" s="123" t="e">
        <f>VLOOKUP(B747,'Gebouwgegevens Allacker'!$J$5:$Q$83,5,0)</f>
        <v>#N/A</v>
      </c>
      <c r="G747" s="123" t="e">
        <f>VLOOKUP('Verwarming Tabula 2zone RefULG2'!C747,'Gebouwgegevens Allacker'!$A$35:$F$46,5,0)</f>
        <v>#N/A</v>
      </c>
      <c r="H747" s="123" t="e">
        <f>VLOOKUP('Verwarming Tabula 2zone RefULG2'!D747,'Gebouwgegevens Allacker'!$A$35:$F$46,5,0)</f>
        <v>#N/A</v>
      </c>
      <c r="I747" s="123" t="e">
        <f>VLOOKUP(B747,'Gebouwgegevens Allacker'!$J$5:$Q$83,7,0)</f>
        <v>#N/A</v>
      </c>
      <c r="J747" s="119" t="e">
        <f>VLOOKUP(B747,'Gebouwgegevens Allacker'!$J$5:$Q$83,8,0)</f>
        <v>#N/A</v>
      </c>
      <c r="K747" s="119" t="e">
        <f t="shared" si="0"/>
        <v>#N/A</v>
      </c>
      <c r="L747" s="99"/>
      <c r="M747" s="99"/>
      <c r="N747" s="99"/>
      <c r="O747" s="99"/>
      <c r="P747" s="97"/>
    </row>
    <row r="748" spans="1:16" ht="16.5" customHeight="1" thickTop="1" thickBot="1" x14ac:dyDescent="0.3">
      <c r="A748" s="96"/>
      <c r="B748" s="124" t="s">
        <v>229</v>
      </c>
      <c r="C748" s="123" t="e">
        <f>IF(VLOOKUP(B748,'Gebouwgegevens Allacker'!$J$5:$Q$83,2,0)=$B$709,VLOOKUP(B748,'Gebouwgegevens Allacker'!$J$5:$Q$83,2,0),VLOOKUP(B748,'Gebouwgegevens Allacker'!$J$5:$Q$83,3,0))</f>
        <v>#N/A</v>
      </c>
      <c r="D748" s="123" t="e">
        <f>IF(VLOOKUP(B748,'Gebouwgegevens Allacker'!$J$5:$Q$83,2,0)=$B$709,VLOOKUP(B748,'Gebouwgegevens Allacker'!$J$5:$Q$83,3,0),VLOOKUP(B748,'Gebouwgegevens Allacker'!$J$5:$Q$83,2,0))</f>
        <v>#N/A</v>
      </c>
      <c r="E748" s="123" t="e">
        <f>VLOOKUP(B748,'Gebouwgegevens Allacker'!$J$5:$Q$83,4,0)</f>
        <v>#N/A</v>
      </c>
      <c r="F748" s="123" t="e">
        <f>VLOOKUP(B748,'Gebouwgegevens Allacker'!$J$5:$Q$83,5,0)</f>
        <v>#N/A</v>
      </c>
      <c r="G748" s="123" t="e">
        <f>VLOOKUP('Verwarming Tabula 2zone RefULG2'!C748,'Gebouwgegevens Allacker'!$A$35:$F$46,5,0)</f>
        <v>#N/A</v>
      </c>
      <c r="H748" s="123" t="e">
        <f>VLOOKUP('Verwarming Tabula 2zone RefULG2'!D748,'Gebouwgegevens Allacker'!$A$35:$F$46,5,0)</f>
        <v>#N/A</v>
      </c>
      <c r="I748" s="123" t="e">
        <f>VLOOKUP(B748,'Gebouwgegevens Allacker'!$J$5:$Q$83,7,0)</f>
        <v>#N/A</v>
      </c>
      <c r="J748" s="119" t="e">
        <f>VLOOKUP(B748,'Gebouwgegevens Allacker'!$J$5:$Q$83,8,0)</f>
        <v>#N/A</v>
      </c>
      <c r="K748" s="119" t="e">
        <f t="shared" si="0"/>
        <v>#N/A</v>
      </c>
      <c r="L748" s="99"/>
      <c r="M748" s="99"/>
      <c r="N748" s="99"/>
      <c r="O748" s="99"/>
      <c r="P748" s="97"/>
    </row>
    <row r="749" spans="1:16" ht="16.5" customHeight="1" thickTop="1" thickBot="1" x14ac:dyDescent="0.3">
      <c r="A749" s="96"/>
      <c r="B749" s="124" t="s">
        <v>267</v>
      </c>
      <c r="C749" s="123" t="e">
        <f>IF(VLOOKUP(B749,'Gebouwgegevens Allacker'!$J$5:$Q$83,2,0)=$B$709,VLOOKUP(B749,'Gebouwgegevens Allacker'!$J$5:$Q$83,2,0),VLOOKUP(B749,'Gebouwgegevens Allacker'!$J$5:$Q$83,3,0))</f>
        <v>#N/A</v>
      </c>
      <c r="D749" s="123" t="e">
        <f>IF(VLOOKUP(B749,'Gebouwgegevens Allacker'!$J$5:$Q$83,2,0)=$B$709,VLOOKUP(B749,'Gebouwgegevens Allacker'!$J$5:$Q$83,3,0),VLOOKUP(B749,'Gebouwgegevens Allacker'!$J$5:$Q$83,2,0))</f>
        <v>#N/A</v>
      </c>
      <c r="E749" s="123" t="e">
        <f>VLOOKUP(B749,'Gebouwgegevens Allacker'!$J$5:$Q$83,4,0)</f>
        <v>#N/A</v>
      </c>
      <c r="F749" s="123" t="e">
        <f>VLOOKUP(B749,'Gebouwgegevens Allacker'!$J$5:$Q$83,5,0)</f>
        <v>#N/A</v>
      </c>
      <c r="G749" s="123" t="e">
        <f>VLOOKUP('Verwarming Tabula 2zone RefULG2'!C749,'Gebouwgegevens Allacker'!$A$35:$F$46,5,0)</f>
        <v>#N/A</v>
      </c>
      <c r="H749" s="123" t="e">
        <f>VLOOKUP('Verwarming Tabula 2zone RefULG2'!D749,'Gebouwgegevens Allacker'!$A$35:$F$46,5,0)</f>
        <v>#N/A</v>
      </c>
      <c r="I749" s="123" t="e">
        <f>VLOOKUP(B749,'Gebouwgegevens Allacker'!$J$5:$Q$83,7,0)</f>
        <v>#N/A</v>
      </c>
      <c r="J749" s="119" t="e">
        <f>VLOOKUP(B749,'Gebouwgegevens Allacker'!$J$5:$Q$83,8,0)</f>
        <v>#N/A</v>
      </c>
      <c r="K749" s="119" t="e">
        <f t="shared" si="0"/>
        <v>#N/A</v>
      </c>
      <c r="L749" s="99"/>
      <c r="M749" s="99"/>
      <c r="N749" s="99"/>
      <c r="O749" s="99"/>
      <c r="P749" s="97"/>
    </row>
    <row r="750" spans="1:16" ht="16.5" customHeight="1" thickTop="1" thickBot="1" x14ac:dyDescent="0.3">
      <c r="A750" s="96"/>
      <c r="B750" s="124" t="s">
        <v>268</v>
      </c>
      <c r="C750" s="123" t="e">
        <f>IF(VLOOKUP(B750,'Gebouwgegevens Allacker'!$J$5:$Q$83,2,0)=$B$709,VLOOKUP(B750,'Gebouwgegevens Allacker'!$J$5:$Q$83,2,0),VLOOKUP(B750,'Gebouwgegevens Allacker'!$J$5:$Q$83,3,0))</f>
        <v>#N/A</v>
      </c>
      <c r="D750" s="123" t="e">
        <f>IF(VLOOKUP(B750,'Gebouwgegevens Allacker'!$J$5:$Q$83,2,0)=$B$709,VLOOKUP(B750,'Gebouwgegevens Allacker'!$J$5:$Q$83,3,0),VLOOKUP(B750,'Gebouwgegevens Allacker'!$J$5:$Q$83,2,0))</f>
        <v>#N/A</v>
      </c>
      <c r="E750" s="123" t="e">
        <f>VLOOKUP(B750,'Gebouwgegevens Allacker'!$J$5:$Q$83,4,0)</f>
        <v>#N/A</v>
      </c>
      <c r="F750" s="123" t="e">
        <f>VLOOKUP(B750,'Gebouwgegevens Allacker'!$J$5:$Q$83,5,0)</f>
        <v>#N/A</v>
      </c>
      <c r="G750" s="123" t="e">
        <f>VLOOKUP('Verwarming Tabula 2zone RefULG2'!C750,'Gebouwgegevens Allacker'!$A$35:$F$46,5,0)</f>
        <v>#N/A</v>
      </c>
      <c r="H750" s="123" t="e">
        <f>VLOOKUP('Verwarming Tabula 2zone RefULG2'!D750,'Gebouwgegevens Allacker'!$A$35:$F$46,5,0)</f>
        <v>#N/A</v>
      </c>
      <c r="I750" s="123" t="e">
        <f>VLOOKUP(B750,'Gebouwgegevens Allacker'!$J$5:$Q$83,7,0)</f>
        <v>#N/A</v>
      </c>
      <c r="J750" s="119" t="e">
        <f>VLOOKUP(B750,'Gebouwgegevens Allacker'!$J$5:$Q$83,8,0)</f>
        <v>#N/A</v>
      </c>
      <c r="K750" s="119" t="e">
        <f t="shared" si="0"/>
        <v>#N/A</v>
      </c>
      <c r="L750" s="99"/>
      <c r="M750" s="99"/>
      <c r="N750" s="99"/>
      <c r="O750" s="99"/>
      <c r="P750" s="97"/>
    </row>
    <row r="751" spans="1:16" ht="16.5" customHeight="1" thickTop="1" x14ac:dyDescent="0.25">
      <c r="A751" s="104" t="s">
        <v>195</v>
      </c>
      <c r="B751" s="99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7"/>
    </row>
    <row r="752" spans="1:16" ht="16.5" customHeight="1" x14ac:dyDescent="0.25">
      <c r="A752" s="125" t="s">
        <v>196</v>
      </c>
      <c r="B752" s="119" t="e">
        <f>SUMPRODUCT(H715:H726,I715:I726)+SUMPRODUCT(G731:G735,H731:H735)+SUMPRODUCT(J739:J750,K739:K750)</f>
        <v>#N/A</v>
      </c>
      <c r="C752" s="119" t="s">
        <v>107</v>
      </c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7"/>
    </row>
    <row r="753" spans="1:16" ht="16.5" customHeight="1" x14ac:dyDescent="0.25">
      <c r="A753" s="125" t="s">
        <v>170</v>
      </c>
      <c r="B753" s="119" t="e">
        <f>B752*(G739-$B$4)</f>
        <v>#N/A</v>
      </c>
      <c r="C753" s="119" t="s">
        <v>172</v>
      </c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7"/>
    </row>
    <row r="754" spans="1:16" ht="15.75" customHeight="1" thickBot="1" x14ac:dyDescent="0.3">
      <c r="A754" s="110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2"/>
    </row>
    <row r="755" spans="1:16" ht="15.75" customHeight="1" thickTop="1" x14ac:dyDescent="0.25">
      <c r="A755" s="312" t="s">
        <v>197</v>
      </c>
      <c r="B755" s="312"/>
      <c r="C755" s="312"/>
      <c r="D755" s="126" t="s">
        <v>225</v>
      </c>
      <c r="E755" s="289"/>
      <c r="F755" s="289"/>
      <c r="G755" s="289"/>
      <c r="H755" s="289"/>
      <c r="I755" s="289"/>
      <c r="J755" s="289"/>
      <c r="K755" s="289"/>
      <c r="L755" s="289"/>
      <c r="M755" s="289"/>
      <c r="N755" s="289"/>
      <c r="O755" s="289"/>
      <c r="P755" s="95"/>
    </row>
    <row r="756" spans="1:16" ht="15" customHeight="1" x14ac:dyDescent="0.25">
      <c r="A756" s="96"/>
      <c r="B756" s="99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7"/>
    </row>
    <row r="757" spans="1:16" ht="15" customHeight="1" thickBot="1" x14ac:dyDescent="0.3">
      <c r="A757" s="127" t="s">
        <v>198</v>
      </c>
      <c r="B757" s="99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7"/>
    </row>
    <row r="758" spans="1:16" ht="15" customHeight="1" thickTop="1" thickBot="1" x14ac:dyDescent="0.3">
      <c r="A758" s="128" t="s">
        <v>199</v>
      </c>
      <c r="B758" s="122">
        <v>8</v>
      </c>
      <c r="C758" s="121" t="s">
        <v>200</v>
      </c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7"/>
    </row>
    <row r="759" spans="1:16" ht="15" customHeight="1" thickTop="1" thickBot="1" x14ac:dyDescent="0.3">
      <c r="A759" s="128" t="s">
        <v>201</v>
      </c>
      <c r="B759" s="122">
        <v>0.03</v>
      </c>
      <c r="C759" s="121" t="s">
        <v>202</v>
      </c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7"/>
    </row>
    <row r="760" spans="1:16" ht="15.75" customHeight="1" thickTop="1" thickBot="1" x14ac:dyDescent="0.3">
      <c r="A760" s="128" t="s">
        <v>203</v>
      </c>
      <c r="B760" s="122">
        <v>1</v>
      </c>
      <c r="C760" s="121" t="s">
        <v>204</v>
      </c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7"/>
    </row>
    <row r="761" spans="1:16" ht="16.5" customHeight="1" thickTop="1" x14ac:dyDescent="0.25">
      <c r="A761" s="125" t="s">
        <v>205</v>
      </c>
      <c r="B761" s="119" t="e">
        <f>2*VLOOKUP(B709,'Gebouwgegevens Allacker'!$A$35:$F$46,6,0)*B758*B759*B760</f>
        <v>#N/A</v>
      </c>
      <c r="C761" s="119" t="s">
        <v>206</v>
      </c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7"/>
    </row>
    <row r="762" spans="1:16" ht="15.75" customHeight="1" x14ac:dyDescent="0.25">
      <c r="A762" s="139"/>
      <c r="B762" s="58"/>
      <c r="C762" s="58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7"/>
    </row>
    <row r="763" spans="1:16" ht="15" customHeight="1" x14ac:dyDescent="0.25">
      <c r="A763" s="147" t="s">
        <v>207</v>
      </c>
      <c r="B763" s="58"/>
      <c r="C763" s="58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7"/>
    </row>
    <row r="764" spans="1:16" ht="15.75" customHeight="1" x14ac:dyDescent="0.25">
      <c r="A764" s="139" t="s">
        <v>183</v>
      </c>
      <c r="B764" s="58" t="e">
        <f>VLOOKUP(B709,'Gebouwgegevens Allacker'!$A$35:$F$46,6,0)</f>
        <v>#N/A</v>
      </c>
      <c r="C764" s="58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7"/>
    </row>
    <row r="765" spans="1:16" ht="16.5" customHeight="1" x14ac:dyDescent="0.25">
      <c r="A765" s="125" t="s">
        <v>208</v>
      </c>
      <c r="B765" s="119">
        <v>0</v>
      </c>
      <c r="C765" s="119" t="s">
        <v>206</v>
      </c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7"/>
    </row>
    <row r="766" spans="1:16" ht="15.75" customHeight="1" x14ac:dyDescent="0.25">
      <c r="A766" s="139"/>
      <c r="B766" s="58"/>
      <c r="C766" s="58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7"/>
    </row>
    <row r="767" spans="1:16" ht="15.75" customHeight="1" x14ac:dyDescent="0.25">
      <c r="A767" s="139"/>
      <c r="B767" s="58"/>
      <c r="C767" s="58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7"/>
    </row>
    <row r="768" spans="1:16" ht="16.5" customHeight="1" x14ac:dyDescent="0.25">
      <c r="A768" s="125" t="s">
        <v>210</v>
      </c>
      <c r="B768" s="119" t="e">
        <f>MAX(B761,B765)</f>
        <v>#N/A</v>
      </c>
      <c r="C768" s="119" t="s">
        <v>206</v>
      </c>
      <c r="D768" s="99"/>
      <c r="E768" s="99"/>
      <c r="F768" s="119" t="s">
        <v>211</v>
      </c>
      <c r="G768" s="119" t="e">
        <f>B768/VLOOKUP(B709,'Gebouwgegevens Allacker'!$A$35:$B$46,2,0)</f>
        <v>#N/A</v>
      </c>
      <c r="H768" s="99"/>
      <c r="I768" s="99"/>
      <c r="J768" s="99"/>
      <c r="K768" s="99"/>
      <c r="L768" s="99"/>
      <c r="M768" s="99"/>
      <c r="N768" s="99"/>
      <c r="O768" s="99"/>
      <c r="P768" s="97"/>
    </row>
    <row r="769" spans="1:16" ht="16.5" customHeight="1" x14ac:dyDescent="0.25">
      <c r="A769" s="139"/>
      <c r="B769" s="58"/>
      <c r="C769" s="58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7"/>
    </row>
    <row r="770" spans="1:16" ht="16.5" customHeight="1" x14ac:dyDescent="0.25">
      <c r="A770" s="125" t="s">
        <v>212</v>
      </c>
      <c r="B770" s="119" t="e">
        <f>0.34*B768</f>
        <v>#N/A</v>
      </c>
      <c r="C770" s="119" t="s">
        <v>107</v>
      </c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7"/>
    </row>
    <row r="771" spans="1:16" ht="16.5" customHeight="1" x14ac:dyDescent="0.25">
      <c r="A771" s="125" t="s">
        <v>170</v>
      </c>
      <c r="B771" s="119" t="e">
        <f>B770*('Gebouwgegevens Allacker'!E731-$B$4)</f>
        <v>#N/A</v>
      </c>
      <c r="C771" s="119" t="s">
        <v>172</v>
      </c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7"/>
    </row>
    <row r="772" spans="1:16" ht="15.75" customHeight="1" thickBot="1" x14ac:dyDescent="0.3">
      <c r="A772" s="141"/>
      <c r="B772" s="142"/>
      <c r="C772" s="142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2"/>
    </row>
    <row r="773" spans="1:16" ht="15.75" customHeight="1" thickTop="1" x14ac:dyDescent="0.25">
      <c r="A773" s="312" t="s">
        <v>213</v>
      </c>
      <c r="B773" s="312"/>
      <c r="C773" s="312"/>
      <c r="D773" s="312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7"/>
    </row>
    <row r="774" spans="1:16" ht="15" customHeight="1" thickBot="1" x14ac:dyDescent="0.3">
      <c r="A774" s="96"/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7"/>
    </row>
    <row r="775" spans="1:16" ht="15" customHeight="1" thickTop="1" thickBot="1" x14ac:dyDescent="0.3">
      <c r="A775" s="128" t="s">
        <v>214</v>
      </c>
      <c r="B775" s="122">
        <v>0</v>
      </c>
      <c r="C775" s="58" t="s">
        <v>235</v>
      </c>
      <c r="D775" s="58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7"/>
    </row>
    <row r="776" spans="1:16" ht="15.75" customHeight="1" thickTop="1" x14ac:dyDescent="0.25">
      <c r="A776" s="153" t="s">
        <v>113</v>
      </c>
      <c r="B776" s="58" t="e">
        <f>VLOOKUP(B709,'Gebouwgegevens Allacker'!$A$35:$F$46,6,0)</f>
        <v>#N/A</v>
      </c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7"/>
    </row>
    <row r="777" spans="1:16" ht="16.5" customHeight="1" x14ac:dyDescent="0.25">
      <c r="A777" s="125" t="s">
        <v>216</v>
      </c>
      <c r="B777" s="119" t="e">
        <f>B778/('Gebouwgegevens Allacker'!E731-'Verwarming Tabula 2zone RefULG2'!$B$4)</f>
        <v>#N/A</v>
      </c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7"/>
    </row>
    <row r="778" spans="1:16" ht="16.5" customHeight="1" x14ac:dyDescent="0.25">
      <c r="A778" s="125" t="s">
        <v>170</v>
      </c>
      <c r="B778" s="119" t="e">
        <f>B775*B776</f>
        <v>#N/A</v>
      </c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7"/>
    </row>
    <row r="779" spans="1:16" ht="15.75" customHeight="1" x14ac:dyDescent="0.25">
      <c r="A779" s="96"/>
      <c r="B779" s="99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7"/>
    </row>
    <row r="780" spans="1:16" ht="15.75" customHeight="1" thickBot="1" x14ac:dyDescent="0.3">
      <c r="A780" s="96"/>
      <c r="B780" s="99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7"/>
    </row>
    <row r="781" spans="1:16" ht="15.75" customHeight="1" thickTop="1" thickBot="1" x14ac:dyDescent="0.3">
      <c r="A781" s="130" t="s">
        <v>217</v>
      </c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2"/>
    </row>
    <row r="782" spans="1:16" ht="16.5" customHeight="1" thickTop="1" x14ac:dyDescent="0.25">
      <c r="A782" s="125" t="s">
        <v>218</v>
      </c>
      <c r="B782" s="119" t="e">
        <f>SUM(B752,B770,B777)</f>
        <v>#N/A</v>
      </c>
      <c r="C782" s="119" t="s">
        <v>107</v>
      </c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4"/>
    </row>
    <row r="783" spans="1:16" ht="16.5" customHeight="1" x14ac:dyDescent="0.25">
      <c r="A783" s="125" t="s">
        <v>170</v>
      </c>
      <c r="B783" s="119" t="e">
        <f>SUM(B753,B771,B778)</f>
        <v>#N/A</v>
      </c>
      <c r="C783" s="119" t="s">
        <v>172</v>
      </c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4"/>
    </row>
    <row r="784" spans="1:16" ht="16.5" customHeight="1" thickBot="1" x14ac:dyDescent="0.3">
      <c r="A784" s="135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7"/>
    </row>
  </sheetData>
  <mergeCells count="32">
    <mergeCell ref="A755:C755"/>
    <mergeCell ref="A773:D773"/>
    <mergeCell ref="A597:C597"/>
    <mergeCell ref="A615:D615"/>
    <mergeCell ref="A631:D631"/>
    <mergeCell ref="A676:C676"/>
    <mergeCell ref="A694:D694"/>
    <mergeCell ref="A710:D710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 x14ac:dyDescent="0.25"/>
  <cols>
    <col min="2" max="2" width="11.5703125"/>
    <col min="4" max="4" width="19.5703125"/>
  </cols>
  <sheetData>
    <row r="1" spans="1:9" x14ac:dyDescent="0.25">
      <c r="A1" s="151" t="s">
        <v>289</v>
      </c>
    </row>
    <row r="3" spans="1:9" x14ac:dyDescent="0.25">
      <c r="A3" s="152" t="s">
        <v>290</v>
      </c>
    </row>
    <row r="4" spans="1:9" x14ac:dyDescent="0.25">
      <c r="A4" t="s">
        <v>291</v>
      </c>
      <c r="B4" s="153">
        <f>SUM('Gebouwgegevens Tabula 2zone'!R6:R9)</f>
        <v>73.47196388329013</v>
      </c>
      <c r="C4" t="s">
        <v>107</v>
      </c>
    </row>
    <row r="5" spans="1:9" x14ac:dyDescent="0.25">
      <c r="A5" t="s">
        <v>292</v>
      </c>
      <c r="B5" s="153">
        <f>F5+I5</f>
        <v>127.7062043956044</v>
      </c>
      <c r="C5" t="s">
        <v>107</v>
      </c>
      <c r="E5" s="154" t="s">
        <v>293</v>
      </c>
      <c r="F5" s="155">
        <f>'Verwarming Tabula 2zone'!B60</f>
        <v>71.181204395604411</v>
      </c>
      <c r="G5" s="154"/>
      <c r="H5" s="154" t="s">
        <v>294</v>
      </c>
      <c r="I5" s="155">
        <f>SUM('Gebouwgegevens Tabula 2zone'!R10:R13)</f>
        <v>56.524999999999999</v>
      </c>
    </row>
    <row r="6" spans="1:9" x14ac:dyDescent="0.25">
      <c r="A6" t="s">
        <v>295</v>
      </c>
      <c r="B6" s="153">
        <f>SUM('Gebouwgegevens Tabula 2zone'!O6:O9*'Gebouwgegevens Tabula 2zone'!AA21)</f>
        <v>34.279446341559982</v>
      </c>
      <c r="C6" t="s">
        <v>107</v>
      </c>
    </row>
    <row r="7" spans="1:9" x14ac:dyDescent="0.25">
      <c r="A7" t="s">
        <v>296</v>
      </c>
      <c r="B7" s="153">
        <f>'Gebouwgegevens Tabula 2zone'!R14</f>
        <v>80.801603206412807</v>
      </c>
      <c r="C7" t="s">
        <v>107</v>
      </c>
      <c r="D7" s="154" t="s">
        <v>297</v>
      </c>
    </row>
    <row r="8" spans="1:9" x14ac:dyDescent="0.25">
      <c r="A8" t="s">
        <v>298</v>
      </c>
      <c r="B8" s="153">
        <f>B4+B5+B7</f>
        <v>281.97977148530731</v>
      </c>
      <c r="D8" s="154"/>
    </row>
    <row r="9" spans="1:9" x14ac:dyDescent="0.25">
      <c r="B9" s="153"/>
      <c r="D9" s="154"/>
    </row>
    <row r="10" spans="1:9" x14ac:dyDescent="0.25">
      <c r="B10" t="s">
        <v>299</v>
      </c>
      <c r="D10" t="s">
        <v>300</v>
      </c>
    </row>
    <row r="11" spans="1:9" x14ac:dyDescent="0.25">
      <c r="A11" t="s">
        <v>301</v>
      </c>
      <c r="B11" s="156">
        <f>SUM('Gebouwgegevens Tabula 2zone'!S6:S9)</f>
        <v>32999378.326173782</v>
      </c>
      <c r="C11" s="156" t="s">
        <v>302</v>
      </c>
      <c r="D11" s="156">
        <f>SUM('Gebouwgegevens Tabula 2zone'!U6:U9)</f>
        <v>13429671.581219645</v>
      </c>
      <c r="E11" t="s">
        <v>302</v>
      </c>
    </row>
    <row r="12" spans="1:9" x14ac:dyDescent="0.25">
      <c r="A12" t="s">
        <v>122</v>
      </c>
      <c r="B12" s="156">
        <f>'Gebouwgegevens Tabula 2zone'!B34*5*1012*1.204</f>
        <v>2046992.64</v>
      </c>
      <c r="C12" t="s">
        <v>302</v>
      </c>
      <c r="D12" s="156">
        <f>B12</f>
        <v>2046992.64</v>
      </c>
      <c r="E12" t="s">
        <v>302</v>
      </c>
    </row>
    <row r="13" spans="1:9" x14ac:dyDescent="0.25">
      <c r="A13" t="s">
        <v>303</v>
      </c>
      <c r="B13" s="156">
        <f>SUM('Gebouwgegevens Tabula 2zone'!O6:O9)*'Gebouwgegevens Tabula 2zone'!AE21</f>
        <v>14644885.483000543</v>
      </c>
      <c r="C13" t="s">
        <v>302</v>
      </c>
      <c r="D13" s="156">
        <f>B13</f>
        <v>14644885.483000543</v>
      </c>
      <c r="E13" t="s">
        <v>302</v>
      </c>
    </row>
    <row r="14" spans="1:9" x14ac:dyDescent="0.25">
      <c r="A14" t="s">
        <v>304</v>
      </c>
      <c r="B14" s="156">
        <f>'Gebouwgegevens Tabula 2zone'!S14</f>
        <v>36180768</v>
      </c>
      <c r="C14" s="156" t="s">
        <v>302</v>
      </c>
      <c r="D14" s="156">
        <f>'Gebouwgegevens Tabula 2zone'!U14</f>
        <v>10652160</v>
      </c>
      <c r="E14" s="156" t="s">
        <v>302</v>
      </c>
      <c r="F14" s="156"/>
    </row>
    <row r="16" spans="1:9" x14ac:dyDescent="0.25">
      <c r="A16" t="s">
        <v>305</v>
      </c>
      <c r="B16">
        <f>B11+B13</f>
        <v>47644263.809174329</v>
      </c>
      <c r="D16">
        <f>D11+D13</f>
        <v>28074557.06422019</v>
      </c>
    </row>
    <row r="17" spans="1:9" x14ac:dyDescent="0.25">
      <c r="A17" t="s">
        <v>306</v>
      </c>
      <c r="B17" s="157">
        <f>SUM(B11:B14)</f>
        <v>85872024.44917433</v>
      </c>
      <c r="D17" s="157">
        <f>SUM(D11:D14)</f>
        <v>40773709.704220191</v>
      </c>
    </row>
    <row r="18" spans="1:9" x14ac:dyDescent="0.25">
      <c r="A18" s="152" t="s">
        <v>63</v>
      </c>
    </row>
    <row r="19" spans="1:9" x14ac:dyDescent="0.25">
      <c r="A19" t="s">
        <v>307</v>
      </c>
      <c r="B19" s="153">
        <f>'Gebouwgegevens Tabula 2zone'!R26</f>
        <v>133.15739644970415</v>
      </c>
      <c r="C19" t="s">
        <v>107</v>
      </c>
    </row>
    <row r="20" spans="1:9" x14ac:dyDescent="0.25">
      <c r="A20" t="s">
        <v>308</v>
      </c>
      <c r="B20" s="156">
        <f>'Gebouwgegevens Tabula 2zone'!S26</f>
        <v>40841355.000000007</v>
      </c>
      <c r="C20" s="156" t="s">
        <v>302</v>
      </c>
      <c r="D20" s="156">
        <f>'Gebouwgegevens Tabula 2zone'!U26</f>
        <v>40841355.000000007</v>
      </c>
      <c r="E20" t="s">
        <v>302</v>
      </c>
    </row>
    <row r="22" spans="1:9" x14ac:dyDescent="0.25">
      <c r="A22" s="152" t="s">
        <v>309</v>
      </c>
    </row>
    <row r="23" spans="1:9" x14ac:dyDescent="0.25">
      <c r="A23" t="s">
        <v>291</v>
      </c>
      <c r="B23" s="153">
        <f>SUM('Gebouwgegevens Tabula 2zone'!R17:R20)</f>
        <v>68.344233070602186</v>
      </c>
      <c r="C23" t="s">
        <v>107</v>
      </c>
    </row>
    <row r="24" spans="1:9" x14ac:dyDescent="0.25">
      <c r="A24" t="s">
        <v>292</v>
      </c>
      <c r="B24" s="153">
        <f>SUM(F24,I24)</f>
        <v>100.65734672527473</v>
      </c>
      <c r="C24" t="s">
        <v>107</v>
      </c>
      <c r="E24" s="154" t="s">
        <v>293</v>
      </c>
      <c r="F24" s="155">
        <f>'Verwarming Tabula 2zone'!B139</f>
        <v>44.132346725274736</v>
      </c>
      <c r="G24" s="154"/>
      <c r="H24" s="154" t="s">
        <v>294</v>
      </c>
      <c r="I24" s="155">
        <f>SUM('Gebouwgegevens Tabula 2zone'!R21:R24)</f>
        <v>56.524999999999999</v>
      </c>
    </row>
    <row r="25" spans="1:9" x14ac:dyDescent="0.25">
      <c r="A25" t="s">
        <v>295</v>
      </c>
      <c r="B25" s="153">
        <f>SUM('Gebouwgegevens Tabula 2zone'!O17:O20)*'Gebouwgegevens Tabula 2zone'!AA21</f>
        <v>119.82637697103682</v>
      </c>
      <c r="C25" t="s">
        <v>107</v>
      </c>
    </row>
    <row r="26" spans="1:9" x14ac:dyDescent="0.25">
      <c r="A26" t="s">
        <v>310</v>
      </c>
      <c r="B26" s="153">
        <f>'Gebouwgegevens Tabula 2zone'!R25</f>
        <v>92.198275862068954</v>
      </c>
      <c r="C26" t="s">
        <v>107</v>
      </c>
      <c r="D26" s="154" t="s">
        <v>297</v>
      </c>
    </row>
    <row r="27" spans="1:9" x14ac:dyDescent="0.25">
      <c r="A27" t="s">
        <v>298</v>
      </c>
      <c r="B27" s="153">
        <f>B23+B24+B26</f>
        <v>261.19985565794588</v>
      </c>
      <c r="D27" s="154"/>
    </row>
    <row r="28" spans="1:9" x14ac:dyDescent="0.25">
      <c r="B28" s="153"/>
      <c r="D28" s="154"/>
    </row>
    <row r="29" spans="1:9" x14ac:dyDescent="0.25">
      <c r="B29" t="s">
        <v>299</v>
      </c>
      <c r="D29" t="s">
        <v>300</v>
      </c>
    </row>
    <row r="30" spans="1:9" x14ac:dyDescent="0.25">
      <c r="A30" t="s">
        <v>301</v>
      </c>
      <c r="B30" s="156">
        <f>SUM('Gebouwgegevens Tabula 2zone'!S17:S20)</f>
        <v>30696296.713826243</v>
      </c>
      <c r="C30" s="156" t="s">
        <v>302</v>
      </c>
      <c r="D30" s="156">
        <f>SUM('Gebouwgegevens Tabula 2zone'!U17:U20)</f>
        <v>12492392.41878036</v>
      </c>
      <c r="E30" t="s">
        <v>302</v>
      </c>
    </row>
    <row r="31" spans="1:9" x14ac:dyDescent="0.25">
      <c r="A31" t="s">
        <v>122</v>
      </c>
      <c r="B31" s="156">
        <f>'Gebouwgegevens Tabula 2zone'!B35*5*1012*1.204</f>
        <v>1057612.8640000001</v>
      </c>
      <c r="C31" t="s">
        <v>302</v>
      </c>
      <c r="D31" s="156">
        <f>B31</f>
        <v>1057612.8640000001</v>
      </c>
      <c r="E31" t="s">
        <v>302</v>
      </c>
    </row>
    <row r="32" spans="1:9" x14ac:dyDescent="0.25">
      <c r="A32" t="s">
        <v>303</v>
      </c>
      <c r="B32" s="156">
        <f>SUM('Gebouwgegevens Tabula 2zone'!O17:O20)*'Gebouwgegevens Tabula 2zone'!AE21</f>
        <v>13622794.516999464</v>
      </c>
      <c r="C32" t="s">
        <v>302</v>
      </c>
      <c r="D32" s="156">
        <f>B32</f>
        <v>13622794.516999464</v>
      </c>
      <c r="E32" t="s">
        <v>302</v>
      </c>
    </row>
    <row r="33" spans="1:6" x14ac:dyDescent="0.25">
      <c r="A33" t="s">
        <v>311</v>
      </c>
      <c r="B33" s="156">
        <f>'Gebouwgegevens Tabula 2zone'!S25</f>
        <v>5942328</v>
      </c>
      <c r="C33" s="156" t="s">
        <v>302</v>
      </c>
      <c r="D33" s="156">
        <f>'Gebouwgegevens Tabula 2zone'!U25</f>
        <v>1777230</v>
      </c>
      <c r="E33" s="156" t="s">
        <v>302</v>
      </c>
      <c r="F33" s="156"/>
    </row>
    <row r="35" spans="1:6" x14ac:dyDescent="0.25">
      <c r="A35" t="s">
        <v>305</v>
      </c>
      <c r="B35">
        <f>B30+B32</f>
        <v>44319091.230825707</v>
      </c>
      <c r="D35">
        <f>D30+D32</f>
        <v>26115186.935779825</v>
      </c>
    </row>
    <row r="36" spans="1:6" x14ac:dyDescent="0.25">
      <c r="A36" t="s">
        <v>306</v>
      </c>
      <c r="B36">
        <f>B30+B31+B32+B33</f>
        <v>51319032.094825707</v>
      </c>
      <c r="D36" s="157">
        <f>SUM(D30:D33)</f>
        <v>28950029.799779825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8</vt:i4>
      </vt:variant>
    </vt:vector>
  </HeadingPairs>
  <TitlesOfParts>
    <vt:vector size="26" baseType="lpstr">
      <vt:lpstr>Gebouwgegevens Tabula</vt:lpstr>
      <vt:lpstr>Gebouwgegevens Allacker</vt:lpstr>
      <vt:lpstr>Tabula data</vt:lpstr>
      <vt:lpstr>Verwarming Allacker</vt:lpstr>
      <vt:lpstr>Verwarming Tabula</vt:lpstr>
      <vt:lpstr>Gebouwgegevens Tabula 2zone</vt:lpstr>
      <vt:lpstr>Tabula 2zone Ref 1</vt:lpstr>
      <vt:lpstr>Tabula 2zone Ref 2</vt:lpstr>
      <vt:lpstr>Tabula RefULG 1</vt:lpstr>
      <vt:lpstr>Tabula RefULG 2</vt:lpstr>
      <vt:lpstr>Verwarming Tabula 2zone</vt:lpstr>
      <vt:lpstr>Verwarming Tabula 2zone Ref 1</vt:lpstr>
      <vt:lpstr>Verwarming Tabula 2zone Ref 2</vt:lpstr>
      <vt:lpstr>Verwarming Tabula 2zone RefULG1</vt:lpstr>
      <vt:lpstr>Verwarming Tabula 2zone RefULG2</vt:lpstr>
      <vt:lpstr>PropertiesGB_Theoretical</vt:lpstr>
      <vt:lpstr>Sheet8</vt:lpstr>
      <vt:lpstr>Sheet9</vt:lpstr>
      <vt:lpstr>'Gebouwgegevens Allacker'!Print_Area</vt:lpstr>
      <vt:lpstr>'Gebouwgegevens Tabula'!Print_Area</vt:lpstr>
      <vt:lpstr>'Gebouwgegevens Tabula 2zone'!Print_Area</vt:lpstr>
      <vt:lpstr>'Tabula 2zone Ref 1'!Print_Area</vt:lpstr>
      <vt:lpstr>'Tabula 2zone Ref 2'!Print_Area</vt:lpstr>
      <vt:lpstr>'Tabula data'!Print_Area</vt:lpstr>
      <vt:lpstr>'Tabula RefULG 1'!Print_Area</vt:lpstr>
      <vt:lpstr>'Tabula RefULG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REYNDERG</dc:creator>
  <cp:lastModifiedBy>Glenn Reynders</cp:lastModifiedBy>
  <cp:revision>0</cp:revision>
  <cp:lastPrinted>2013-07-29T10:47:59Z</cp:lastPrinted>
  <dcterms:created xsi:type="dcterms:W3CDTF">2011-08-19T12:11:09Z</dcterms:created>
  <dcterms:modified xsi:type="dcterms:W3CDTF">2014-08-28T09:41:43Z</dcterms:modified>
</cp:coreProperties>
</file>