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c5367e7870d7541/Documents/data science/assisements/"/>
    </mc:Choice>
  </mc:AlternateContent>
  <xr:revisionPtr revIDLastSave="323" documentId="8_{A82C0CD3-2880-40EA-8C9C-7AC1731BB208}" xr6:coauthVersionLast="47" xr6:coauthVersionMax="47" xr10:uidLastSave="{44313A5F-553A-4503-82B3-01F3A9A03F27}"/>
  <bookViews>
    <workbookView xWindow="-108" yWindow="-108" windowWidth="23256" windowHeight="12456" xr2:uid="{849A2CB2-0514-4707-BC4D-40D7FC92B616}"/>
  </bookViews>
  <sheets>
    <sheet name="1.Filtering by Price " sheetId="1" r:id="rId1"/>
    <sheet name="2.Category-based Filtering" sheetId="3" r:id="rId2"/>
    <sheet name="3.Sorting by Price" sheetId="4" r:id="rId3"/>
    <sheet name="4.Multilevel Sorting" sheetId="5" r:id="rId4"/>
    <sheet name="5.VLOOKUP for Category Info" sheetId="6" r:id="rId5"/>
    <sheet name="6.HLOOKUP for Price Info" sheetId="7" r:id="rId6"/>
    <sheet name="origial dataset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9" i="7" l="1"/>
  <c r="F48" i="7"/>
  <c r="F47" i="7"/>
  <c r="F46" i="7"/>
  <c r="F45" i="7"/>
  <c r="F58" i="7"/>
  <c r="F57" i="7"/>
  <c r="F56" i="7"/>
  <c r="F55" i="7"/>
  <c r="F54" i="7"/>
  <c r="F53" i="7"/>
  <c r="F52" i="7"/>
  <c r="F51" i="7"/>
  <c r="F50" i="7"/>
  <c r="E3" i="7"/>
  <c r="F3" i="7"/>
  <c r="G3" i="7"/>
  <c r="H3" i="7"/>
  <c r="E4" i="7"/>
  <c r="F4" i="7"/>
  <c r="G4" i="7"/>
  <c r="H4" i="7"/>
  <c r="E5" i="7"/>
  <c r="F5" i="7"/>
  <c r="G5" i="7"/>
  <c r="H5" i="7"/>
  <c r="E6" i="7"/>
  <c r="F6" i="7"/>
  <c r="G6" i="7"/>
  <c r="H6" i="7"/>
  <c r="E7" i="7"/>
  <c r="F7" i="7"/>
  <c r="G7" i="7"/>
  <c r="H7" i="7"/>
  <c r="E8" i="7"/>
  <c r="F8" i="7"/>
  <c r="G8" i="7"/>
  <c r="H8" i="7"/>
  <c r="E9" i="7"/>
  <c r="F9" i="7"/>
  <c r="G9" i="7"/>
  <c r="H9" i="7"/>
  <c r="E10" i="7"/>
  <c r="F10" i="7"/>
  <c r="G10" i="7"/>
  <c r="H10" i="7"/>
  <c r="E11" i="7"/>
  <c r="F11" i="7"/>
  <c r="G11" i="7"/>
  <c r="H11" i="7"/>
  <c r="E12" i="7"/>
  <c r="F12" i="7"/>
  <c r="G12" i="7"/>
  <c r="H12" i="7"/>
  <c r="E13" i="7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17" i="7"/>
  <c r="F17" i="7"/>
  <c r="G17" i="7"/>
  <c r="H17" i="7"/>
  <c r="E18" i="7"/>
  <c r="F18" i="7"/>
  <c r="G18" i="7"/>
  <c r="H18" i="7"/>
  <c r="E19" i="7"/>
  <c r="F19" i="7"/>
  <c r="G19" i="7"/>
  <c r="H19" i="7"/>
  <c r="E20" i="7"/>
  <c r="F20" i="7"/>
  <c r="G20" i="7"/>
  <c r="H20" i="7"/>
  <c r="E21" i="7"/>
  <c r="F21" i="7"/>
  <c r="G21" i="7"/>
  <c r="H21" i="7"/>
  <c r="E22" i="7"/>
  <c r="F22" i="7"/>
  <c r="G22" i="7"/>
  <c r="H22" i="7"/>
  <c r="E23" i="7"/>
  <c r="F23" i="7"/>
  <c r="G23" i="7"/>
  <c r="H23" i="7"/>
  <c r="E24" i="7"/>
  <c r="F24" i="7"/>
  <c r="G24" i="7"/>
  <c r="H24" i="7"/>
  <c r="E25" i="7"/>
  <c r="F25" i="7"/>
  <c r="G25" i="7"/>
  <c r="H25" i="7"/>
  <c r="E26" i="7"/>
  <c r="F26" i="7"/>
  <c r="G26" i="7"/>
  <c r="H26" i="7"/>
  <c r="E27" i="7"/>
  <c r="F27" i="7"/>
  <c r="G27" i="7"/>
  <c r="H27" i="7"/>
  <c r="E28" i="7"/>
  <c r="F28" i="7"/>
  <c r="G28" i="7"/>
  <c r="H28" i="7"/>
  <c r="E29" i="7"/>
  <c r="F29" i="7"/>
  <c r="G29" i="7"/>
  <c r="H29" i="7"/>
  <c r="E30" i="7"/>
  <c r="F30" i="7"/>
  <c r="G30" i="7"/>
  <c r="H30" i="7"/>
  <c r="E31" i="7"/>
  <c r="F31" i="7"/>
  <c r="G31" i="7"/>
  <c r="H31" i="7"/>
  <c r="E32" i="7"/>
  <c r="F32" i="7"/>
  <c r="G32" i="7"/>
  <c r="H32" i="7"/>
  <c r="E33" i="7"/>
  <c r="F33" i="7"/>
  <c r="G33" i="7"/>
  <c r="H33" i="7"/>
  <c r="E34" i="7"/>
  <c r="F34" i="7"/>
  <c r="G34" i="7"/>
  <c r="H34" i="7"/>
  <c r="E35" i="7"/>
  <c r="F35" i="7"/>
  <c r="G35" i="7"/>
  <c r="H35" i="7"/>
  <c r="E36" i="7"/>
  <c r="F36" i="7"/>
  <c r="G36" i="7"/>
  <c r="H36" i="7"/>
  <c r="E37" i="7"/>
  <c r="F37" i="7"/>
  <c r="G37" i="7"/>
  <c r="H37" i="7"/>
  <c r="E38" i="7"/>
  <c r="F38" i="7"/>
  <c r="G38" i="7"/>
  <c r="H38" i="7"/>
  <c r="E39" i="7"/>
  <c r="F39" i="7"/>
  <c r="G39" i="7"/>
  <c r="H39" i="7"/>
  <c r="E40" i="7"/>
  <c r="F40" i="7"/>
  <c r="G40" i="7"/>
  <c r="H40" i="7"/>
  <c r="C58" i="7"/>
  <c r="B58" i="7"/>
  <c r="C57" i="7"/>
  <c r="B57" i="7"/>
  <c r="B55" i="7"/>
  <c r="B54" i="7"/>
  <c r="B53" i="7"/>
  <c r="B51" i="7"/>
  <c r="B50" i="7"/>
  <c r="B49" i="7"/>
  <c r="B48" i="7"/>
  <c r="B47" i="7"/>
  <c r="C41" i="7"/>
  <c r="A41" i="7"/>
  <c r="F52" i="6"/>
  <c r="F58" i="6"/>
  <c r="F53" i="6"/>
  <c r="F54" i="6"/>
  <c r="F55" i="6"/>
  <c r="F56" i="6"/>
  <c r="F57" i="6"/>
  <c r="F49" i="6"/>
  <c r="F50" i="6"/>
  <c r="F51" i="6"/>
  <c r="F48" i="6"/>
  <c r="F45" i="6"/>
  <c r="F46" i="6"/>
  <c r="F47" i="6"/>
  <c r="F44" i="6"/>
  <c r="C58" i="6"/>
  <c r="B58" i="6"/>
  <c r="C57" i="6"/>
  <c r="B57" i="6"/>
  <c r="B55" i="6"/>
  <c r="B54" i="6"/>
  <c r="B53" i="6"/>
  <c r="B51" i="6"/>
  <c r="B50" i="6"/>
  <c r="B49" i="6"/>
  <c r="B48" i="6"/>
  <c r="B47" i="6"/>
  <c r="C41" i="6"/>
  <c r="A41" i="6"/>
  <c r="H40" i="6"/>
  <c r="G40" i="6"/>
  <c r="F40" i="6"/>
  <c r="E40" i="6"/>
  <c r="H39" i="6"/>
  <c r="G39" i="6"/>
  <c r="F39" i="6"/>
  <c r="E39" i="6"/>
  <c r="H38" i="6"/>
  <c r="G38" i="6"/>
  <c r="F38" i="6"/>
  <c r="E38" i="6"/>
  <c r="H37" i="6"/>
  <c r="G37" i="6"/>
  <c r="F37" i="6"/>
  <c r="E37" i="6"/>
  <c r="H36" i="6"/>
  <c r="G36" i="6"/>
  <c r="F36" i="6"/>
  <c r="E36" i="6"/>
  <c r="H35" i="6"/>
  <c r="G35" i="6"/>
  <c r="F35" i="6"/>
  <c r="E35" i="6"/>
  <c r="H34" i="6"/>
  <c r="G34" i="6"/>
  <c r="F34" i="6"/>
  <c r="E34" i="6"/>
  <c r="H33" i="6"/>
  <c r="G33" i="6"/>
  <c r="F33" i="6"/>
  <c r="E33" i="6"/>
  <c r="H32" i="6"/>
  <c r="G32" i="6"/>
  <c r="F32" i="6"/>
  <c r="E32" i="6"/>
  <c r="H31" i="6"/>
  <c r="G31" i="6"/>
  <c r="F31" i="6"/>
  <c r="E31" i="6"/>
  <c r="H30" i="6"/>
  <c r="G30" i="6"/>
  <c r="F30" i="6"/>
  <c r="E30" i="6"/>
  <c r="H29" i="6"/>
  <c r="G29" i="6"/>
  <c r="F29" i="6"/>
  <c r="E29" i="6"/>
  <c r="H28" i="6"/>
  <c r="G28" i="6"/>
  <c r="F28" i="6"/>
  <c r="E28" i="6"/>
  <c r="H27" i="6"/>
  <c r="G27" i="6"/>
  <c r="F27" i="6"/>
  <c r="E27" i="6"/>
  <c r="H26" i="6"/>
  <c r="G26" i="6"/>
  <c r="F26" i="6"/>
  <c r="E26" i="6"/>
  <c r="H25" i="6"/>
  <c r="G25" i="6"/>
  <c r="F25" i="6"/>
  <c r="E25" i="6"/>
  <c r="H24" i="6"/>
  <c r="G24" i="6"/>
  <c r="F24" i="6"/>
  <c r="E24" i="6"/>
  <c r="H23" i="6"/>
  <c r="G23" i="6"/>
  <c r="F23" i="6"/>
  <c r="E23" i="6"/>
  <c r="H22" i="6"/>
  <c r="G22" i="6"/>
  <c r="F22" i="6"/>
  <c r="E22" i="6"/>
  <c r="H21" i="6"/>
  <c r="G21" i="6"/>
  <c r="F21" i="6"/>
  <c r="E21" i="6"/>
  <c r="H20" i="6"/>
  <c r="G20" i="6"/>
  <c r="F20" i="6"/>
  <c r="E20" i="6"/>
  <c r="H19" i="6"/>
  <c r="G19" i="6"/>
  <c r="F19" i="6"/>
  <c r="E19" i="6"/>
  <c r="H18" i="6"/>
  <c r="G18" i="6"/>
  <c r="F18" i="6"/>
  <c r="E18" i="6"/>
  <c r="H17" i="6"/>
  <c r="G17" i="6"/>
  <c r="F17" i="6"/>
  <c r="E17" i="6"/>
  <c r="H16" i="6"/>
  <c r="G16" i="6"/>
  <c r="F16" i="6"/>
  <c r="E16" i="6"/>
  <c r="H15" i="6"/>
  <c r="G15" i="6"/>
  <c r="F15" i="6"/>
  <c r="E15" i="6"/>
  <c r="H14" i="6"/>
  <c r="G14" i="6"/>
  <c r="F14" i="6"/>
  <c r="E14" i="6"/>
  <c r="H13" i="6"/>
  <c r="G13" i="6"/>
  <c r="F13" i="6"/>
  <c r="E13" i="6"/>
  <c r="H12" i="6"/>
  <c r="G12" i="6"/>
  <c r="F12" i="6"/>
  <c r="E12" i="6"/>
  <c r="H11" i="6"/>
  <c r="G11" i="6"/>
  <c r="F11" i="6"/>
  <c r="E11" i="6"/>
  <c r="H10" i="6"/>
  <c r="G10" i="6"/>
  <c r="F10" i="6"/>
  <c r="E10" i="6"/>
  <c r="H9" i="6"/>
  <c r="G9" i="6"/>
  <c r="F9" i="6"/>
  <c r="E9" i="6"/>
  <c r="H8" i="6"/>
  <c r="G8" i="6"/>
  <c r="F8" i="6"/>
  <c r="E8" i="6"/>
  <c r="H7" i="6"/>
  <c r="G7" i="6"/>
  <c r="F7" i="6"/>
  <c r="E7" i="6"/>
  <c r="H6" i="6"/>
  <c r="G6" i="6"/>
  <c r="F6" i="6"/>
  <c r="E6" i="6"/>
  <c r="H5" i="6"/>
  <c r="G5" i="6"/>
  <c r="F5" i="6"/>
  <c r="E5" i="6"/>
  <c r="H4" i="6"/>
  <c r="G4" i="6"/>
  <c r="F4" i="6"/>
  <c r="E4" i="6"/>
  <c r="H3" i="6"/>
  <c r="G3" i="6"/>
  <c r="F3" i="6"/>
  <c r="E3" i="6"/>
  <c r="C58" i="5"/>
  <c r="B58" i="5"/>
  <c r="C57" i="5"/>
  <c r="B57" i="5"/>
  <c r="B55" i="5"/>
  <c r="B54" i="5"/>
  <c r="B53" i="5"/>
  <c r="B51" i="5"/>
  <c r="B50" i="5"/>
  <c r="B49" i="5"/>
  <c r="B48" i="5"/>
  <c r="B47" i="5"/>
  <c r="C41" i="5"/>
  <c r="A41" i="5"/>
  <c r="H35" i="5"/>
  <c r="G35" i="5"/>
  <c r="F35" i="5"/>
  <c r="E35" i="5"/>
  <c r="H36" i="5"/>
  <c r="G36" i="5"/>
  <c r="F36" i="5"/>
  <c r="E36" i="5"/>
  <c r="H37" i="5"/>
  <c r="G37" i="5"/>
  <c r="F37" i="5"/>
  <c r="E37" i="5"/>
  <c r="H38" i="5"/>
  <c r="G38" i="5"/>
  <c r="F38" i="5"/>
  <c r="E38" i="5"/>
  <c r="H39" i="5"/>
  <c r="G39" i="5"/>
  <c r="F39" i="5"/>
  <c r="E39" i="5"/>
  <c r="H40" i="5"/>
  <c r="G40" i="5"/>
  <c r="F40" i="5"/>
  <c r="E40" i="5"/>
  <c r="H13" i="5"/>
  <c r="G13" i="5"/>
  <c r="F13" i="5"/>
  <c r="E13" i="5"/>
  <c r="H14" i="5"/>
  <c r="G14" i="5"/>
  <c r="F14" i="5"/>
  <c r="E14" i="5"/>
  <c r="H15" i="5"/>
  <c r="G15" i="5"/>
  <c r="F15" i="5"/>
  <c r="E15" i="5"/>
  <c r="H16" i="5"/>
  <c r="G16" i="5"/>
  <c r="F16" i="5"/>
  <c r="E16" i="5"/>
  <c r="H27" i="5"/>
  <c r="G27" i="5"/>
  <c r="F27" i="5"/>
  <c r="E27" i="5"/>
  <c r="H28" i="5"/>
  <c r="G28" i="5"/>
  <c r="F28" i="5"/>
  <c r="E28" i="5"/>
  <c r="H29" i="5"/>
  <c r="G29" i="5"/>
  <c r="F29" i="5"/>
  <c r="E29" i="5"/>
  <c r="H30" i="5"/>
  <c r="G30" i="5"/>
  <c r="F30" i="5"/>
  <c r="E30" i="5"/>
  <c r="H20" i="5"/>
  <c r="G20" i="5"/>
  <c r="F20" i="5"/>
  <c r="E20" i="5"/>
  <c r="H21" i="5"/>
  <c r="G21" i="5"/>
  <c r="F21" i="5"/>
  <c r="E21" i="5"/>
  <c r="H22" i="5"/>
  <c r="G22" i="5"/>
  <c r="F22" i="5"/>
  <c r="E22" i="5"/>
  <c r="H23" i="5"/>
  <c r="G23" i="5"/>
  <c r="F23" i="5"/>
  <c r="E23" i="5"/>
  <c r="H17" i="5"/>
  <c r="G17" i="5"/>
  <c r="F17" i="5"/>
  <c r="E17" i="5"/>
  <c r="H18" i="5"/>
  <c r="G18" i="5"/>
  <c r="F18" i="5"/>
  <c r="E18" i="5"/>
  <c r="H19" i="5"/>
  <c r="G19" i="5"/>
  <c r="F19" i="5"/>
  <c r="E19" i="5"/>
  <c r="H31" i="5"/>
  <c r="G31" i="5"/>
  <c r="F31" i="5"/>
  <c r="E31" i="5"/>
  <c r="H32" i="5"/>
  <c r="G32" i="5"/>
  <c r="F32" i="5"/>
  <c r="E32" i="5"/>
  <c r="H33" i="5"/>
  <c r="G33" i="5"/>
  <c r="F33" i="5"/>
  <c r="E33" i="5"/>
  <c r="H34" i="5"/>
  <c r="G34" i="5"/>
  <c r="F34" i="5"/>
  <c r="E34" i="5"/>
  <c r="H7" i="5"/>
  <c r="G7" i="5"/>
  <c r="F7" i="5"/>
  <c r="E7" i="5"/>
  <c r="H8" i="5"/>
  <c r="G8" i="5"/>
  <c r="F8" i="5"/>
  <c r="E8" i="5"/>
  <c r="H9" i="5"/>
  <c r="G9" i="5"/>
  <c r="F9" i="5"/>
  <c r="E9" i="5"/>
  <c r="H10" i="5"/>
  <c r="G10" i="5"/>
  <c r="F10" i="5"/>
  <c r="E10" i="5"/>
  <c r="H11" i="5"/>
  <c r="G11" i="5"/>
  <c r="F11" i="5"/>
  <c r="E11" i="5"/>
  <c r="H12" i="5"/>
  <c r="G12" i="5"/>
  <c r="F12" i="5"/>
  <c r="E12" i="5"/>
  <c r="H24" i="5"/>
  <c r="G24" i="5"/>
  <c r="F24" i="5"/>
  <c r="E24" i="5"/>
  <c r="H25" i="5"/>
  <c r="G25" i="5"/>
  <c r="F25" i="5"/>
  <c r="E25" i="5"/>
  <c r="H26" i="5"/>
  <c r="G26" i="5"/>
  <c r="F26" i="5"/>
  <c r="E26" i="5"/>
  <c r="H3" i="5"/>
  <c r="G3" i="5"/>
  <c r="F3" i="5"/>
  <c r="E3" i="5"/>
  <c r="H4" i="5"/>
  <c r="G4" i="5"/>
  <c r="F4" i="5"/>
  <c r="E4" i="5"/>
  <c r="H5" i="5"/>
  <c r="G5" i="5"/>
  <c r="F5" i="5"/>
  <c r="E5" i="5"/>
  <c r="H6" i="5"/>
  <c r="G6" i="5"/>
  <c r="F6" i="5"/>
  <c r="E6" i="5"/>
  <c r="C58" i="2"/>
  <c r="B58" i="2"/>
  <c r="C57" i="2"/>
  <c r="B57" i="2"/>
  <c r="B55" i="2"/>
  <c r="B54" i="2"/>
  <c r="B53" i="2"/>
  <c r="B51" i="2"/>
  <c r="B50" i="2"/>
  <c r="B49" i="2"/>
  <c r="B48" i="2"/>
  <c r="B47" i="2"/>
  <c r="C59" i="4"/>
  <c r="B59" i="4"/>
  <c r="C58" i="4"/>
  <c r="B58" i="4"/>
  <c r="B56" i="4"/>
  <c r="B55" i="4"/>
  <c r="B54" i="4"/>
  <c r="B52" i="4"/>
  <c r="B51" i="4"/>
  <c r="B50" i="4"/>
  <c r="B49" i="4"/>
  <c r="B48" i="4"/>
  <c r="C41" i="4"/>
  <c r="A41" i="4"/>
  <c r="H38" i="4"/>
  <c r="G38" i="4"/>
  <c r="F38" i="4"/>
  <c r="E38" i="4"/>
  <c r="H37" i="4"/>
  <c r="G37" i="4"/>
  <c r="F37" i="4"/>
  <c r="E37" i="4"/>
  <c r="H35" i="4"/>
  <c r="G35" i="4"/>
  <c r="F35" i="4"/>
  <c r="E35" i="4"/>
  <c r="H40" i="4"/>
  <c r="G40" i="4"/>
  <c r="F40" i="4"/>
  <c r="E40" i="4"/>
  <c r="H39" i="4"/>
  <c r="G39" i="4"/>
  <c r="F39" i="4"/>
  <c r="E39" i="4"/>
  <c r="H36" i="4"/>
  <c r="G36" i="4"/>
  <c r="F36" i="4"/>
  <c r="E36" i="4"/>
  <c r="H34" i="4"/>
  <c r="G34" i="4"/>
  <c r="F34" i="4"/>
  <c r="E34" i="4"/>
  <c r="H33" i="4"/>
  <c r="G33" i="4"/>
  <c r="F33" i="4"/>
  <c r="E33" i="4"/>
  <c r="H31" i="4"/>
  <c r="G31" i="4"/>
  <c r="F31" i="4"/>
  <c r="E31" i="4"/>
  <c r="H29" i="4"/>
  <c r="G29" i="4"/>
  <c r="F29" i="4"/>
  <c r="E29" i="4"/>
  <c r="H32" i="4"/>
  <c r="G32" i="4"/>
  <c r="F32" i="4"/>
  <c r="E32" i="4"/>
  <c r="H30" i="4"/>
  <c r="G30" i="4"/>
  <c r="F30" i="4"/>
  <c r="E30" i="4"/>
  <c r="H28" i="4"/>
  <c r="G28" i="4"/>
  <c r="F28" i="4"/>
  <c r="E28" i="4"/>
  <c r="H27" i="4"/>
  <c r="G27" i="4"/>
  <c r="F27" i="4"/>
  <c r="E27" i="4"/>
  <c r="H26" i="4"/>
  <c r="G26" i="4"/>
  <c r="F26" i="4"/>
  <c r="E26" i="4"/>
  <c r="H25" i="4"/>
  <c r="G25" i="4"/>
  <c r="F25" i="4"/>
  <c r="E25" i="4"/>
  <c r="H24" i="4"/>
  <c r="G24" i="4"/>
  <c r="F24" i="4"/>
  <c r="E24" i="4"/>
  <c r="H23" i="4"/>
  <c r="G23" i="4"/>
  <c r="F23" i="4"/>
  <c r="E23" i="4"/>
  <c r="H15" i="4"/>
  <c r="G15" i="4"/>
  <c r="F15" i="4"/>
  <c r="E15" i="4"/>
  <c r="H14" i="4"/>
  <c r="G14" i="4"/>
  <c r="F14" i="4"/>
  <c r="E14" i="4"/>
  <c r="H13" i="4"/>
  <c r="G13" i="4"/>
  <c r="F13" i="4"/>
  <c r="E13" i="4"/>
  <c r="H22" i="4"/>
  <c r="G22" i="4"/>
  <c r="F22" i="4"/>
  <c r="E22" i="4"/>
  <c r="H19" i="4"/>
  <c r="G19" i="4"/>
  <c r="F19" i="4"/>
  <c r="E19" i="4"/>
  <c r="H18" i="4"/>
  <c r="G18" i="4"/>
  <c r="F18" i="4"/>
  <c r="E18" i="4"/>
  <c r="H12" i="4"/>
  <c r="G12" i="4"/>
  <c r="F12" i="4"/>
  <c r="E12" i="4"/>
  <c r="H21" i="4"/>
  <c r="G21" i="4"/>
  <c r="F21" i="4"/>
  <c r="E21" i="4"/>
  <c r="H20" i="4"/>
  <c r="G20" i="4"/>
  <c r="F20" i="4"/>
  <c r="E20" i="4"/>
  <c r="H16" i="4"/>
  <c r="G16" i="4"/>
  <c r="F16" i="4"/>
  <c r="E16" i="4"/>
  <c r="H11" i="4"/>
  <c r="G11" i="4"/>
  <c r="F11" i="4"/>
  <c r="E11" i="4"/>
  <c r="H9" i="4"/>
  <c r="G9" i="4"/>
  <c r="F9" i="4"/>
  <c r="E9" i="4"/>
  <c r="H8" i="4"/>
  <c r="G8" i="4"/>
  <c r="F8" i="4"/>
  <c r="E8" i="4"/>
  <c r="H6" i="4"/>
  <c r="G6" i="4"/>
  <c r="F6" i="4"/>
  <c r="E6" i="4"/>
  <c r="H4" i="4"/>
  <c r="G4" i="4"/>
  <c r="F4" i="4"/>
  <c r="E4" i="4"/>
  <c r="H3" i="4"/>
  <c r="G3" i="4"/>
  <c r="F3" i="4"/>
  <c r="E3" i="4"/>
  <c r="H17" i="4"/>
  <c r="G17" i="4"/>
  <c r="F17" i="4"/>
  <c r="E17" i="4"/>
  <c r="H10" i="4"/>
  <c r="G10" i="4"/>
  <c r="F10" i="4"/>
  <c r="E10" i="4"/>
  <c r="H7" i="4"/>
  <c r="G7" i="4"/>
  <c r="F7" i="4"/>
  <c r="E7" i="4"/>
  <c r="H5" i="4"/>
  <c r="G5" i="4"/>
  <c r="F5" i="4"/>
  <c r="E5" i="4"/>
  <c r="B56" i="3"/>
  <c r="B55" i="3"/>
  <c r="B54" i="3"/>
  <c r="B52" i="3"/>
  <c r="B51" i="3"/>
  <c r="B50" i="3"/>
  <c r="B49" i="3"/>
  <c r="B48" i="3"/>
  <c r="C41" i="3"/>
  <c r="A41" i="3"/>
  <c r="H40" i="3"/>
  <c r="G40" i="3"/>
  <c r="F40" i="3"/>
  <c r="E40" i="3"/>
  <c r="H39" i="3"/>
  <c r="G39" i="3"/>
  <c r="F39" i="3"/>
  <c r="E39" i="3"/>
  <c r="H38" i="3"/>
  <c r="G38" i="3"/>
  <c r="F38" i="3"/>
  <c r="E38" i="3"/>
  <c r="H37" i="3"/>
  <c r="G37" i="3"/>
  <c r="F37" i="3"/>
  <c r="E37" i="3"/>
  <c r="H36" i="3"/>
  <c r="G36" i="3"/>
  <c r="F36" i="3"/>
  <c r="E36" i="3"/>
  <c r="H35" i="3"/>
  <c r="G35" i="3"/>
  <c r="F35" i="3"/>
  <c r="E35" i="3"/>
  <c r="H34" i="3"/>
  <c r="G34" i="3"/>
  <c r="F34" i="3"/>
  <c r="E34" i="3"/>
  <c r="H33" i="3"/>
  <c r="G33" i="3"/>
  <c r="F33" i="3"/>
  <c r="E33" i="3"/>
  <c r="H32" i="3"/>
  <c r="G32" i="3"/>
  <c r="F32" i="3"/>
  <c r="E32" i="3"/>
  <c r="H31" i="3"/>
  <c r="G31" i="3"/>
  <c r="F31" i="3"/>
  <c r="E31" i="3"/>
  <c r="H30" i="3"/>
  <c r="G30" i="3"/>
  <c r="F30" i="3"/>
  <c r="E30" i="3"/>
  <c r="H29" i="3"/>
  <c r="G29" i="3"/>
  <c r="F29" i="3"/>
  <c r="E29" i="3"/>
  <c r="H28" i="3"/>
  <c r="G28" i="3"/>
  <c r="F28" i="3"/>
  <c r="E28" i="3"/>
  <c r="H27" i="3"/>
  <c r="G27" i="3"/>
  <c r="F27" i="3"/>
  <c r="E27" i="3"/>
  <c r="H26" i="3"/>
  <c r="G26" i="3"/>
  <c r="F26" i="3"/>
  <c r="E26" i="3"/>
  <c r="H25" i="3"/>
  <c r="G25" i="3"/>
  <c r="F25" i="3"/>
  <c r="E25" i="3"/>
  <c r="H24" i="3"/>
  <c r="G24" i="3"/>
  <c r="F24" i="3"/>
  <c r="E24" i="3"/>
  <c r="H23" i="3"/>
  <c r="G23" i="3"/>
  <c r="F23" i="3"/>
  <c r="E23" i="3"/>
  <c r="H22" i="3"/>
  <c r="G22" i="3"/>
  <c r="F22" i="3"/>
  <c r="E22" i="3"/>
  <c r="H21" i="3"/>
  <c r="G21" i="3"/>
  <c r="F21" i="3"/>
  <c r="E21" i="3"/>
  <c r="H20" i="3"/>
  <c r="G20" i="3"/>
  <c r="F20" i="3"/>
  <c r="E20" i="3"/>
  <c r="H19" i="3"/>
  <c r="G19" i="3"/>
  <c r="F19" i="3"/>
  <c r="E19" i="3"/>
  <c r="H18" i="3"/>
  <c r="G18" i="3"/>
  <c r="F18" i="3"/>
  <c r="E18" i="3"/>
  <c r="H17" i="3"/>
  <c r="G17" i="3"/>
  <c r="F17" i="3"/>
  <c r="E17" i="3"/>
  <c r="H16" i="3"/>
  <c r="G16" i="3"/>
  <c r="F16" i="3"/>
  <c r="E16" i="3"/>
  <c r="H15" i="3"/>
  <c r="G15" i="3"/>
  <c r="F15" i="3"/>
  <c r="E15" i="3"/>
  <c r="H14" i="3"/>
  <c r="G14" i="3"/>
  <c r="F14" i="3"/>
  <c r="E14" i="3"/>
  <c r="H13" i="3"/>
  <c r="G13" i="3"/>
  <c r="F13" i="3"/>
  <c r="E13" i="3"/>
  <c r="H12" i="3"/>
  <c r="G12" i="3"/>
  <c r="F12" i="3"/>
  <c r="E12" i="3"/>
  <c r="H11" i="3"/>
  <c r="G11" i="3"/>
  <c r="F11" i="3"/>
  <c r="E11" i="3"/>
  <c r="H10" i="3"/>
  <c r="G10" i="3"/>
  <c r="F10" i="3"/>
  <c r="E10" i="3"/>
  <c r="H9" i="3"/>
  <c r="G9" i="3"/>
  <c r="F9" i="3"/>
  <c r="E9" i="3"/>
  <c r="H8" i="3"/>
  <c r="G8" i="3"/>
  <c r="F8" i="3"/>
  <c r="E8" i="3"/>
  <c r="H7" i="3"/>
  <c r="G7" i="3"/>
  <c r="F7" i="3"/>
  <c r="E7" i="3"/>
  <c r="H6" i="3"/>
  <c r="G6" i="3"/>
  <c r="F6" i="3"/>
  <c r="E6" i="3"/>
  <c r="H5" i="3"/>
  <c r="G5" i="3"/>
  <c r="F5" i="3"/>
  <c r="E5" i="3"/>
  <c r="H4" i="3"/>
  <c r="G4" i="3"/>
  <c r="F4" i="3"/>
  <c r="E4" i="3"/>
  <c r="H3" i="3"/>
  <c r="G3" i="3"/>
  <c r="F3" i="3"/>
  <c r="E3" i="3"/>
  <c r="B55" i="1"/>
  <c r="B54" i="1"/>
  <c r="B53" i="1"/>
  <c r="B51" i="1"/>
  <c r="B50" i="1"/>
  <c r="B49" i="1"/>
  <c r="B48" i="1"/>
  <c r="B47" i="1"/>
  <c r="C41" i="2"/>
  <c r="A41" i="2"/>
  <c r="H40" i="2"/>
  <c r="G40" i="2"/>
  <c r="F40" i="2"/>
  <c r="E40" i="2"/>
  <c r="H39" i="2"/>
  <c r="G39" i="2"/>
  <c r="F39" i="2"/>
  <c r="E39" i="2"/>
  <c r="H38" i="2"/>
  <c r="G38" i="2"/>
  <c r="F38" i="2"/>
  <c r="E38" i="2"/>
  <c r="H37" i="2"/>
  <c r="G37" i="2"/>
  <c r="F37" i="2"/>
  <c r="E37" i="2"/>
  <c r="H36" i="2"/>
  <c r="G36" i="2"/>
  <c r="F36" i="2"/>
  <c r="E36" i="2"/>
  <c r="H35" i="2"/>
  <c r="G35" i="2"/>
  <c r="F35" i="2"/>
  <c r="E35" i="2"/>
  <c r="H34" i="2"/>
  <c r="G34" i="2"/>
  <c r="F34" i="2"/>
  <c r="E34" i="2"/>
  <c r="H33" i="2"/>
  <c r="G33" i="2"/>
  <c r="F33" i="2"/>
  <c r="E33" i="2"/>
  <c r="H32" i="2"/>
  <c r="G32" i="2"/>
  <c r="F32" i="2"/>
  <c r="E32" i="2"/>
  <c r="H31" i="2"/>
  <c r="G31" i="2"/>
  <c r="F31" i="2"/>
  <c r="E31" i="2"/>
  <c r="H30" i="2"/>
  <c r="G30" i="2"/>
  <c r="F30" i="2"/>
  <c r="E30" i="2"/>
  <c r="H29" i="2"/>
  <c r="G29" i="2"/>
  <c r="F29" i="2"/>
  <c r="E29" i="2"/>
  <c r="H28" i="2"/>
  <c r="G28" i="2"/>
  <c r="F28" i="2"/>
  <c r="E28" i="2"/>
  <c r="H27" i="2"/>
  <c r="G27" i="2"/>
  <c r="F27" i="2"/>
  <c r="E27" i="2"/>
  <c r="H26" i="2"/>
  <c r="G26" i="2"/>
  <c r="F26" i="2"/>
  <c r="E26" i="2"/>
  <c r="H25" i="2"/>
  <c r="G25" i="2"/>
  <c r="F25" i="2"/>
  <c r="E25" i="2"/>
  <c r="H24" i="2"/>
  <c r="G24" i="2"/>
  <c r="F24" i="2"/>
  <c r="E24" i="2"/>
  <c r="H23" i="2"/>
  <c r="G23" i="2"/>
  <c r="F23" i="2"/>
  <c r="E23" i="2"/>
  <c r="H22" i="2"/>
  <c r="G22" i="2"/>
  <c r="F22" i="2"/>
  <c r="E22" i="2"/>
  <c r="H21" i="2"/>
  <c r="G21" i="2"/>
  <c r="F21" i="2"/>
  <c r="E21" i="2"/>
  <c r="H20" i="2"/>
  <c r="G20" i="2"/>
  <c r="F20" i="2"/>
  <c r="E20" i="2"/>
  <c r="H19" i="2"/>
  <c r="G19" i="2"/>
  <c r="F19" i="2"/>
  <c r="E19" i="2"/>
  <c r="H18" i="2"/>
  <c r="G18" i="2"/>
  <c r="F18" i="2"/>
  <c r="E18" i="2"/>
  <c r="H17" i="2"/>
  <c r="G17" i="2"/>
  <c r="F17" i="2"/>
  <c r="E17" i="2"/>
  <c r="H16" i="2"/>
  <c r="G16" i="2"/>
  <c r="F16" i="2"/>
  <c r="E16" i="2"/>
  <c r="H15" i="2"/>
  <c r="G15" i="2"/>
  <c r="F15" i="2"/>
  <c r="E15" i="2"/>
  <c r="H14" i="2"/>
  <c r="G14" i="2"/>
  <c r="F14" i="2"/>
  <c r="E14" i="2"/>
  <c r="H13" i="2"/>
  <c r="G13" i="2"/>
  <c r="F13" i="2"/>
  <c r="E13" i="2"/>
  <c r="H12" i="2"/>
  <c r="G12" i="2"/>
  <c r="F12" i="2"/>
  <c r="E12" i="2"/>
  <c r="H11" i="2"/>
  <c r="G11" i="2"/>
  <c r="F11" i="2"/>
  <c r="E11" i="2"/>
  <c r="H10" i="2"/>
  <c r="G10" i="2"/>
  <c r="F10" i="2"/>
  <c r="E10" i="2"/>
  <c r="H9" i="2"/>
  <c r="G9" i="2"/>
  <c r="F9" i="2"/>
  <c r="E9" i="2"/>
  <c r="H8" i="2"/>
  <c r="G8" i="2"/>
  <c r="F8" i="2"/>
  <c r="E8" i="2"/>
  <c r="H7" i="2"/>
  <c r="G7" i="2"/>
  <c r="F7" i="2"/>
  <c r="E7" i="2"/>
  <c r="H6" i="2"/>
  <c r="G6" i="2"/>
  <c r="F6" i="2"/>
  <c r="E6" i="2"/>
  <c r="H5" i="2"/>
  <c r="G5" i="2"/>
  <c r="F5" i="2"/>
  <c r="E5" i="2"/>
  <c r="H4" i="2"/>
  <c r="G4" i="2"/>
  <c r="F4" i="2"/>
  <c r="E4" i="2"/>
  <c r="H3" i="2"/>
  <c r="G3" i="2"/>
  <c r="F3" i="2"/>
  <c r="E3" i="2"/>
  <c r="C41" i="1"/>
  <c r="A41" i="1"/>
  <c r="H37" i="1"/>
  <c r="G37" i="1"/>
  <c r="F37" i="1"/>
  <c r="E37" i="1"/>
  <c r="H36" i="1"/>
  <c r="G36" i="1"/>
  <c r="F36" i="1"/>
  <c r="E36" i="1"/>
  <c r="H35" i="1"/>
  <c r="G35" i="1"/>
  <c r="F35" i="1"/>
  <c r="E35" i="1"/>
  <c r="H40" i="1"/>
  <c r="G40" i="1"/>
  <c r="F40" i="1"/>
  <c r="E40" i="1"/>
  <c r="H39" i="1"/>
  <c r="G39" i="1"/>
  <c r="F39" i="1"/>
  <c r="E39" i="1"/>
  <c r="H38" i="1"/>
  <c r="G38" i="1"/>
  <c r="F38" i="1"/>
  <c r="E38" i="1"/>
  <c r="H16" i="1"/>
  <c r="G16" i="1"/>
  <c r="F16" i="1"/>
  <c r="E16" i="1"/>
  <c r="H15" i="1"/>
  <c r="G15" i="1"/>
  <c r="F15" i="1"/>
  <c r="E15" i="1"/>
  <c r="H14" i="1"/>
  <c r="G14" i="1"/>
  <c r="F14" i="1"/>
  <c r="E14" i="1"/>
  <c r="H13" i="1"/>
  <c r="G13" i="1"/>
  <c r="F13" i="1"/>
  <c r="E13" i="1"/>
  <c r="H30" i="1"/>
  <c r="G30" i="1"/>
  <c r="F30" i="1"/>
  <c r="E30" i="1"/>
  <c r="H29" i="1"/>
  <c r="G29" i="1"/>
  <c r="F29" i="1"/>
  <c r="E29" i="1"/>
  <c r="H28" i="1"/>
  <c r="G28" i="1"/>
  <c r="F28" i="1"/>
  <c r="E28" i="1"/>
  <c r="H27" i="1"/>
  <c r="G27" i="1"/>
  <c r="F27" i="1"/>
  <c r="E27" i="1"/>
  <c r="H23" i="1"/>
  <c r="G23" i="1"/>
  <c r="F23" i="1"/>
  <c r="E23" i="1"/>
  <c r="H22" i="1"/>
  <c r="G22" i="1"/>
  <c r="F22" i="1"/>
  <c r="E22" i="1"/>
  <c r="H21" i="1"/>
  <c r="G21" i="1"/>
  <c r="F21" i="1"/>
  <c r="E21" i="1"/>
  <c r="H20" i="1"/>
  <c r="G20" i="1"/>
  <c r="F20" i="1"/>
  <c r="E20" i="1"/>
  <c r="H19" i="1"/>
  <c r="G19" i="1"/>
  <c r="F19" i="1"/>
  <c r="E19" i="1"/>
  <c r="H18" i="1"/>
  <c r="G18" i="1"/>
  <c r="F18" i="1"/>
  <c r="E18" i="1"/>
  <c r="H17" i="1"/>
  <c r="G17" i="1"/>
  <c r="F17" i="1"/>
  <c r="E17" i="1"/>
  <c r="H34" i="1"/>
  <c r="G34" i="1"/>
  <c r="F34" i="1"/>
  <c r="E34" i="1"/>
  <c r="H33" i="1"/>
  <c r="G33" i="1"/>
  <c r="F33" i="1"/>
  <c r="E33" i="1"/>
  <c r="H32" i="1"/>
  <c r="G32" i="1"/>
  <c r="F32" i="1"/>
  <c r="E32" i="1"/>
  <c r="H31" i="1"/>
  <c r="G31" i="1"/>
  <c r="F31" i="1"/>
  <c r="E31" i="1"/>
  <c r="H12" i="1"/>
  <c r="G12" i="1"/>
  <c r="F12" i="1"/>
  <c r="E12" i="1"/>
  <c r="H11" i="1"/>
  <c r="G11" i="1"/>
  <c r="F11" i="1"/>
  <c r="E11" i="1"/>
  <c r="H10" i="1"/>
  <c r="G10" i="1"/>
  <c r="F10" i="1"/>
  <c r="E10" i="1"/>
  <c r="H9" i="1"/>
  <c r="G9" i="1"/>
  <c r="F9" i="1"/>
  <c r="E9" i="1"/>
  <c r="H8" i="1"/>
  <c r="G8" i="1"/>
  <c r="F8" i="1"/>
  <c r="E8" i="1"/>
  <c r="H7" i="1"/>
  <c r="G7" i="1"/>
  <c r="F7" i="1"/>
  <c r="E7" i="1"/>
  <c r="H26" i="1"/>
  <c r="G26" i="1"/>
  <c r="F26" i="1"/>
  <c r="E26" i="1"/>
  <c r="H25" i="1"/>
  <c r="G25" i="1"/>
  <c r="F25" i="1"/>
  <c r="E25" i="1"/>
  <c r="H24" i="1"/>
  <c r="G24" i="1"/>
  <c r="F24" i="1"/>
  <c r="E24" i="1"/>
  <c r="H6" i="1"/>
  <c r="G6" i="1"/>
  <c r="F6" i="1"/>
  <c r="E6" i="1"/>
  <c r="H5" i="1"/>
  <c r="G5" i="1"/>
  <c r="F5" i="1"/>
  <c r="E5" i="1"/>
  <c r="H4" i="1"/>
  <c r="G4" i="1"/>
  <c r="F4" i="1"/>
  <c r="E4" i="1"/>
  <c r="H3" i="1"/>
  <c r="G3" i="1"/>
  <c r="F3" i="1"/>
  <c r="E3" i="1"/>
  <c r="C59" i="3" l="1"/>
  <c r="B58" i="3"/>
  <c r="C58" i="3"/>
  <c r="B59" i="3"/>
  <c r="C58" i="1"/>
  <c r="B58" i="1"/>
  <c r="C57" i="1"/>
  <c r="B57" i="1"/>
</calcChain>
</file>

<file path=xl/sharedStrings.xml><?xml version="1.0" encoding="utf-8"?>
<sst xmlns="http://schemas.openxmlformats.org/spreadsheetml/2006/main" count="1015" uniqueCount="93">
  <si>
    <t>ROYAL ENFIELD MOTORCYCLE MODELS &amp; PRICE</t>
  </si>
  <si>
    <t xml:space="preserve"> </t>
  </si>
  <si>
    <t xml:space="preserve">MODEL NAME </t>
  </si>
  <si>
    <t>COLOUR</t>
  </si>
  <si>
    <t>PRICE</t>
  </si>
  <si>
    <t>CATEGORY</t>
  </si>
  <si>
    <t>PRICE HIGH /LOW</t>
  </si>
  <si>
    <t>RIGHT FUNCTIONS</t>
  </si>
  <si>
    <t>LEFT</t>
  </si>
  <si>
    <t>MID</t>
  </si>
  <si>
    <t>BULLET 350</t>
  </si>
  <si>
    <t>MILLITARY BLACK , MILLTARY RED</t>
  </si>
  <si>
    <t>350cc</t>
  </si>
  <si>
    <t>MILLITARY SILVER BLACK, MILLITARY SILVER RED</t>
  </si>
  <si>
    <t>THE STANDARD BLACK, THE STANDARD MAROON</t>
  </si>
  <si>
    <t>BLACK GOLD</t>
  </si>
  <si>
    <t xml:space="preserve">HUNTER 350 </t>
  </si>
  <si>
    <t>FACTORY BLACK, FACTORY SILVER</t>
  </si>
  <si>
    <t>350cc RETRO</t>
  </si>
  <si>
    <t>DAPPER WHITE, DAPPER GREY, DAPPER ORANGE</t>
  </si>
  <si>
    <t>350cc METRO</t>
  </si>
  <si>
    <t>REBEL BLUE, REBEL BLACK, REBEL RED</t>
  </si>
  <si>
    <t>CLASSIC 350</t>
  </si>
  <si>
    <t>REDDITCH GREY, REDDITCH RED</t>
  </si>
  <si>
    <t>350cc Single Channel ABS</t>
  </si>
  <si>
    <t>HALCYON BLACK, HALCYON GREEN</t>
  </si>
  <si>
    <t>350cc Dual Chanal ABS</t>
  </si>
  <si>
    <t>SIGNALS MARSH GREY, SIGNALS DESERT SAND</t>
  </si>
  <si>
    <t>DARK SEALTH BLACK, DARK GUNMETAL GREY</t>
  </si>
  <si>
    <t>CROME BRONZE, CROME RED</t>
  </si>
  <si>
    <t>METEOR 350</t>
  </si>
  <si>
    <t>FIREBALL BLACK, RED, BLUE, MATT GREEN</t>
  </si>
  <si>
    <t>350cc Fireball</t>
  </si>
  <si>
    <t>STELLAR BLUE, RED, BLACK</t>
  </si>
  <si>
    <t>350cc Stellar</t>
  </si>
  <si>
    <t>AURORA BLUE, GREEN, BLACK</t>
  </si>
  <si>
    <t xml:space="preserve">350cc Aurora </t>
  </si>
  <si>
    <t>SUPERNOVA BLUE, RED</t>
  </si>
  <si>
    <t xml:space="preserve"> 350cc Super Nova</t>
  </si>
  <si>
    <t>HIMALAYAN 411</t>
  </si>
  <si>
    <t>GRAPHITE YELLOW, RED, BLUE</t>
  </si>
  <si>
    <t>411cc Scram</t>
  </si>
  <si>
    <t>SKYLINE BLUE, BLAZING BLACK</t>
  </si>
  <si>
    <t>WHITE FLAME, SILVER SPIRIT</t>
  </si>
  <si>
    <t>HIMALAYAN 450</t>
  </si>
  <si>
    <t>KAZA BROWN</t>
  </si>
  <si>
    <t>450cc</t>
  </si>
  <si>
    <t>SLATE HIMALAYAN SALT, SLATE POPPY BLUE</t>
  </si>
  <si>
    <t>KAMET WHITE</t>
  </si>
  <si>
    <t>HANLE BLACK</t>
  </si>
  <si>
    <t>INTERCEPTOR 650</t>
  </si>
  <si>
    <t>CANYON RED, CALI GREEN</t>
  </si>
  <si>
    <t>650cc Twin cylinder</t>
  </si>
  <si>
    <t>SUNSET STRIP BLACK, BLACKPEARL</t>
  </si>
  <si>
    <t>BARCELONA BLUE, BLACKRAY</t>
  </si>
  <si>
    <t>650cc Twin cylinder with alloy</t>
  </si>
  <si>
    <t>MARK TWO CROME</t>
  </si>
  <si>
    <t>CONTINENTAL GT 650</t>
  </si>
  <si>
    <t>ROCKER RED, BRITISH RACING GREEN</t>
  </si>
  <si>
    <t>DUX DELUXUE</t>
  </si>
  <si>
    <t>APEX GREY, SLIPSTREAM BLUE</t>
  </si>
  <si>
    <t>Mr CLEAN CROME</t>
  </si>
  <si>
    <t>SUPER METEOR 650</t>
  </si>
  <si>
    <t>ASTRAL BLACK, ASTRAL BLUE, ASTRAL GREEN</t>
  </si>
  <si>
    <t>650cc c22 (connected)</t>
  </si>
  <si>
    <t>INTERSTELLAR GREEN, INTERSTELLAR GREY</t>
  </si>
  <si>
    <t>CELESTIAL RED, CELESTIAL BLUE</t>
  </si>
  <si>
    <t>SHOTGUN 650</t>
  </si>
  <si>
    <t>SHEET METAL GREY</t>
  </si>
  <si>
    <t>650cc</t>
  </si>
  <si>
    <t>GREEN DRILL, PLASMA BLUE</t>
  </si>
  <si>
    <t>STENCIL WHITE</t>
  </si>
  <si>
    <t>HIGH PRICE</t>
  </si>
  <si>
    <t>LOW PRICE</t>
  </si>
  <si>
    <t>SUMIF</t>
  </si>
  <si>
    <t>COUNTIF</t>
  </si>
  <si>
    <t>SUMMARY STATISTICS</t>
  </si>
  <si>
    <t>MEDIAN</t>
  </si>
  <si>
    <t>MODE</t>
  </si>
  <si>
    <t>STANDARD DEVIATION</t>
  </si>
  <si>
    <t>MEAN</t>
  </si>
  <si>
    <r>
      <t xml:space="preserve">Totel </t>
    </r>
    <r>
      <rPr>
        <b/>
        <sz val="11"/>
        <color rgb="FFFF0000"/>
        <rFont val="Calibri"/>
        <family val="2"/>
        <scheme val="minor"/>
      </rPr>
      <t>SUM</t>
    </r>
    <r>
      <rPr>
        <sz val="11"/>
        <color theme="1"/>
        <rFont val="Calibri"/>
        <family val="2"/>
        <scheme val="minor"/>
      </rPr>
      <t xml:space="preserve"> of Price</t>
    </r>
  </si>
  <si>
    <r>
      <rPr>
        <sz val="11"/>
        <color theme="1"/>
        <rFont val="Calibri"/>
        <family val="2"/>
        <scheme val="minor"/>
      </rPr>
      <t xml:space="preserve">Totel </t>
    </r>
    <r>
      <rPr>
        <b/>
        <sz val="11"/>
        <color rgb="FFFF0000"/>
        <rFont val="Calibri"/>
        <family val="2"/>
        <scheme val="minor"/>
      </rPr>
      <t>COUNT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of Motorcycle</t>
    </r>
  </si>
  <si>
    <r>
      <rPr>
        <b/>
        <sz val="11"/>
        <color rgb="FFFF0000"/>
        <rFont val="Calibri"/>
        <family val="2"/>
        <scheme val="minor"/>
      </rPr>
      <t>MIN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Price </t>
    </r>
  </si>
  <si>
    <r>
      <rPr>
        <b/>
        <sz val="11"/>
        <color rgb="FFFF0000"/>
        <rFont val="Calibri"/>
        <family val="2"/>
        <scheme val="minor"/>
      </rPr>
      <t>MAX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Price</t>
    </r>
  </si>
  <si>
    <r>
      <rPr>
        <b/>
        <sz val="11"/>
        <color rgb="FFFF0000"/>
        <rFont val="Calibri"/>
        <family val="2"/>
        <scheme val="minor"/>
      </rPr>
      <t>AVG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Price</t>
    </r>
  </si>
  <si>
    <r>
      <rPr>
        <b/>
        <sz val="11"/>
        <color rgb="FFFF0000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>(C3&gt;=200100"HIGH PRICE","LOW PRICE")</t>
    </r>
  </si>
  <si>
    <r>
      <t>price filtering</t>
    </r>
    <r>
      <rPr>
        <b/>
        <u/>
        <sz val="14"/>
        <color rgb="FFFF0000"/>
        <rFont val="Calibri"/>
        <family val="2"/>
        <scheme val="minor"/>
      </rPr>
      <t xml:space="preserve"> $2500</t>
    </r>
    <r>
      <rPr>
        <b/>
        <u/>
        <sz val="14"/>
        <color theme="1"/>
        <rFont val="Calibri"/>
        <family val="2"/>
        <scheme val="minor"/>
      </rPr>
      <t xml:space="preserve"> to </t>
    </r>
    <r>
      <rPr>
        <b/>
        <u/>
        <sz val="14"/>
        <color rgb="FFFF0000"/>
        <rFont val="Calibri"/>
        <family val="2"/>
        <scheme val="minor"/>
      </rPr>
      <t>$3500</t>
    </r>
    <r>
      <rPr>
        <b/>
        <u/>
        <sz val="14"/>
        <color theme="1"/>
        <rFont val="Calibri"/>
        <family val="2"/>
        <scheme val="minor"/>
      </rPr>
      <t xml:space="preserve"> </t>
    </r>
  </si>
  <si>
    <t>Category-based Filtering by 650 CC</t>
  </si>
  <si>
    <r>
      <t xml:space="preserve"> </t>
    </r>
    <r>
      <rPr>
        <b/>
        <sz val="14"/>
        <color theme="1"/>
        <rFont val="Calibri"/>
        <family val="2"/>
        <scheme val="minor"/>
      </rPr>
      <t>first sort the dataset by '</t>
    </r>
    <r>
      <rPr>
        <b/>
        <sz val="14"/>
        <color rgb="FFFF0000"/>
        <rFont val="Calibri"/>
        <family val="2"/>
        <scheme val="minor"/>
      </rPr>
      <t>MODEL NAME</t>
    </r>
    <r>
      <rPr>
        <b/>
        <sz val="14"/>
        <color theme="1"/>
        <rFont val="Calibri"/>
        <family val="2"/>
        <scheme val="minor"/>
      </rPr>
      <t>' in ascending order and then by '</t>
    </r>
    <r>
      <rPr>
        <b/>
        <sz val="14"/>
        <color rgb="FFFF0000"/>
        <rFont val="Calibri"/>
        <family val="2"/>
        <scheme val="minor"/>
      </rPr>
      <t>Price</t>
    </r>
    <r>
      <rPr>
        <b/>
        <sz val="14"/>
        <color theme="1"/>
        <rFont val="Calibri"/>
        <family val="2"/>
        <scheme val="minor"/>
      </rPr>
      <t xml:space="preserve">' in descending order </t>
    </r>
  </si>
  <si>
    <r>
      <t>Sort the dataset in ascending order "</t>
    </r>
    <r>
      <rPr>
        <b/>
        <sz val="16"/>
        <color rgb="FFFF0000"/>
        <rFont val="Calibri"/>
        <family val="2"/>
        <scheme val="minor"/>
      </rPr>
      <t>PRICE</t>
    </r>
    <r>
      <rPr>
        <b/>
        <sz val="16"/>
        <color theme="1"/>
        <rFont val="Calibri"/>
        <family val="2"/>
        <scheme val="minor"/>
      </rPr>
      <t>" column</t>
    </r>
  </si>
  <si>
    <r>
      <t xml:space="preserve">VLOOKUP </t>
    </r>
    <r>
      <rPr>
        <b/>
        <sz val="16"/>
        <color rgb="FFFF0000"/>
        <rFont val="Calibri"/>
        <family val="2"/>
        <scheme val="minor"/>
      </rPr>
      <t xml:space="preserve">MODEL NAME </t>
    </r>
    <r>
      <rPr>
        <b/>
        <sz val="16"/>
        <color theme="1"/>
        <rFont val="Calibri"/>
        <family val="2"/>
        <scheme val="minor"/>
      </rPr>
      <t xml:space="preserve">&amp; </t>
    </r>
    <r>
      <rPr>
        <b/>
        <sz val="16"/>
        <color rgb="FFFF0000"/>
        <rFont val="Calibri"/>
        <family val="2"/>
        <scheme val="minor"/>
      </rPr>
      <t>PRICE</t>
    </r>
  </si>
  <si>
    <r>
      <t>HLOOKUP for</t>
    </r>
    <r>
      <rPr>
        <b/>
        <sz val="18"/>
        <color rgb="FFFF0000"/>
        <rFont val="Calibri"/>
        <family val="2"/>
        <scheme val="minor"/>
      </rPr>
      <t xml:space="preserve"> Price</t>
    </r>
    <r>
      <rPr>
        <b/>
        <sz val="18"/>
        <color theme="1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</si>
</sst>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5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 val="double"/>
      <sz val="12"/>
      <color theme="7" tint="-0.249977111117893"/>
      <name val="Calibri"/>
      <family val="2"/>
      <scheme val="minor"/>
    </font>
    <font>
      <b/>
      <u/>
      <sz val="12"/>
      <color rgb="FFCC3300"/>
      <name val="Cooper Black"/>
      <family val="1"/>
    </font>
    <font>
      <b/>
      <u/>
      <sz val="11"/>
      <color rgb="FFCC3300"/>
      <name val="Cooper Black"/>
      <family val="1"/>
    </font>
    <font>
      <sz val="11"/>
      <color rgb="FFCC330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i/>
      <sz val="11"/>
      <color theme="7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7" tint="-0.249977111117893"/>
      <name val="Arial"/>
      <family val="2"/>
    </font>
    <font>
      <b/>
      <sz val="11"/>
      <color theme="4" tint="-0.249977111117893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i/>
      <sz val="11"/>
      <color theme="5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i/>
      <sz val="11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FF7C80"/>
      <name val="Calibri"/>
      <family val="2"/>
      <scheme val="minor"/>
    </font>
    <font>
      <i/>
      <sz val="11"/>
      <color rgb="FFFF7C80"/>
      <name val="Calibri"/>
      <family val="2"/>
      <scheme val="minor"/>
    </font>
    <font>
      <sz val="11"/>
      <color rgb="FFFF7C8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i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FF00FF"/>
      <name val="Calibri"/>
      <family val="2"/>
      <scheme val="minor"/>
    </font>
    <font>
      <i/>
      <sz val="11"/>
      <color rgb="FFFF00FF"/>
      <name val="Calibri"/>
      <family val="2"/>
      <scheme val="minor"/>
    </font>
    <font>
      <sz val="11"/>
      <color rgb="FFFF00FF"/>
      <name val="Calibri"/>
      <family val="2"/>
      <scheme val="minor"/>
    </font>
    <font>
      <b/>
      <sz val="11"/>
      <color rgb="FF0066FF"/>
      <name val="Calibri"/>
      <family val="2"/>
      <scheme val="minor"/>
    </font>
    <font>
      <i/>
      <sz val="11"/>
      <color rgb="FF0066FF"/>
      <name val="Calibri"/>
      <family val="2"/>
      <scheme val="minor"/>
    </font>
    <font>
      <sz val="11"/>
      <color rgb="FF0066FF"/>
      <name val="Calibri"/>
      <family val="2"/>
      <scheme val="minor"/>
    </font>
    <font>
      <b/>
      <sz val="11"/>
      <color rgb="FF808000"/>
      <name val="Calibri"/>
      <family val="2"/>
      <scheme val="minor"/>
    </font>
    <font>
      <i/>
      <sz val="11"/>
      <color rgb="FF808000"/>
      <name val="Calibri"/>
      <family val="2"/>
      <scheme val="minor"/>
    </font>
    <font>
      <sz val="11"/>
      <color rgb="FF808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508E70"/>
      <name val="Calibri"/>
      <family val="2"/>
      <scheme val="minor"/>
    </font>
    <font>
      <i/>
      <sz val="11"/>
      <color rgb="FF508E70"/>
      <name val="Calibri"/>
      <family val="2"/>
      <scheme val="minor"/>
    </font>
    <font>
      <sz val="11"/>
      <color rgb="FF508E7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4" tint="-0.249977111117893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2" tint="-0.249977111117893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theme="1"/>
      </left>
      <right style="thin">
        <color theme="1"/>
      </right>
      <top style="double">
        <color theme="1"/>
      </top>
      <bottom/>
      <diagonal/>
    </border>
    <border>
      <left style="medium">
        <color indexed="64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0" fillId="2" borderId="1" xfId="0" applyFill="1" applyBorder="1" applyAlignment="1">
      <alignment horizontal="left" vertical="center" indent="21"/>
    </xf>
    <xf numFmtId="0" fontId="2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4" fillId="3" borderId="6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5" fillId="0" borderId="0" xfId="0" applyFont="1"/>
    <xf numFmtId="0" fontId="6" fillId="0" borderId="8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9" xfId="0" applyFont="1" applyBorder="1" applyAlignment="1">
      <alignment horizontal="left"/>
    </xf>
    <xf numFmtId="0" fontId="0" fillId="0" borderId="0" xfId="0" applyAlignment="1">
      <alignment horizontal="left"/>
    </xf>
    <xf numFmtId="0" fontId="9" fillId="0" borderId="0" xfId="0" applyFont="1" applyAlignment="1">
      <alignment horizontal="right"/>
    </xf>
    <xf numFmtId="0" fontId="10" fillId="0" borderId="9" xfId="0" applyFont="1" applyBorder="1" applyAlignment="1">
      <alignment horizontal="left"/>
    </xf>
    <xf numFmtId="3" fontId="8" fillId="0" borderId="0" xfId="0" applyNumberFormat="1" applyFont="1" applyAlignment="1">
      <alignment horizontal="left"/>
    </xf>
    <xf numFmtId="0" fontId="11" fillId="0" borderId="8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3" fillId="0" borderId="9" xfId="0" applyFont="1" applyBorder="1" applyAlignment="1">
      <alignment horizontal="left"/>
    </xf>
    <xf numFmtId="0" fontId="14" fillId="0" borderId="8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6" fillId="0" borderId="9" xfId="0" applyFont="1" applyBorder="1" applyAlignment="1">
      <alignment horizontal="left"/>
    </xf>
    <xf numFmtId="0" fontId="17" fillId="0" borderId="8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9" fillId="0" borderId="9" xfId="0" applyFont="1" applyBorder="1" applyAlignment="1">
      <alignment horizontal="left"/>
    </xf>
    <xf numFmtId="0" fontId="20" fillId="0" borderId="8" xfId="0" applyFont="1" applyBorder="1" applyAlignment="1">
      <alignment horizontal="left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2" fillId="0" borderId="9" xfId="0" applyFont="1" applyBorder="1" applyAlignment="1">
      <alignment horizontal="left"/>
    </xf>
    <xf numFmtId="0" fontId="23" fillId="0" borderId="8" xfId="0" applyFont="1" applyBorder="1" applyAlignment="1">
      <alignment horizontal="left"/>
    </xf>
    <xf numFmtId="0" fontId="24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25" fillId="0" borderId="9" xfId="0" applyFont="1" applyBorder="1" applyAlignment="1">
      <alignment horizontal="left"/>
    </xf>
    <xf numFmtId="0" fontId="26" fillId="0" borderId="8" xfId="0" applyFont="1" applyBorder="1" applyAlignment="1">
      <alignment horizontal="left"/>
    </xf>
    <xf numFmtId="0" fontId="27" fillId="0" borderId="0" xfId="0" applyFont="1" applyAlignment="1">
      <alignment horizontal="left"/>
    </xf>
    <xf numFmtId="0" fontId="28" fillId="0" borderId="0" xfId="0" applyFont="1" applyAlignment="1">
      <alignment horizontal="left"/>
    </xf>
    <xf numFmtId="0" fontId="28" fillId="0" borderId="9" xfId="0" applyFont="1" applyBorder="1" applyAlignment="1">
      <alignment horizontal="left"/>
    </xf>
    <xf numFmtId="0" fontId="29" fillId="0" borderId="8" xfId="0" applyFont="1" applyBorder="1" applyAlignment="1">
      <alignment horizontal="left"/>
    </xf>
    <xf numFmtId="0" fontId="30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0" fontId="31" fillId="0" borderId="9" xfId="0" applyFont="1" applyBorder="1" applyAlignment="1">
      <alignment horizontal="left"/>
    </xf>
    <xf numFmtId="0" fontId="32" fillId="0" borderId="8" xfId="0" applyFont="1" applyBorder="1" applyAlignment="1">
      <alignment horizontal="left"/>
    </xf>
    <xf numFmtId="0" fontId="33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4" fillId="0" borderId="9" xfId="0" applyFont="1" applyBorder="1" applyAlignment="1">
      <alignment horizontal="left"/>
    </xf>
    <xf numFmtId="0" fontId="35" fillId="0" borderId="0" xfId="0" applyFont="1" applyAlignment="1">
      <alignment horizontal="left"/>
    </xf>
    <xf numFmtId="0" fontId="34" fillId="0" borderId="0" xfId="0" applyFont="1"/>
    <xf numFmtId="0" fontId="36" fillId="0" borderId="8" xfId="0" applyFont="1" applyBorder="1" applyAlignment="1">
      <alignment horizontal="left"/>
    </xf>
    <xf numFmtId="0" fontId="37" fillId="0" borderId="0" xfId="0" applyFont="1" applyAlignment="1">
      <alignment horizontal="left"/>
    </xf>
    <xf numFmtId="0" fontId="38" fillId="0" borderId="0" xfId="0" applyFont="1" applyAlignment="1">
      <alignment horizontal="left"/>
    </xf>
    <xf numFmtId="0" fontId="38" fillId="0" borderId="9" xfId="0" applyFont="1" applyBorder="1" applyAlignment="1">
      <alignment horizontal="left"/>
    </xf>
    <xf numFmtId="0" fontId="38" fillId="0" borderId="0" xfId="0" applyFont="1"/>
    <xf numFmtId="0" fontId="36" fillId="0" borderId="10" xfId="0" applyFont="1" applyBorder="1" applyAlignment="1">
      <alignment horizontal="left"/>
    </xf>
    <xf numFmtId="0" fontId="37" fillId="0" borderId="11" xfId="0" applyFont="1" applyBorder="1" applyAlignment="1">
      <alignment horizontal="left"/>
    </xf>
    <xf numFmtId="0" fontId="38" fillId="0" borderId="11" xfId="0" applyFont="1" applyBorder="1" applyAlignment="1">
      <alignment horizontal="left"/>
    </xf>
    <xf numFmtId="0" fontId="38" fillId="0" borderId="12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39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13" xfId="0" applyBorder="1" applyAlignment="1">
      <alignment horizontal="left"/>
    </xf>
    <xf numFmtId="0" fontId="1" fillId="0" borderId="0" xfId="0" applyFont="1" applyAlignment="1">
      <alignment horizontal="center"/>
    </xf>
    <xf numFmtId="0" fontId="40" fillId="0" borderId="0" xfId="0" applyFont="1" applyAlignment="1">
      <alignment horizontal="left"/>
    </xf>
    <xf numFmtId="0" fontId="0" fillId="0" borderId="18" xfId="0" applyBorder="1" applyAlignment="1">
      <alignment horizontal="left"/>
    </xf>
    <xf numFmtId="0" fontId="0" fillId="0" borderId="21" xfId="0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22" xfId="0" applyBorder="1" applyAlignment="1">
      <alignment horizontal="right"/>
    </xf>
    <xf numFmtId="0" fontId="42" fillId="0" borderId="18" xfId="0" applyFont="1" applyBorder="1"/>
    <xf numFmtId="0" fontId="42" fillId="0" borderId="22" xfId="0" applyFont="1" applyBorder="1" applyAlignment="1">
      <alignment horizontal="right"/>
    </xf>
    <xf numFmtId="0" fontId="42" fillId="0" borderId="24" xfId="0" applyFont="1" applyBorder="1"/>
    <xf numFmtId="0" fontId="42" fillId="0" borderId="25" xfId="0" applyFont="1" applyBorder="1" applyAlignment="1">
      <alignment horizontal="right"/>
    </xf>
    <xf numFmtId="0" fontId="41" fillId="5" borderId="29" xfId="0" applyFont="1" applyFill="1" applyBorder="1" applyAlignment="1">
      <alignment horizontal="center" vertical="center"/>
    </xf>
    <xf numFmtId="0" fontId="0" fillId="5" borderId="30" xfId="0" applyFill="1" applyBorder="1" applyAlignment="1">
      <alignment horizontal="left"/>
    </xf>
    <xf numFmtId="0" fontId="0" fillId="5" borderId="31" xfId="0" applyFill="1" applyBorder="1" applyAlignment="1">
      <alignment horizontal="left"/>
    </xf>
    <xf numFmtId="0" fontId="43" fillId="0" borderId="21" xfId="0" applyFont="1" applyBorder="1" applyAlignment="1">
      <alignment horizontal="center"/>
    </xf>
    <xf numFmtId="0" fontId="43" fillId="0" borderId="23" xfId="0" applyFont="1" applyBorder="1" applyAlignment="1">
      <alignment horizontal="center"/>
    </xf>
    <xf numFmtId="0" fontId="44" fillId="0" borderId="18" xfId="0" applyFont="1" applyBorder="1"/>
    <xf numFmtId="0" fontId="44" fillId="0" borderId="22" xfId="0" applyFont="1" applyBorder="1" applyAlignment="1">
      <alignment horizontal="left"/>
    </xf>
    <xf numFmtId="0" fontId="32" fillId="0" borderId="10" xfId="0" applyFont="1" applyBorder="1" applyAlignment="1">
      <alignment horizontal="left"/>
    </xf>
    <xf numFmtId="0" fontId="33" fillId="0" borderId="11" xfId="0" applyFont="1" applyBorder="1" applyAlignment="1">
      <alignment horizontal="left"/>
    </xf>
    <xf numFmtId="0" fontId="34" fillId="0" borderId="11" xfId="0" applyFont="1" applyBorder="1" applyAlignment="1">
      <alignment horizontal="left"/>
    </xf>
    <xf numFmtId="0" fontId="34" fillId="0" borderId="12" xfId="0" applyFont="1" applyBorder="1" applyAlignment="1">
      <alignment horizontal="left"/>
    </xf>
    <xf numFmtId="164" fontId="0" fillId="2" borderId="2" xfId="0" applyNumberFormat="1" applyFill="1" applyBorder="1" applyAlignment="1">
      <alignment horizontal="left"/>
    </xf>
    <xf numFmtId="164" fontId="3" fillId="3" borderId="5" xfId="0" applyNumberFormat="1" applyFont="1" applyFill="1" applyBorder="1" applyAlignment="1">
      <alignment horizontal="left"/>
    </xf>
    <xf numFmtId="164" fontId="8" fillId="0" borderId="0" xfId="0" applyNumberFormat="1" applyFont="1" applyAlignment="1">
      <alignment horizontal="left"/>
    </xf>
    <xf numFmtId="164" fontId="16" fillId="0" borderId="0" xfId="0" applyNumberFormat="1" applyFont="1" applyAlignment="1">
      <alignment horizontal="left"/>
    </xf>
    <xf numFmtId="164" fontId="31" fillId="0" borderId="0" xfId="0" applyNumberFormat="1" applyFont="1" applyAlignment="1">
      <alignment horizontal="left"/>
    </xf>
    <xf numFmtId="164" fontId="22" fillId="0" borderId="0" xfId="0" applyNumberFormat="1" applyFont="1" applyAlignment="1">
      <alignment horizontal="left"/>
    </xf>
    <xf numFmtId="164" fontId="25" fillId="0" borderId="0" xfId="0" applyNumberFormat="1" applyFont="1" applyAlignment="1">
      <alignment horizontal="left"/>
    </xf>
    <xf numFmtId="164" fontId="13" fillId="0" borderId="0" xfId="0" applyNumberFormat="1" applyFont="1" applyAlignment="1">
      <alignment horizontal="left"/>
    </xf>
    <xf numFmtId="164" fontId="28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164" fontId="38" fillId="0" borderId="0" xfId="0" applyNumberFormat="1" applyFont="1" applyAlignment="1">
      <alignment horizontal="left"/>
    </xf>
    <xf numFmtId="164" fontId="34" fillId="0" borderId="0" xfId="0" applyNumberFormat="1" applyFont="1" applyAlignment="1">
      <alignment horizontal="left"/>
    </xf>
    <xf numFmtId="164" fontId="34" fillId="0" borderId="11" xfId="0" applyNumberFormat="1" applyFont="1" applyBorder="1" applyAlignment="1">
      <alignment horizontal="left"/>
    </xf>
    <xf numFmtId="164" fontId="0" fillId="0" borderId="0" xfId="0" applyNumberFormat="1" applyAlignment="1">
      <alignment horizontal="right"/>
    </xf>
    <xf numFmtId="164" fontId="0" fillId="5" borderId="30" xfId="0" applyNumberFormat="1" applyFill="1" applyBorder="1" applyAlignment="1">
      <alignment horizontal="left"/>
    </xf>
    <xf numFmtId="164" fontId="0" fillId="0" borderId="0" xfId="0" applyNumberFormat="1" applyAlignment="1">
      <alignment horizontal="left"/>
    </xf>
    <xf numFmtId="2" fontId="0" fillId="0" borderId="27" xfId="0" applyNumberFormat="1" applyBorder="1" applyAlignment="1">
      <alignment horizontal="left"/>
    </xf>
    <xf numFmtId="2" fontId="42" fillId="0" borderId="18" xfId="0" applyNumberFormat="1" applyFont="1" applyBorder="1"/>
    <xf numFmtId="2" fontId="44" fillId="0" borderId="18" xfId="0" applyNumberFormat="1" applyFont="1" applyBorder="1"/>
    <xf numFmtId="2" fontId="42" fillId="0" borderId="24" xfId="0" applyNumberFormat="1" applyFont="1" applyBorder="1"/>
    <xf numFmtId="0" fontId="45" fillId="0" borderId="0" xfId="0" applyFont="1"/>
    <xf numFmtId="0" fontId="29" fillId="0" borderId="32" xfId="0" applyFont="1" applyBorder="1" applyAlignment="1">
      <alignment horizontal="left"/>
    </xf>
    <xf numFmtId="0" fontId="29" fillId="0" borderId="33" xfId="0" applyFont="1" applyBorder="1" applyAlignment="1">
      <alignment horizontal="left"/>
    </xf>
    <xf numFmtId="0" fontId="29" fillId="0" borderId="34" xfId="0" applyFont="1" applyBorder="1" applyAlignment="1">
      <alignment horizontal="left"/>
    </xf>
    <xf numFmtId="0" fontId="26" fillId="0" borderId="32" xfId="0" applyFont="1" applyBorder="1" applyAlignment="1">
      <alignment horizontal="left"/>
    </xf>
    <xf numFmtId="0" fontId="26" fillId="0" borderId="33" xfId="0" applyFont="1" applyBorder="1" applyAlignment="1">
      <alignment horizontal="left"/>
    </xf>
    <xf numFmtId="0" fontId="26" fillId="0" borderId="34" xfId="0" applyFont="1" applyBorder="1" applyAlignment="1">
      <alignment horizontal="left"/>
    </xf>
    <xf numFmtId="0" fontId="36" fillId="0" borderId="32" xfId="0" applyFont="1" applyBorder="1" applyAlignment="1">
      <alignment horizontal="left"/>
    </xf>
    <xf numFmtId="0" fontId="36" fillId="0" borderId="33" xfId="0" applyFont="1" applyBorder="1" applyAlignment="1">
      <alignment horizontal="left"/>
    </xf>
    <xf numFmtId="0" fontId="32" fillId="0" borderId="33" xfId="0" applyFont="1" applyBorder="1" applyAlignment="1">
      <alignment horizontal="left"/>
    </xf>
    <xf numFmtId="0" fontId="32" fillId="0" borderId="35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47" fillId="0" borderId="34" xfId="0" applyFont="1" applyBorder="1" applyAlignment="1">
      <alignment horizontal="left"/>
    </xf>
    <xf numFmtId="0" fontId="0" fillId="0" borderId="19" xfId="0" applyBorder="1"/>
    <xf numFmtId="0" fontId="47" fillId="0" borderId="18" xfId="0" applyFont="1" applyBorder="1" applyAlignment="1">
      <alignment horizontal="left"/>
    </xf>
    <xf numFmtId="0" fontId="48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3" fontId="6" fillId="0" borderId="0" xfId="0" applyNumberFormat="1" applyFont="1" applyAlignment="1">
      <alignment horizontal="left"/>
    </xf>
    <xf numFmtId="0" fontId="17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36" fillId="0" borderId="0" xfId="0" applyFont="1" applyAlignment="1">
      <alignment horizontal="left"/>
    </xf>
    <xf numFmtId="0" fontId="32" fillId="0" borderId="0" xfId="0" applyFont="1" applyAlignment="1">
      <alignment horizontal="left"/>
    </xf>
    <xf numFmtId="0" fontId="32" fillId="0" borderId="11" xfId="0" applyFont="1" applyBorder="1" applyAlignment="1">
      <alignment horizontal="left"/>
    </xf>
    <xf numFmtId="0" fontId="6" fillId="4" borderId="16" xfId="0" applyFont="1" applyFill="1" applyBorder="1" applyAlignment="1">
      <alignment horizontal="left"/>
    </xf>
    <xf numFmtId="0" fontId="6" fillId="0" borderId="16" xfId="0" applyFont="1" applyBorder="1" applyAlignment="1">
      <alignment horizontal="left"/>
    </xf>
    <xf numFmtId="0" fontId="17" fillId="0" borderId="16" xfId="0" applyFont="1" applyBorder="1" applyAlignment="1">
      <alignment horizontal="left"/>
    </xf>
    <xf numFmtId="0" fontId="17" fillId="4" borderId="16" xfId="0" applyFont="1" applyFill="1" applyBorder="1" applyAlignment="1">
      <alignment horizontal="left"/>
    </xf>
    <xf numFmtId="0" fontId="14" fillId="0" borderId="16" xfId="0" applyFont="1" applyBorder="1" applyAlignment="1">
      <alignment horizontal="left"/>
    </xf>
    <xf numFmtId="0" fontId="14" fillId="4" borderId="16" xfId="0" applyFont="1" applyFill="1" applyBorder="1" applyAlignment="1">
      <alignment horizontal="left"/>
    </xf>
    <xf numFmtId="0" fontId="14" fillId="0" borderId="36" xfId="0" applyFont="1" applyBorder="1" applyAlignment="1">
      <alignment horizontal="left"/>
    </xf>
    <xf numFmtId="0" fontId="1" fillId="0" borderId="20" xfId="0" applyFont="1" applyBorder="1"/>
    <xf numFmtId="0" fontId="1" fillId="0" borderId="22" xfId="0" applyFont="1" applyBorder="1"/>
    <xf numFmtId="0" fontId="14" fillId="4" borderId="37" xfId="0" applyFont="1" applyFill="1" applyBorder="1" applyAlignment="1">
      <alignment horizontal="left"/>
    </xf>
    <xf numFmtId="0" fontId="1" fillId="0" borderId="25" xfId="0" applyFont="1" applyBorder="1"/>
    <xf numFmtId="0" fontId="17" fillId="0" borderId="36" xfId="0" applyFont="1" applyBorder="1" applyAlignment="1">
      <alignment horizontal="left"/>
    </xf>
    <xf numFmtId="0" fontId="17" fillId="4" borderId="37" xfId="0" applyFont="1" applyFill="1" applyBorder="1" applyAlignment="1">
      <alignment horizontal="left"/>
    </xf>
    <xf numFmtId="0" fontId="6" fillId="4" borderId="36" xfId="0" applyFont="1" applyFill="1" applyBorder="1" applyAlignment="1">
      <alignment horizontal="left"/>
    </xf>
    <xf numFmtId="0" fontId="6" fillId="0" borderId="37" xfId="0" applyFont="1" applyBorder="1" applyAlignment="1">
      <alignment horizontal="left"/>
    </xf>
    <xf numFmtId="0" fontId="36" fillId="0" borderId="14" xfId="0" applyFont="1" applyBorder="1" applyAlignment="1">
      <alignment horizontal="left"/>
    </xf>
    <xf numFmtId="0" fontId="1" fillId="0" borderId="38" xfId="0" applyFont="1" applyBorder="1"/>
    <xf numFmtId="0" fontId="4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2" fillId="0" borderId="0" xfId="0" applyFont="1"/>
    <xf numFmtId="1" fontId="0" fillId="2" borderId="2" xfId="0" applyNumberFormat="1" applyFill="1" applyBorder="1" applyAlignment="1">
      <alignment horizontal="left"/>
    </xf>
    <xf numFmtId="1" fontId="3" fillId="3" borderId="5" xfId="0" applyNumberFormat="1" applyFont="1" applyFill="1" applyBorder="1" applyAlignment="1">
      <alignment horizontal="left"/>
    </xf>
    <xf numFmtId="1" fontId="8" fillId="0" borderId="0" xfId="0" applyNumberFormat="1" applyFont="1" applyAlignment="1">
      <alignment horizontal="left"/>
    </xf>
    <xf numFmtId="1" fontId="13" fillId="0" borderId="0" xfId="0" applyNumberFormat="1" applyFont="1" applyAlignment="1">
      <alignment horizontal="left"/>
    </xf>
    <xf numFmtId="1" fontId="16" fillId="0" borderId="0" xfId="0" applyNumberFormat="1" applyFont="1" applyAlignment="1">
      <alignment horizontal="left"/>
    </xf>
    <xf numFmtId="1" fontId="19" fillId="0" borderId="0" xfId="0" applyNumberFormat="1" applyFont="1" applyAlignment="1">
      <alignment horizontal="left"/>
    </xf>
    <xf numFmtId="1" fontId="22" fillId="0" borderId="0" xfId="0" applyNumberFormat="1" applyFont="1" applyAlignment="1">
      <alignment horizontal="left"/>
    </xf>
    <xf numFmtId="1" fontId="25" fillId="0" borderId="0" xfId="0" applyNumberFormat="1" applyFont="1" applyAlignment="1">
      <alignment horizontal="left"/>
    </xf>
    <xf numFmtId="1" fontId="28" fillId="0" borderId="0" xfId="0" applyNumberFormat="1" applyFont="1" applyAlignment="1">
      <alignment horizontal="left"/>
    </xf>
    <xf numFmtId="1" fontId="31" fillId="0" borderId="0" xfId="0" applyNumberFormat="1" applyFont="1" applyAlignment="1">
      <alignment horizontal="left"/>
    </xf>
    <xf numFmtId="1" fontId="34" fillId="0" borderId="0" xfId="0" applyNumberFormat="1" applyFont="1" applyAlignment="1">
      <alignment horizontal="left"/>
    </xf>
    <xf numFmtId="1" fontId="38" fillId="0" borderId="0" xfId="0" applyNumberFormat="1" applyFont="1" applyAlignment="1">
      <alignment horizontal="left"/>
    </xf>
    <xf numFmtId="1" fontId="38" fillId="0" borderId="11" xfId="0" applyNumberFormat="1" applyFont="1" applyBorder="1" applyAlignment="1">
      <alignment horizontal="left"/>
    </xf>
    <xf numFmtId="1" fontId="0" fillId="0" borderId="0" xfId="0" applyNumberFormat="1" applyAlignment="1">
      <alignment horizontal="right"/>
    </xf>
    <xf numFmtId="1" fontId="0" fillId="0" borderId="13" xfId="0" applyNumberFormat="1" applyBorder="1" applyAlignment="1">
      <alignment horizontal="left"/>
    </xf>
    <xf numFmtId="1" fontId="0" fillId="0" borderId="0" xfId="0" applyNumberFormat="1" applyAlignment="1">
      <alignment horizontal="left"/>
    </xf>
    <xf numFmtId="1" fontId="0" fillId="5" borderId="31" xfId="0" applyNumberFormat="1" applyFill="1" applyBorder="1" applyAlignment="1">
      <alignment horizontal="left"/>
    </xf>
    <xf numFmtId="1" fontId="0" fillId="0" borderId="28" xfId="0" applyNumberFormat="1" applyBorder="1" applyAlignment="1">
      <alignment horizontal="left"/>
    </xf>
    <xf numFmtId="1" fontId="0" fillId="0" borderId="22" xfId="0" applyNumberFormat="1" applyBorder="1" applyAlignment="1">
      <alignment horizontal="right"/>
    </xf>
    <xf numFmtId="1" fontId="44" fillId="0" borderId="22" xfId="0" applyNumberFormat="1" applyFont="1" applyBorder="1" applyAlignment="1">
      <alignment horizontal="left"/>
    </xf>
    <xf numFmtId="1" fontId="42" fillId="0" borderId="22" xfId="0" applyNumberFormat="1" applyFont="1" applyBorder="1" applyAlignment="1">
      <alignment horizontal="right"/>
    </xf>
    <xf numFmtId="1" fontId="42" fillId="0" borderId="25" xfId="0" applyNumberFormat="1" applyFont="1" applyBorder="1" applyAlignment="1">
      <alignment horizontal="right"/>
    </xf>
    <xf numFmtId="0" fontId="11" fillId="4" borderId="16" xfId="0" applyFont="1" applyFill="1" applyBorder="1" applyAlignment="1">
      <alignment horizontal="left"/>
    </xf>
    <xf numFmtId="0" fontId="11" fillId="0" borderId="16" xfId="0" applyFont="1" applyBorder="1" applyAlignment="1">
      <alignment horizontal="left"/>
    </xf>
    <xf numFmtId="0" fontId="6" fillId="0" borderId="36" xfId="0" applyFont="1" applyBorder="1" applyAlignment="1">
      <alignment horizontal="left"/>
    </xf>
    <xf numFmtId="0" fontId="1" fillId="0" borderId="15" xfId="0" applyFont="1" applyBorder="1"/>
    <xf numFmtId="0" fontId="1" fillId="0" borderId="9" xfId="0" applyFont="1" applyBorder="1"/>
    <xf numFmtId="0" fontId="1" fillId="0" borderId="17" xfId="0" applyFont="1" applyBorder="1"/>
  </cellXfs>
  <cellStyles count="1">
    <cellStyle name="Normal" xfId="0" builtinId="0"/>
  </cellStyles>
  <dxfs count="112">
    <dxf>
      <font>
        <strike val="0"/>
        <outline val="0"/>
        <shadow val="0"/>
        <u val="none"/>
        <vertAlign val="baseline"/>
        <sz val="11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left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</font>
      <alignment horizontal="left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rgb="FFCC3300"/>
        <name val="Cooper Black"/>
        <family val="1"/>
        <scheme val="none"/>
      </font>
      <fill>
        <patternFill patternType="solid">
          <fgColor indexed="64"/>
          <bgColor theme="5" tint="0.59999389629810485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numFmt numFmtId="1" formatCode="0"/>
      <alignment horizontal="left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</font>
      <alignment horizontal="left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rgb="FFCC3300"/>
        <name val="Cooper Black"/>
        <family val="1"/>
        <scheme val="none"/>
      </font>
      <fill>
        <patternFill patternType="solid">
          <fgColor indexed="64"/>
          <bgColor theme="5" tint="0.59999389629810485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left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</font>
      <alignment horizontal="left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rgb="FFCC3300"/>
        <name val="Cooper Black"/>
        <family val="1"/>
        <scheme val="none"/>
      </font>
      <fill>
        <patternFill patternType="solid">
          <fgColor indexed="64"/>
          <bgColor theme="5" tint="0.59999389629810485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left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</font>
      <alignment horizontal="left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rgb="FFCC3300"/>
        <name val="Cooper Black"/>
        <family val="1"/>
        <scheme val="none"/>
      </font>
      <fill>
        <patternFill patternType="solid">
          <fgColor indexed="64"/>
          <bgColor theme="5" tint="0.59999389629810485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</font>
      <alignment horizontal="left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</font>
      <alignment horizontal="left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rgb="FFCC3300"/>
        <name val="Cooper Black"/>
        <family val="1"/>
        <scheme val="none"/>
      </font>
      <fill>
        <patternFill patternType="solid">
          <fgColor indexed="64"/>
          <bgColor theme="5" tint="0.59999389629810485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left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</font>
      <alignment horizontal="left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rgb="FFCC3300"/>
        <name val="Cooper Black"/>
        <family val="1"/>
        <scheme val="none"/>
      </font>
      <fill>
        <patternFill patternType="solid">
          <fgColor indexed="64"/>
          <bgColor theme="5" tint="0.59999389629810485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numFmt numFmtId="164" formatCode="_([$$-409]* #,##0.00_);_([$$-409]* \(#,##0.00\);_([$$-409]* &quot;-&quot;??_);_(@_)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numFmt numFmtId="164" formatCode="_([$$-409]* #,##0.00_);_([$$-409]* \(#,##0.00\);_([$$-409]* &quot;-&quot;??_);_(@_)"/>
      <alignment horizontal="left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</font>
      <alignment horizontal="left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rgb="FFCC3300"/>
        <name val="Cooper Black"/>
        <family val="1"/>
        <scheme val="none"/>
      </font>
      <fill>
        <patternFill patternType="solid">
          <fgColor indexed="64"/>
          <bgColor theme="5" tint="0.59999389629810485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D356AC-69B5-48D3-ADC9-EFC6F944C1F9}" name="Table1" displayName="Table1" ref="A2:H41" totalsRowCount="1" headerRowDxfId="111" dataDxfId="109" headerRowBorderDxfId="110" tableBorderDxfId="108">
  <autoFilter ref="A2:H40" xr:uid="{33D356AC-69B5-48D3-ADC9-EFC6F944C1F9}">
    <filterColumn colId="2">
      <filters>
        <filter val="$201,000.00"/>
        <filter val="$208,257.00"/>
        <filter val="$211,984.00"/>
        <filter val="$213,852.00"/>
        <filter val="$215,801.00"/>
        <filter val="$215,900.00"/>
        <filter val="$219,900.00"/>
        <filter val="$220,991.00"/>
        <filter val="$224,755.00"/>
        <filter val="$229,900.00"/>
        <filter val="$289,000.00"/>
        <filter val="$293,000.00"/>
      </filters>
    </filterColumn>
  </autoFilter>
  <sortState xmlns:xlrd2="http://schemas.microsoft.com/office/spreadsheetml/2017/richdata2" ref="A3:H40">
    <sortCondition ref="A3:A40"/>
  </sortState>
  <tableColumns count="8">
    <tableColumn id="1" xr3:uid="{9BA623B8-1B6F-44D5-90EE-5FEB6D28A3CF}" name="MODEL NAME " totalsRowFunction="count" dataDxfId="107" totalsRowDxfId="106"/>
    <tableColumn id="2" xr3:uid="{3067A815-D0F4-4469-B5A5-AD563FEF7A4F}" name="COLOUR" dataDxfId="105" totalsRowDxfId="104"/>
    <tableColumn id="3" xr3:uid="{999AFCB4-8394-4634-8FCD-A86B56BA90C0}" name="PRICE" totalsRowFunction="sum" dataDxfId="103" totalsRowDxfId="102"/>
    <tableColumn id="4" xr3:uid="{67D10917-6C12-49B3-A48E-89BC7ECCE53C}" name="CATEGORY" dataDxfId="101" totalsRowDxfId="100"/>
    <tableColumn id="5" xr3:uid="{DAD099F5-22D6-4744-BEBD-6E6D65A4A868}" name="PRICE HIGH /LOW" dataDxfId="99">
      <calculatedColumnFormula>IF(C3&gt;=200100,"HIGH PRICE","LOW PRICE")</calculatedColumnFormula>
    </tableColumn>
    <tableColumn id="6" xr3:uid="{F85F7576-7182-4D67-B2F2-936A33A0B2A2}" name="RIGHT FUNCTIONS" dataDxfId="98">
      <calculatedColumnFormula>RIGHT(A3,5)</calculatedColumnFormula>
    </tableColumn>
    <tableColumn id="7" xr3:uid="{973A5AC0-4B25-4C09-AE17-24B2087A0872}" name="LEFT" dataDxfId="97">
      <calculatedColumnFormula>LEFT(B3,6)</calculatedColumnFormula>
    </tableColumn>
    <tableColumn id="8" xr3:uid="{7875015E-689F-4794-A6D7-D64BE19BEE31}" name="MID" dataDxfId="96">
      <calculatedColumnFormula>MID(B3,8,18)</calculatedColumnFormula>
    </tableColumn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E73E03-99F3-48C2-965F-11B395F4254C}" name="Table14" displayName="Table14" ref="A2:H41" totalsRowCount="1" headerRowDxfId="95" dataDxfId="93" headerRowBorderDxfId="94" tableBorderDxfId="92">
  <autoFilter ref="A2:H40" xr:uid="{5BE73E03-99F3-48C2-965F-11B395F4254C}">
    <filterColumn colId="3">
      <filters>
        <filter val="650cc"/>
        <filter val="650cc c22 (connected)"/>
        <filter val="650cc Twin cylinder"/>
        <filter val="650cc Twin cylinder with alloy"/>
      </filters>
    </filterColumn>
  </autoFilter>
  <sortState xmlns:xlrd2="http://schemas.microsoft.com/office/spreadsheetml/2017/richdata2" ref="A3:H40">
    <sortCondition ref="A3:A40"/>
  </sortState>
  <tableColumns count="8">
    <tableColumn id="1" xr3:uid="{6B67E3CB-E463-49F6-93FA-558EA44E4CD0}" name="MODEL NAME " totalsRowFunction="count" dataDxfId="91" totalsRowDxfId="90"/>
    <tableColumn id="2" xr3:uid="{928BFF7F-D5AC-413D-8946-3744F94AD232}" name="COLOUR" dataDxfId="89" totalsRowDxfId="88"/>
    <tableColumn id="3" xr3:uid="{1C61956F-74C1-46B5-B552-2992DADBD97C}" name="PRICE" totalsRowFunction="sum" dataDxfId="87" totalsRowDxfId="86"/>
    <tableColumn id="4" xr3:uid="{D2D8C88B-1E20-4644-8EDF-7B215E6E10A0}" name="CATEGORY" dataDxfId="85" totalsRowDxfId="84"/>
    <tableColumn id="5" xr3:uid="{B1FDCCB1-E3C2-4413-842D-A0F0A5330772}" name="PRICE HIGH /LOW" dataDxfId="83">
      <calculatedColumnFormula>IF(C3&gt;=200100,"HIGH PRICE","LOW PRICE")</calculatedColumnFormula>
    </tableColumn>
    <tableColumn id="6" xr3:uid="{C73774EF-AAD6-48C2-AF06-2BAB93D5F3D9}" name="RIGHT FUNCTIONS" dataDxfId="82">
      <calculatedColumnFormula>RIGHT(A3,5)</calculatedColumnFormula>
    </tableColumn>
    <tableColumn id="7" xr3:uid="{875CECBD-B141-4757-BDD1-67E8BDFD7E6B}" name="LEFT" dataDxfId="81">
      <calculatedColumnFormula>LEFT(B3,6)</calculatedColumnFormula>
    </tableColumn>
    <tableColumn id="8" xr3:uid="{63274040-935A-4BD5-837E-1CF4C269316B}" name="MID" dataDxfId="80">
      <calculatedColumnFormula>MID(B3,8,18)</calculatedColumnFormula>
    </tableColumn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98DCA7B-5963-4A68-BAF3-2ADCC996E51B}" name="Table135" displayName="Table135" ref="A2:H41" totalsRowCount="1" headerRowDxfId="79" dataDxfId="77" headerRowBorderDxfId="78" tableBorderDxfId="76">
  <autoFilter ref="A2:H40" xr:uid="{098DCA7B-5963-4A68-BAF3-2ADCC996E51B}"/>
  <sortState xmlns:xlrd2="http://schemas.microsoft.com/office/spreadsheetml/2017/richdata2" ref="A3:H40">
    <sortCondition ref="C3:C40"/>
  </sortState>
  <tableColumns count="8">
    <tableColumn id="1" xr3:uid="{ECA9E09E-B608-4DA2-9268-A732DB6541BA}" name="MODEL NAME " totalsRowFunction="count" dataDxfId="75" totalsRowDxfId="74"/>
    <tableColumn id="2" xr3:uid="{823B561F-A9AD-407F-80B0-67D2FAB11CBB}" name="COLOUR" dataDxfId="73" totalsRowDxfId="72"/>
    <tableColumn id="3" xr3:uid="{BCF2DABD-5EB2-401A-A63D-B40E81AD8651}" name="PRICE" totalsRowFunction="sum" dataDxfId="71" totalsRowDxfId="70"/>
    <tableColumn id="4" xr3:uid="{C1AFCA48-DFF2-4608-9B9B-ACDEDAFAC378}" name="CATEGORY" dataDxfId="69" totalsRowDxfId="68"/>
    <tableColumn id="5" xr3:uid="{DA048956-180B-46C6-A38E-B883319BB474}" name="PRICE HIGH /LOW" dataDxfId="67">
      <calculatedColumnFormula>IF(C3&gt;=200100,"HIGH PRICE","LOW PRICE")</calculatedColumnFormula>
    </tableColumn>
    <tableColumn id="6" xr3:uid="{182E3D46-A7BA-4299-BF10-0121C565683C}" name="RIGHT FUNCTIONS" dataDxfId="66">
      <calculatedColumnFormula>RIGHT(A3,5)</calculatedColumnFormula>
    </tableColumn>
    <tableColumn id="7" xr3:uid="{CE6CC9BE-2898-4925-B0C0-A94B1EA8095F}" name="LEFT" dataDxfId="65">
      <calculatedColumnFormula>LEFT(B3,6)</calculatedColumnFormula>
    </tableColumn>
    <tableColumn id="8" xr3:uid="{29BE3C26-67D4-4658-95C1-3F8EA6A2A822}" name="MID" dataDxfId="64">
      <calculatedColumnFormula>MID(B3,8,18)</calculatedColumnFormula>
    </tableColumn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5363E45-B67E-4D62-AABE-E6FA33702EA3}" name="Table136" displayName="Table136" ref="A2:H41" totalsRowCount="1" headerRowDxfId="63" dataDxfId="61" headerRowBorderDxfId="62" tableBorderDxfId="60">
  <autoFilter ref="A2:H40" xr:uid="{45363E45-B67E-4D62-AABE-E6FA33702EA3}"/>
  <sortState xmlns:xlrd2="http://schemas.microsoft.com/office/spreadsheetml/2017/richdata2" ref="A3:H40">
    <sortCondition ref="A3:A40"/>
    <sortCondition descending="1" ref="C3:C40"/>
  </sortState>
  <tableColumns count="8">
    <tableColumn id="1" xr3:uid="{BAB6C2CC-53AF-43F1-988C-E559ED6373CD}" name="MODEL NAME " totalsRowFunction="count" dataDxfId="59" totalsRowDxfId="58"/>
    <tableColumn id="2" xr3:uid="{88BE0D40-F14D-4251-8547-843C05B34C24}" name="COLOUR" dataDxfId="57" totalsRowDxfId="56"/>
    <tableColumn id="3" xr3:uid="{B9EB4A76-355C-49D8-8F3C-F240B3733DC7}" name="PRICE" totalsRowFunction="sum" dataDxfId="55" totalsRowDxfId="54"/>
    <tableColumn id="4" xr3:uid="{811FFE94-8282-4C17-993C-47A28F2A7036}" name="CATEGORY" dataDxfId="53" totalsRowDxfId="52"/>
    <tableColumn id="5" xr3:uid="{A27A4DBC-034B-4275-BC99-315B254BCEDA}" name="PRICE HIGH /LOW" dataDxfId="51">
      <calculatedColumnFormula>IF(C3&gt;=200100,"HIGH PRICE","LOW PRICE")</calculatedColumnFormula>
    </tableColumn>
    <tableColumn id="6" xr3:uid="{D59CB145-DDF5-4912-A36B-9B3590BB2580}" name="RIGHT FUNCTIONS" dataDxfId="50">
      <calculatedColumnFormula>RIGHT(A3,5)</calculatedColumnFormula>
    </tableColumn>
    <tableColumn id="7" xr3:uid="{4FC04800-4DC7-4DD9-A243-98D3F5600E78}" name="LEFT" dataDxfId="49">
      <calculatedColumnFormula>LEFT(B3,6)</calculatedColumnFormula>
    </tableColumn>
    <tableColumn id="8" xr3:uid="{D1141F7D-6238-4DDF-A24C-7D34DB64B578}" name="MID" dataDxfId="48">
      <calculatedColumnFormula>MID(B3,8,18)</calculatedColumnFormula>
    </tableColumn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5CF1042-354D-4DDB-8628-BC9EE02CC16F}" name="Table138" displayName="Table138" ref="A2:H41" totalsRowCount="1" headerRowDxfId="47" dataDxfId="45" headerRowBorderDxfId="46" tableBorderDxfId="44">
  <autoFilter ref="A2:H40" xr:uid="{85CF1042-354D-4DDB-8628-BC9EE02CC16F}"/>
  <tableColumns count="8">
    <tableColumn id="1" xr3:uid="{205E0814-DAAB-4126-A29A-15F4D3504C87}" name="MODEL NAME " totalsRowFunction="count" dataDxfId="43" totalsRowDxfId="42"/>
    <tableColumn id="2" xr3:uid="{EA9B7CB4-8663-43DF-88EA-DD31BD5B0023}" name="COLOUR" dataDxfId="41" totalsRowDxfId="40"/>
    <tableColumn id="3" xr3:uid="{891568D0-7880-41BB-9AFA-9311A46E0AE1}" name="PRICE" totalsRowFunction="sum" dataDxfId="39" totalsRowDxfId="38"/>
    <tableColumn id="4" xr3:uid="{1577A373-F3B8-401C-8EDD-2D25B5E72338}" name="CATEGORY" dataDxfId="37" totalsRowDxfId="36"/>
    <tableColumn id="5" xr3:uid="{C27EBAF3-E260-44D2-A9EF-FE87D3CABE0E}" name="PRICE HIGH /LOW" dataDxfId="35">
      <calculatedColumnFormula>IF(C3&gt;=200100,"HIGH PRICE","LOW PRICE")</calculatedColumnFormula>
    </tableColumn>
    <tableColumn id="6" xr3:uid="{4D757ED4-4DCB-4ED5-B749-6CE0564FD14B}" name="RIGHT FUNCTIONS" dataDxfId="34">
      <calculatedColumnFormula>RIGHT(A3,5)</calculatedColumnFormula>
    </tableColumn>
    <tableColumn id="7" xr3:uid="{33983F03-A20D-4422-B796-735A6DE11A5E}" name="LEFT" dataDxfId="33">
      <calculatedColumnFormula>LEFT(B3,6)</calculatedColumnFormula>
    </tableColumn>
    <tableColumn id="8" xr3:uid="{9CB9AC3A-F12E-4D85-A245-8A4ECBBC8EC7}" name="MID" dataDxfId="32">
      <calculatedColumnFormula>MID(B3,8,18)</calculatedColumnFormula>
    </tableColumn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C9A712B-9FCE-4E41-8FBD-73AE2CDB0014}" name="Table139" displayName="Table139" ref="A2:H41" totalsRowCount="1" headerRowDxfId="31" dataDxfId="29" headerRowBorderDxfId="30" tableBorderDxfId="28">
  <autoFilter ref="A2:H40" xr:uid="{BC9A712B-9FCE-4E41-8FBD-73AE2CDB0014}"/>
  <tableColumns count="8">
    <tableColumn id="1" xr3:uid="{AEDC80FD-748F-4BDD-910B-B1986C6E0A33}" name="MODEL NAME " totalsRowFunction="count" dataDxfId="27" totalsRowDxfId="26"/>
    <tableColumn id="2" xr3:uid="{F794CE79-93A7-419E-AF90-AE639E48F52C}" name="COLOUR" dataDxfId="25" totalsRowDxfId="24"/>
    <tableColumn id="3" xr3:uid="{333F486A-789F-4402-8EE3-6DDE1C902B97}" name="PRICE" totalsRowFunction="sum" dataDxfId="23" totalsRowDxfId="22"/>
    <tableColumn id="4" xr3:uid="{EC91CA9A-628F-44E8-9707-83BD9546B152}" name="CATEGORY" dataDxfId="21" totalsRowDxfId="20"/>
    <tableColumn id="5" xr3:uid="{04EE697D-DC65-4683-B110-D484E869DB0F}" name="PRICE HIGH /LOW" dataDxfId="19">
      <calculatedColumnFormula>IF(C3&gt;=200100,"HIGH PRICE","LOW PRICE")</calculatedColumnFormula>
    </tableColumn>
    <tableColumn id="6" xr3:uid="{B7AACDB7-5725-4639-93DD-BF257FA8989B}" name="RIGHT FUNCTIONS" dataDxfId="18">
      <calculatedColumnFormula>RIGHT(A3,5)</calculatedColumnFormula>
    </tableColumn>
    <tableColumn id="7" xr3:uid="{285D6253-C250-42C2-984A-F913A34B829C}" name="LEFT" dataDxfId="17">
      <calculatedColumnFormula>LEFT(B3,6)</calculatedColumnFormula>
    </tableColumn>
    <tableColumn id="8" xr3:uid="{484C7DB9-575E-46C3-A959-3448615C7BD3}" name="MID" dataDxfId="16">
      <calculatedColumnFormula>MID(B3,8,18)</calculatedColumnFormula>
    </tableColumn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EF25B8-68C7-424C-8707-6F05F5EECB88}" name="Table13" displayName="Table13" ref="A2:H41" totalsRowCount="1" headerRowDxfId="15" dataDxfId="13" headerRowBorderDxfId="14" tableBorderDxfId="12">
  <autoFilter ref="A2:H40" xr:uid="{78EF25B8-68C7-424C-8707-6F05F5EECB88}"/>
  <tableColumns count="8">
    <tableColumn id="1" xr3:uid="{9EE5B374-3A8C-413C-98DD-02F58AB45CCD}" name="MODEL NAME " totalsRowFunction="count" dataDxfId="11" totalsRowDxfId="10"/>
    <tableColumn id="2" xr3:uid="{47AFC6C4-1AF8-4CE2-A014-FB8CCE382FA9}" name="COLOUR" dataDxfId="9" totalsRowDxfId="8"/>
    <tableColumn id="3" xr3:uid="{79616917-AEF4-4B51-9841-3F552FE0B5A0}" name="PRICE" totalsRowFunction="sum" dataDxfId="7" totalsRowDxfId="6"/>
    <tableColumn id="4" xr3:uid="{8F4A960F-00C6-4DD7-8B6C-56A7DF6F20BD}" name="CATEGORY" dataDxfId="5" totalsRowDxfId="4"/>
    <tableColumn id="5" xr3:uid="{30D901E6-B5F7-4397-BB4C-803ED0901A55}" name="PRICE HIGH /LOW" dataDxfId="3">
      <calculatedColumnFormula>IF(C3&gt;=200100,"HIGH PRICE","LOW PRICE")</calculatedColumnFormula>
    </tableColumn>
    <tableColumn id="6" xr3:uid="{3CA41610-1ECF-4A52-A732-CA9B7EE91D72}" name="RIGHT FUNCTIONS" dataDxfId="2">
      <calculatedColumnFormula>RIGHT(A3,5)</calculatedColumnFormula>
    </tableColumn>
    <tableColumn id="7" xr3:uid="{18ECD8C2-0FAD-4CDB-915A-9BD90E46BB4F}" name="LEFT" dataDxfId="1">
      <calculatedColumnFormula>LEFT(B3,6)</calculatedColumnFormula>
    </tableColumn>
    <tableColumn id="8" xr3:uid="{840F78E4-2FEA-4CD3-B583-A76276D9D00A}" name="MID" dataDxfId="0">
      <calculatedColumnFormula>MID(B3,8,18)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621D2-C0EA-4C03-B576-CDD4BEDC5C0C}">
  <dimension ref="A1:H58"/>
  <sheetViews>
    <sheetView tabSelected="1" workbookViewId="0">
      <selection activeCell="H46" sqref="H46"/>
    </sheetView>
  </sheetViews>
  <sheetFormatPr defaultRowHeight="14.4" x14ac:dyDescent="0.3"/>
  <cols>
    <col min="1" max="1" width="22" style="14" customWidth="1"/>
    <col min="2" max="2" width="41.33203125" style="14" customWidth="1"/>
    <col min="3" max="3" width="17.109375" style="105" customWidth="1"/>
    <col min="4" max="4" width="25.6640625" style="14" customWidth="1"/>
    <col min="5" max="5" width="10.109375" customWidth="1"/>
    <col min="6" max="6" width="5.88671875" customWidth="1"/>
    <col min="7" max="7" width="8.6640625" customWidth="1"/>
    <col min="8" max="8" width="17.44140625" customWidth="1"/>
  </cols>
  <sheetData>
    <row r="1" spans="1:8" ht="16.2" thickBot="1" x14ac:dyDescent="0.35">
      <c r="A1" s="1"/>
      <c r="B1" s="2" t="s">
        <v>0</v>
      </c>
      <c r="C1" s="90"/>
      <c r="D1" s="4"/>
      <c r="E1" t="s">
        <v>1</v>
      </c>
      <c r="F1" t="s">
        <v>1</v>
      </c>
    </row>
    <row r="2" spans="1:8" s="9" customFormat="1" ht="16.2" thickBot="1" x14ac:dyDescent="0.35">
      <c r="A2" s="5" t="s">
        <v>2</v>
      </c>
      <c r="B2" s="6" t="s">
        <v>3</v>
      </c>
      <c r="C2" s="91" t="s">
        <v>4</v>
      </c>
      <c r="D2" s="7" t="s">
        <v>5</v>
      </c>
      <c r="E2" s="8" t="s">
        <v>6</v>
      </c>
      <c r="F2" s="8" t="s">
        <v>7</v>
      </c>
      <c r="G2" s="8" t="s">
        <v>8</v>
      </c>
      <c r="H2" s="8" t="s">
        <v>9</v>
      </c>
    </row>
    <row r="3" spans="1:8" s="15" customFormat="1" hidden="1" x14ac:dyDescent="0.3">
      <c r="A3" s="10" t="s">
        <v>10</v>
      </c>
      <c r="B3" s="11" t="s">
        <v>11</v>
      </c>
      <c r="C3" s="92">
        <v>173562</v>
      </c>
      <c r="D3" s="13" t="s">
        <v>12</v>
      </c>
      <c r="E3" s="14" t="str">
        <f t="shared" ref="E3:E40" si="0">IF(C3&gt;=200100,"HIGH PRICE","LOW PRICE")</f>
        <v>LOW PRICE</v>
      </c>
      <c r="F3" s="14" t="str">
        <f t="shared" ref="F3:F40" si="1">RIGHT(A3,5)</f>
        <v>T 350</v>
      </c>
      <c r="G3" s="14" t="str">
        <f t="shared" ref="G3:G40" si="2">LEFT(B3,6)</f>
        <v>MILLIT</v>
      </c>
      <c r="H3" s="14" t="str">
        <f t="shared" ref="H3:H40" si="3">MID(B3,8,18)</f>
        <v>RY BLACK , MILLTAR</v>
      </c>
    </row>
    <row r="4" spans="1:8" hidden="1" x14ac:dyDescent="0.3">
      <c r="A4" s="10" t="s">
        <v>10</v>
      </c>
      <c r="B4" s="11" t="s">
        <v>13</v>
      </c>
      <c r="C4" s="92">
        <v>179000</v>
      </c>
      <c r="D4" s="16" t="s">
        <v>12</v>
      </c>
      <c r="E4" s="14" t="str">
        <f t="shared" si="0"/>
        <v>LOW PRICE</v>
      </c>
      <c r="F4" s="14" t="str">
        <f t="shared" si="1"/>
        <v>T 350</v>
      </c>
      <c r="G4" s="14" t="str">
        <f t="shared" si="2"/>
        <v>MILLIT</v>
      </c>
      <c r="H4" s="14" t="str">
        <f t="shared" si="3"/>
        <v>RY SILVER BLACK, M</v>
      </c>
    </row>
    <row r="5" spans="1:8" hidden="1" x14ac:dyDescent="0.3">
      <c r="A5" s="10" t="s">
        <v>10</v>
      </c>
      <c r="B5" s="11" t="s">
        <v>14</v>
      </c>
      <c r="C5" s="92">
        <v>197436</v>
      </c>
      <c r="D5" s="13" t="s">
        <v>12</v>
      </c>
      <c r="E5" s="14" t="str">
        <f t="shared" si="0"/>
        <v>LOW PRICE</v>
      </c>
      <c r="F5" s="14" t="str">
        <f t="shared" si="1"/>
        <v>T 350</v>
      </c>
      <c r="G5" s="14" t="str">
        <f t="shared" si="2"/>
        <v>THE ST</v>
      </c>
      <c r="H5" s="14" t="str">
        <f t="shared" si="3"/>
        <v>NDARD BLACK, THE S</v>
      </c>
    </row>
    <row r="6" spans="1:8" x14ac:dyDescent="0.3">
      <c r="A6" s="10" t="s">
        <v>10</v>
      </c>
      <c r="B6" s="11" t="s">
        <v>15</v>
      </c>
      <c r="C6" s="92">
        <v>215801</v>
      </c>
      <c r="D6" s="13" t="s">
        <v>12</v>
      </c>
      <c r="E6" s="14" t="str">
        <f t="shared" si="0"/>
        <v>HIGH PRICE</v>
      </c>
      <c r="F6" s="14" t="str">
        <f t="shared" si="1"/>
        <v>T 350</v>
      </c>
      <c r="G6" s="14" t="str">
        <f t="shared" si="2"/>
        <v xml:space="preserve">BLACK </v>
      </c>
      <c r="H6" s="14" t="str">
        <f t="shared" si="3"/>
        <v>OLD</v>
      </c>
    </row>
    <row r="7" spans="1:8" hidden="1" x14ac:dyDescent="0.3">
      <c r="A7" s="22" t="s">
        <v>22</v>
      </c>
      <c r="B7" s="23" t="s">
        <v>23</v>
      </c>
      <c r="C7" s="93">
        <v>193080</v>
      </c>
      <c r="D7" s="25" t="s">
        <v>24</v>
      </c>
      <c r="E7" s="14" t="str">
        <f t="shared" si="0"/>
        <v>LOW PRICE</v>
      </c>
      <c r="F7" s="14" t="str">
        <f t="shared" si="1"/>
        <v>C 350</v>
      </c>
      <c r="G7" s="14" t="str">
        <f t="shared" si="2"/>
        <v>REDDIT</v>
      </c>
      <c r="H7" s="14" t="str">
        <f t="shared" si="3"/>
        <v>H GREY, REDDITCH R</v>
      </c>
    </row>
    <row r="8" spans="1:8" hidden="1" x14ac:dyDescent="0.3">
      <c r="A8" s="22" t="s">
        <v>22</v>
      </c>
      <c r="B8" s="23" t="s">
        <v>25</v>
      </c>
      <c r="C8" s="93">
        <v>195919</v>
      </c>
      <c r="D8" s="25" t="s">
        <v>24</v>
      </c>
      <c r="E8" s="14" t="str">
        <f t="shared" si="0"/>
        <v>LOW PRICE</v>
      </c>
      <c r="F8" s="14" t="str">
        <f t="shared" si="1"/>
        <v>C 350</v>
      </c>
      <c r="G8" s="14" t="str">
        <f t="shared" si="2"/>
        <v>HALCYO</v>
      </c>
      <c r="H8" s="14" t="str">
        <f t="shared" si="3"/>
        <v xml:space="preserve"> BLACK, HALCYON GR</v>
      </c>
    </row>
    <row r="9" spans="1:8" hidden="1" x14ac:dyDescent="0.3">
      <c r="A9" s="22" t="s">
        <v>22</v>
      </c>
      <c r="B9" s="23" t="s">
        <v>25</v>
      </c>
      <c r="C9" s="93">
        <v>199900</v>
      </c>
      <c r="D9" s="25" t="s">
        <v>26</v>
      </c>
      <c r="E9" s="14" t="str">
        <f t="shared" si="0"/>
        <v>LOW PRICE</v>
      </c>
      <c r="F9" s="14" t="str">
        <f t="shared" si="1"/>
        <v>C 350</v>
      </c>
      <c r="G9" s="14" t="str">
        <f t="shared" si="2"/>
        <v>HALCYO</v>
      </c>
      <c r="H9" s="14" t="str">
        <f t="shared" si="3"/>
        <v xml:space="preserve"> BLACK, HALCYON GR</v>
      </c>
    </row>
    <row r="10" spans="1:8" x14ac:dyDescent="0.3">
      <c r="A10" s="22" t="s">
        <v>22</v>
      </c>
      <c r="B10" s="23" t="s">
        <v>27</v>
      </c>
      <c r="C10" s="93">
        <v>213852</v>
      </c>
      <c r="D10" s="25" t="s">
        <v>26</v>
      </c>
      <c r="E10" s="14" t="str">
        <f t="shared" si="0"/>
        <v>HIGH PRICE</v>
      </c>
      <c r="F10" s="14" t="str">
        <f t="shared" si="1"/>
        <v>C 350</v>
      </c>
      <c r="G10" s="14" t="str">
        <f t="shared" si="2"/>
        <v>SIGNAL</v>
      </c>
      <c r="H10" s="14" t="str">
        <f t="shared" si="3"/>
        <v xml:space="preserve"> MARSH GREY, SIGNA</v>
      </c>
    </row>
    <row r="11" spans="1:8" x14ac:dyDescent="0.3">
      <c r="A11" s="22" t="s">
        <v>22</v>
      </c>
      <c r="B11" s="23" t="s">
        <v>28</v>
      </c>
      <c r="C11" s="93">
        <v>220991</v>
      </c>
      <c r="D11" s="25" t="s">
        <v>26</v>
      </c>
      <c r="E11" s="14" t="str">
        <f t="shared" si="0"/>
        <v>HIGH PRICE</v>
      </c>
      <c r="F11" s="14" t="str">
        <f t="shared" si="1"/>
        <v>C 350</v>
      </c>
      <c r="G11" s="14" t="str">
        <f t="shared" si="2"/>
        <v>DARK S</v>
      </c>
      <c r="H11" s="14" t="str">
        <f t="shared" si="3"/>
        <v>ALTH BLACK, DARK G</v>
      </c>
    </row>
    <row r="12" spans="1:8" x14ac:dyDescent="0.3">
      <c r="A12" s="22" t="s">
        <v>22</v>
      </c>
      <c r="B12" s="23" t="s">
        <v>29</v>
      </c>
      <c r="C12" s="93">
        <v>224755</v>
      </c>
      <c r="D12" s="25" t="s">
        <v>26</v>
      </c>
      <c r="E12" s="14" t="str">
        <f t="shared" si="0"/>
        <v>HIGH PRICE</v>
      </c>
      <c r="F12" s="14" t="str">
        <f t="shared" si="1"/>
        <v>C 350</v>
      </c>
      <c r="G12" s="14" t="str">
        <f t="shared" si="2"/>
        <v xml:space="preserve">CROME </v>
      </c>
      <c r="H12" s="14" t="str">
        <f t="shared" si="3"/>
        <v>RONZE, CROME RED</v>
      </c>
    </row>
    <row r="13" spans="1:8" hidden="1" x14ac:dyDescent="0.3">
      <c r="A13" s="42" t="s">
        <v>57</v>
      </c>
      <c r="B13" s="43" t="s">
        <v>58</v>
      </c>
      <c r="C13" s="94">
        <v>317000</v>
      </c>
      <c r="D13" s="45" t="s">
        <v>52</v>
      </c>
      <c r="E13" s="14" t="str">
        <f t="shared" si="0"/>
        <v>HIGH PRICE</v>
      </c>
      <c r="F13" s="14" t="str">
        <f t="shared" si="1"/>
        <v>T 650</v>
      </c>
      <c r="G13" s="14" t="str">
        <f t="shared" si="2"/>
        <v>ROCKER</v>
      </c>
      <c r="H13" s="14" t="str">
        <f t="shared" si="3"/>
        <v>RED, BRITISH RACIN</v>
      </c>
    </row>
    <row r="14" spans="1:8" hidden="1" x14ac:dyDescent="0.3">
      <c r="A14" s="42" t="s">
        <v>57</v>
      </c>
      <c r="B14" s="43" t="s">
        <v>59</v>
      </c>
      <c r="C14" s="94">
        <v>327000</v>
      </c>
      <c r="D14" s="45" t="s">
        <v>52</v>
      </c>
      <c r="E14" s="14" t="str">
        <f t="shared" si="0"/>
        <v>HIGH PRICE</v>
      </c>
      <c r="F14" s="14" t="str">
        <f t="shared" si="1"/>
        <v>T 650</v>
      </c>
      <c r="G14" s="14" t="str">
        <f t="shared" si="2"/>
        <v>DUX DE</v>
      </c>
      <c r="H14" s="14" t="str">
        <f t="shared" si="3"/>
        <v>UXUE</v>
      </c>
    </row>
    <row r="15" spans="1:8" hidden="1" x14ac:dyDescent="0.3">
      <c r="A15" s="42" t="s">
        <v>57</v>
      </c>
      <c r="B15" s="43" t="s">
        <v>60</v>
      </c>
      <c r="C15" s="94">
        <v>337000</v>
      </c>
      <c r="D15" s="45" t="s">
        <v>55</v>
      </c>
      <c r="E15" s="14" t="str">
        <f t="shared" si="0"/>
        <v>HIGH PRICE</v>
      </c>
      <c r="F15" s="14" t="str">
        <f t="shared" si="1"/>
        <v>T 650</v>
      </c>
      <c r="G15" s="14" t="str">
        <f t="shared" si="2"/>
        <v>APEX G</v>
      </c>
      <c r="H15" s="14" t="str">
        <f t="shared" si="3"/>
        <v>EY, SLIPSTREAM BLU</v>
      </c>
    </row>
    <row r="16" spans="1:8" hidden="1" x14ac:dyDescent="0.3">
      <c r="A16" s="42" t="s">
        <v>57</v>
      </c>
      <c r="B16" s="43" t="s">
        <v>61</v>
      </c>
      <c r="C16" s="94">
        <v>342000</v>
      </c>
      <c r="D16" s="45" t="s">
        <v>52</v>
      </c>
      <c r="E16" s="14" t="str">
        <f t="shared" si="0"/>
        <v>HIGH PRICE</v>
      </c>
      <c r="F16" s="14" t="str">
        <f t="shared" si="1"/>
        <v>T 650</v>
      </c>
      <c r="G16" s="14" t="str">
        <f t="shared" si="2"/>
        <v>Mr CLE</v>
      </c>
      <c r="H16" s="14" t="str">
        <f t="shared" si="3"/>
        <v>N CROME</v>
      </c>
    </row>
    <row r="17" spans="1:8" x14ac:dyDescent="0.3">
      <c r="A17" s="30" t="s">
        <v>39</v>
      </c>
      <c r="B17" s="31" t="s">
        <v>40</v>
      </c>
      <c r="C17" s="95">
        <v>201000</v>
      </c>
      <c r="D17" s="33" t="s">
        <v>41</v>
      </c>
      <c r="E17" s="14" t="str">
        <f t="shared" si="0"/>
        <v>HIGH PRICE</v>
      </c>
      <c r="F17" s="14" t="str">
        <f t="shared" si="1"/>
        <v>N 411</v>
      </c>
      <c r="G17" s="14" t="str">
        <f t="shared" si="2"/>
        <v>GRAPHI</v>
      </c>
      <c r="H17" s="14" t="str">
        <f t="shared" si="3"/>
        <v>E YELLOW, RED, BLU</v>
      </c>
    </row>
    <row r="18" spans="1:8" x14ac:dyDescent="0.3">
      <c r="A18" s="30" t="s">
        <v>39</v>
      </c>
      <c r="B18" s="31" t="s">
        <v>42</v>
      </c>
      <c r="C18" s="95">
        <v>208257</v>
      </c>
      <c r="D18" s="33" t="s">
        <v>41</v>
      </c>
      <c r="E18" s="14" t="str">
        <f t="shared" si="0"/>
        <v>HIGH PRICE</v>
      </c>
      <c r="F18" s="14" t="str">
        <f t="shared" si="1"/>
        <v>N 411</v>
      </c>
      <c r="G18" s="14" t="str">
        <f t="shared" si="2"/>
        <v>SKYLIN</v>
      </c>
      <c r="H18" s="14" t="str">
        <f t="shared" si="3"/>
        <v xml:space="preserve"> BLUE, BLAZING BLA</v>
      </c>
    </row>
    <row r="19" spans="1:8" x14ac:dyDescent="0.3">
      <c r="A19" s="30" t="s">
        <v>39</v>
      </c>
      <c r="B19" s="31" t="s">
        <v>43</v>
      </c>
      <c r="C19" s="95">
        <v>211984</v>
      </c>
      <c r="D19" s="33" t="s">
        <v>41</v>
      </c>
      <c r="E19" s="14" t="str">
        <f t="shared" si="0"/>
        <v>HIGH PRICE</v>
      </c>
      <c r="F19" s="14" t="str">
        <f t="shared" si="1"/>
        <v>N 411</v>
      </c>
      <c r="G19" s="14" t="str">
        <f t="shared" si="2"/>
        <v xml:space="preserve">WHITE </v>
      </c>
      <c r="H19" s="14" t="str">
        <f t="shared" si="3"/>
        <v>LAME, SILVER SPIRI</v>
      </c>
    </row>
    <row r="20" spans="1:8" x14ac:dyDescent="0.3">
      <c r="A20" s="34" t="s">
        <v>44</v>
      </c>
      <c r="B20" s="35" t="s">
        <v>45</v>
      </c>
      <c r="C20" s="96">
        <v>201000</v>
      </c>
      <c r="D20" s="37" t="s">
        <v>46</v>
      </c>
      <c r="E20" s="14" t="str">
        <f t="shared" si="0"/>
        <v>HIGH PRICE</v>
      </c>
      <c r="F20" s="14" t="str">
        <f t="shared" si="1"/>
        <v>N 450</v>
      </c>
      <c r="G20" s="14" t="str">
        <f t="shared" si="2"/>
        <v>KAZA B</v>
      </c>
      <c r="H20" s="14" t="str">
        <f t="shared" si="3"/>
        <v>OWN</v>
      </c>
    </row>
    <row r="21" spans="1:8" x14ac:dyDescent="0.3">
      <c r="A21" s="34" t="s">
        <v>44</v>
      </c>
      <c r="B21" s="35" t="s">
        <v>47</v>
      </c>
      <c r="C21" s="96">
        <v>289000</v>
      </c>
      <c r="D21" s="37" t="s">
        <v>46</v>
      </c>
      <c r="E21" s="14" t="str">
        <f t="shared" si="0"/>
        <v>HIGH PRICE</v>
      </c>
      <c r="F21" s="14" t="str">
        <f t="shared" si="1"/>
        <v>N 450</v>
      </c>
      <c r="G21" s="14" t="str">
        <f t="shared" si="2"/>
        <v xml:space="preserve">SLATE </v>
      </c>
      <c r="H21" s="14" t="str">
        <f t="shared" si="3"/>
        <v>IMALAYAN SALT, SLA</v>
      </c>
    </row>
    <row r="22" spans="1:8" x14ac:dyDescent="0.3">
      <c r="A22" s="34" t="s">
        <v>44</v>
      </c>
      <c r="B22" s="35" t="s">
        <v>48</v>
      </c>
      <c r="C22" s="96">
        <v>293000</v>
      </c>
      <c r="D22" s="37" t="s">
        <v>46</v>
      </c>
      <c r="E22" s="14" t="str">
        <f t="shared" si="0"/>
        <v>HIGH PRICE</v>
      </c>
      <c r="F22" s="14" t="str">
        <f t="shared" si="1"/>
        <v>N 450</v>
      </c>
      <c r="G22" s="14" t="str">
        <f t="shared" si="2"/>
        <v xml:space="preserve">KAMET </v>
      </c>
      <c r="H22" s="14" t="str">
        <f t="shared" si="3"/>
        <v>HITE</v>
      </c>
    </row>
    <row r="23" spans="1:8" x14ac:dyDescent="0.3">
      <c r="A23" s="34" t="s">
        <v>44</v>
      </c>
      <c r="B23" s="35" t="s">
        <v>49</v>
      </c>
      <c r="C23" s="96">
        <v>201000</v>
      </c>
      <c r="D23" s="37" t="s">
        <v>46</v>
      </c>
      <c r="E23" s="14" t="str">
        <f t="shared" si="0"/>
        <v>HIGH PRICE</v>
      </c>
      <c r="F23" s="14" t="str">
        <f t="shared" si="1"/>
        <v>N 450</v>
      </c>
      <c r="G23" s="14" t="str">
        <f t="shared" si="2"/>
        <v xml:space="preserve">HANLE </v>
      </c>
      <c r="H23" s="14" t="str">
        <f t="shared" si="3"/>
        <v>LACK</v>
      </c>
    </row>
    <row r="24" spans="1:8" hidden="1" x14ac:dyDescent="0.3">
      <c r="A24" s="18" t="s">
        <v>16</v>
      </c>
      <c r="B24" s="19" t="s">
        <v>17</v>
      </c>
      <c r="C24" s="97">
        <v>149900</v>
      </c>
      <c r="D24" s="21" t="s">
        <v>18</v>
      </c>
      <c r="E24" s="14" t="str">
        <f t="shared" si="0"/>
        <v>LOW PRICE</v>
      </c>
      <c r="F24" s="14" t="str">
        <f t="shared" si="1"/>
        <v xml:space="preserve"> 350 </v>
      </c>
      <c r="G24" s="14" t="str">
        <f t="shared" si="2"/>
        <v>FACTOR</v>
      </c>
      <c r="H24" s="14" t="str">
        <f t="shared" si="3"/>
        <v xml:space="preserve"> BLACK, FACTORY SI</v>
      </c>
    </row>
    <row r="25" spans="1:8" hidden="1" x14ac:dyDescent="0.3">
      <c r="A25" s="18" t="s">
        <v>16</v>
      </c>
      <c r="B25" s="19" t="s">
        <v>19</v>
      </c>
      <c r="C25" s="97">
        <v>169656</v>
      </c>
      <c r="D25" s="21" t="s">
        <v>20</v>
      </c>
      <c r="E25" s="14" t="str">
        <f t="shared" si="0"/>
        <v>LOW PRICE</v>
      </c>
      <c r="F25" s="14" t="str">
        <f t="shared" si="1"/>
        <v xml:space="preserve"> 350 </v>
      </c>
      <c r="G25" s="14" t="str">
        <f t="shared" si="2"/>
        <v>DAPPER</v>
      </c>
      <c r="H25" s="14" t="str">
        <f t="shared" si="3"/>
        <v>WHITE, DAPPER GREY</v>
      </c>
    </row>
    <row r="26" spans="1:8" hidden="1" x14ac:dyDescent="0.3">
      <c r="A26" s="18" t="s">
        <v>16</v>
      </c>
      <c r="B26" s="19" t="s">
        <v>21</v>
      </c>
      <c r="C26" s="97">
        <v>174655</v>
      </c>
      <c r="D26" s="21" t="s">
        <v>20</v>
      </c>
      <c r="E26" s="14" t="str">
        <f t="shared" si="0"/>
        <v>LOW PRICE</v>
      </c>
      <c r="F26" s="14" t="str">
        <f t="shared" si="1"/>
        <v xml:space="preserve"> 350 </v>
      </c>
      <c r="G26" s="14" t="str">
        <f t="shared" si="2"/>
        <v xml:space="preserve">REBEL </v>
      </c>
      <c r="H26" s="14" t="str">
        <f t="shared" si="3"/>
        <v xml:space="preserve">LUE, REBEL BLACK, </v>
      </c>
    </row>
    <row r="27" spans="1:8" hidden="1" x14ac:dyDescent="0.3">
      <c r="A27" s="38" t="s">
        <v>50</v>
      </c>
      <c r="B27" s="39" t="s">
        <v>51</v>
      </c>
      <c r="C27" s="98">
        <v>301000</v>
      </c>
      <c r="D27" s="41" t="s">
        <v>52</v>
      </c>
      <c r="E27" s="14" t="str">
        <f t="shared" si="0"/>
        <v>HIGH PRICE</v>
      </c>
      <c r="F27" s="14" t="str">
        <f t="shared" si="1"/>
        <v>R 650</v>
      </c>
      <c r="G27" s="14" t="str">
        <f t="shared" si="2"/>
        <v>CANYON</v>
      </c>
      <c r="H27" s="14" t="str">
        <f t="shared" si="3"/>
        <v>RED, CALI GREEN</v>
      </c>
    </row>
    <row r="28" spans="1:8" hidden="1" x14ac:dyDescent="0.3">
      <c r="A28" s="38" t="s">
        <v>50</v>
      </c>
      <c r="B28" s="39" t="s">
        <v>53</v>
      </c>
      <c r="C28" s="98">
        <v>309000</v>
      </c>
      <c r="D28" s="41" t="s">
        <v>52</v>
      </c>
      <c r="E28" s="14" t="str">
        <f t="shared" si="0"/>
        <v>HIGH PRICE</v>
      </c>
      <c r="F28" s="14" t="str">
        <f t="shared" si="1"/>
        <v>R 650</v>
      </c>
      <c r="G28" s="14" t="str">
        <f t="shared" si="2"/>
        <v>SUNSET</v>
      </c>
      <c r="H28" s="14" t="str">
        <f t="shared" si="3"/>
        <v>STRIP BLACK, BLACK</v>
      </c>
    </row>
    <row r="29" spans="1:8" hidden="1" x14ac:dyDescent="0.3">
      <c r="A29" s="38" t="s">
        <v>50</v>
      </c>
      <c r="B29" s="39" t="s">
        <v>54</v>
      </c>
      <c r="C29" s="98">
        <v>319000</v>
      </c>
      <c r="D29" s="41" t="s">
        <v>55</v>
      </c>
      <c r="E29" s="14" t="str">
        <f t="shared" si="0"/>
        <v>HIGH PRICE</v>
      </c>
      <c r="F29" s="14" t="str">
        <f t="shared" si="1"/>
        <v>R 650</v>
      </c>
      <c r="G29" s="14" t="str">
        <f t="shared" si="2"/>
        <v>BARCEL</v>
      </c>
      <c r="H29" s="14" t="str">
        <f t="shared" si="3"/>
        <v>NA BLUE, BLACKRAY</v>
      </c>
    </row>
    <row r="30" spans="1:8" hidden="1" x14ac:dyDescent="0.3">
      <c r="A30" s="38" t="s">
        <v>50</v>
      </c>
      <c r="B30" s="39" t="s">
        <v>56</v>
      </c>
      <c r="C30" s="98">
        <v>328000</v>
      </c>
      <c r="D30" s="41" t="s">
        <v>52</v>
      </c>
      <c r="E30" s="14" t="str">
        <f t="shared" si="0"/>
        <v>HIGH PRICE</v>
      </c>
      <c r="F30" s="14" t="str">
        <f t="shared" si="1"/>
        <v>R 650</v>
      </c>
      <c r="G30" s="14" t="str">
        <f t="shared" si="2"/>
        <v>MARK T</v>
      </c>
      <c r="H30" s="14" t="str">
        <f t="shared" si="3"/>
        <v>O CROME</v>
      </c>
    </row>
    <row r="31" spans="1:8" hidden="1" x14ac:dyDescent="0.3">
      <c r="A31" s="26" t="s">
        <v>30</v>
      </c>
      <c r="B31" s="27" t="s">
        <v>31</v>
      </c>
      <c r="C31" s="99">
        <v>199942</v>
      </c>
      <c r="D31" s="29" t="s">
        <v>32</v>
      </c>
      <c r="E31" s="14" t="str">
        <f t="shared" si="0"/>
        <v>LOW PRICE</v>
      </c>
      <c r="F31" s="14" t="str">
        <f t="shared" si="1"/>
        <v>R 350</v>
      </c>
      <c r="G31" s="14" t="str">
        <f t="shared" si="2"/>
        <v>FIREBA</v>
      </c>
      <c r="H31" s="14" t="str">
        <f t="shared" si="3"/>
        <v>L BLACK, RED, BLUE</v>
      </c>
    </row>
    <row r="32" spans="1:8" x14ac:dyDescent="0.3">
      <c r="A32" s="26" t="s">
        <v>30</v>
      </c>
      <c r="B32" s="27" t="s">
        <v>33</v>
      </c>
      <c r="C32" s="99">
        <v>215900</v>
      </c>
      <c r="D32" s="29" t="s">
        <v>34</v>
      </c>
      <c r="E32" s="14" t="str">
        <f t="shared" si="0"/>
        <v>HIGH PRICE</v>
      </c>
      <c r="F32" s="14" t="str">
        <f t="shared" si="1"/>
        <v>R 350</v>
      </c>
      <c r="G32" s="14" t="str">
        <f t="shared" si="2"/>
        <v>STELLA</v>
      </c>
      <c r="H32" s="14" t="str">
        <f t="shared" si="3"/>
        <v xml:space="preserve"> BLUE, RED, BLACK</v>
      </c>
    </row>
    <row r="33" spans="1:8" x14ac:dyDescent="0.3">
      <c r="A33" s="26" t="s">
        <v>30</v>
      </c>
      <c r="B33" s="27" t="s">
        <v>35</v>
      </c>
      <c r="C33" s="99">
        <v>219900</v>
      </c>
      <c r="D33" s="29" t="s">
        <v>36</v>
      </c>
      <c r="E33" s="14" t="str">
        <f t="shared" si="0"/>
        <v>HIGH PRICE</v>
      </c>
      <c r="F33" s="14" t="str">
        <f t="shared" si="1"/>
        <v>R 350</v>
      </c>
      <c r="G33" s="14" t="str">
        <f t="shared" si="2"/>
        <v>AURORA</v>
      </c>
      <c r="H33" s="14" t="str">
        <f t="shared" si="3"/>
        <v>BLUE, GREEN, BLACK</v>
      </c>
    </row>
    <row r="34" spans="1:8" x14ac:dyDescent="0.3">
      <c r="A34" s="26" t="s">
        <v>30</v>
      </c>
      <c r="B34" s="27" t="s">
        <v>37</v>
      </c>
      <c r="C34" s="99">
        <v>229900</v>
      </c>
      <c r="D34" s="29" t="s">
        <v>38</v>
      </c>
      <c r="E34" s="14" t="str">
        <f t="shared" si="0"/>
        <v>HIGH PRICE</v>
      </c>
      <c r="F34" s="14" t="str">
        <f t="shared" si="1"/>
        <v>R 350</v>
      </c>
      <c r="G34" s="14" t="str">
        <f t="shared" si="2"/>
        <v>SUPERN</v>
      </c>
      <c r="H34" s="14" t="str">
        <f t="shared" si="3"/>
        <v>VA BLUE, RED</v>
      </c>
    </row>
    <row r="35" spans="1:8" s="51" customFormat="1" hidden="1" x14ac:dyDescent="0.3">
      <c r="A35" s="52" t="s">
        <v>67</v>
      </c>
      <c r="B35" s="53" t="s">
        <v>68</v>
      </c>
      <c r="C35" s="100">
        <v>359430</v>
      </c>
      <c r="D35" s="55" t="s">
        <v>69</v>
      </c>
      <c r="E35" s="50" t="str">
        <f t="shared" si="0"/>
        <v>HIGH PRICE</v>
      </c>
      <c r="F35" s="50" t="str">
        <f t="shared" si="1"/>
        <v>N 650</v>
      </c>
      <c r="G35" s="50" t="str">
        <f t="shared" si="2"/>
        <v xml:space="preserve">SHEET </v>
      </c>
      <c r="H35" s="50" t="str">
        <f t="shared" si="3"/>
        <v>ETAL GREY</v>
      </c>
    </row>
    <row r="36" spans="1:8" s="51" customFormat="1" hidden="1" x14ac:dyDescent="0.3">
      <c r="A36" s="52" t="s">
        <v>67</v>
      </c>
      <c r="B36" s="53" t="s">
        <v>70</v>
      </c>
      <c r="C36" s="100">
        <v>370138</v>
      </c>
      <c r="D36" s="55" t="s">
        <v>69</v>
      </c>
      <c r="E36" s="50" t="str">
        <f t="shared" si="0"/>
        <v>HIGH PRICE</v>
      </c>
      <c r="F36" s="50" t="str">
        <f t="shared" si="1"/>
        <v>N 650</v>
      </c>
      <c r="G36" s="50" t="str">
        <f t="shared" si="2"/>
        <v xml:space="preserve">GREEN </v>
      </c>
      <c r="H36" s="50" t="str">
        <f t="shared" si="3"/>
        <v>RILL, PLASMA BLUE</v>
      </c>
    </row>
    <row r="37" spans="1:8" s="51" customFormat="1" hidden="1" x14ac:dyDescent="0.3">
      <c r="A37" s="52" t="s">
        <v>67</v>
      </c>
      <c r="B37" s="53" t="s">
        <v>71</v>
      </c>
      <c r="C37" s="100">
        <v>373000</v>
      </c>
      <c r="D37" s="55" t="s">
        <v>69</v>
      </c>
      <c r="E37" s="50" t="str">
        <f t="shared" si="0"/>
        <v>HIGH PRICE</v>
      </c>
      <c r="F37" s="50" t="str">
        <f t="shared" si="1"/>
        <v>N 650</v>
      </c>
      <c r="G37" s="50" t="str">
        <f t="shared" si="2"/>
        <v>STENCI</v>
      </c>
      <c r="H37" s="50" t="str">
        <f t="shared" si="3"/>
        <v xml:space="preserve"> WHITE</v>
      </c>
    </row>
    <row r="38" spans="1:8" s="56" customFormat="1" hidden="1" x14ac:dyDescent="0.3">
      <c r="A38" s="46" t="s">
        <v>62</v>
      </c>
      <c r="B38" s="47" t="s">
        <v>63</v>
      </c>
      <c r="C38" s="101">
        <v>363900</v>
      </c>
      <c r="D38" s="49" t="s">
        <v>64</v>
      </c>
      <c r="E38" s="50" t="str">
        <f t="shared" si="0"/>
        <v>HIGH PRICE</v>
      </c>
      <c r="F38" s="50" t="str">
        <f t="shared" si="1"/>
        <v>R 650</v>
      </c>
      <c r="G38" s="50" t="str">
        <f t="shared" si="2"/>
        <v>ASTRAL</v>
      </c>
      <c r="H38" s="50" t="str">
        <f t="shared" si="3"/>
        <v>BLACK, ASTRAL BLUE</v>
      </c>
    </row>
    <row r="39" spans="1:8" s="56" customFormat="1" hidden="1" x14ac:dyDescent="0.3">
      <c r="A39" s="46" t="s">
        <v>62</v>
      </c>
      <c r="B39" s="47" t="s">
        <v>65</v>
      </c>
      <c r="C39" s="101">
        <v>379123</v>
      </c>
      <c r="D39" s="49" t="s">
        <v>64</v>
      </c>
      <c r="E39" s="50" t="str">
        <f t="shared" si="0"/>
        <v>HIGH PRICE</v>
      </c>
      <c r="F39" s="50" t="str">
        <f t="shared" si="1"/>
        <v>R 650</v>
      </c>
      <c r="G39" s="50" t="str">
        <f t="shared" si="2"/>
        <v>INTERS</v>
      </c>
      <c r="H39" s="50" t="str">
        <f t="shared" si="3"/>
        <v>ELLAR GREEN, INTER</v>
      </c>
    </row>
    <row r="40" spans="1:8" s="56" customFormat="1" ht="15" hidden="1" thickBot="1" x14ac:dyDescent="0.35">
      <c r="A40" s="86" t="s">
        <v>62</v>
      </c>
      <c r="B40" s="87" t="s">
        <v>66</v>
      </c>
      <c r="C40" s="102">
        <v>394347</v>
      </c>
      <c r="D40" s="89" t="s">
        <v>64</v>
      </c>
      <c r="E40" s="50" t="str">
        <f t="shared" si="0"/>
        <v>HIGH PRICE</v>
      </c>
      <c r="F40" s="50" t="str">
        <f t="shared" si="1"/>
        <v>R 650</v>
      </c>
      <c r="G40" s="50" t="str">
        <f t="shared" si="2"/>
        <v>CELEST</v>
      </c>
      <c r="H40" s="50" t="str">
        <f t="shared" si="3"/>
        <v xml:space="preserve">AL RED, CELESTIAL </v>
      </c>
    </row>
    <row r="41" spans="1:8" x14ac:dyDescent="0.3">
      <c r="A41" s="61">
        <f>SUBTOTAL(103,Table1[[MODEL NAME ]])</f>
        <v>14</v>
      </c>
      <c r="B41" s="62"/>
      <c r="C41" s="103">
        <f>SUBTOTAL(109,Table1[PRICE])</f>
        <v>3146340</v>
      </c>
    </row>
    <row r="42" spans="1:8" ht="18" x14ac:dyDescent="0.35">
      <c r="B42" s="64"/>
      <c r="C42" s="110" t="s">
        <v>87</v>
      </c>
    </row>
    <row r="44" spans="1:8" ht="15" thickBot="1" x14ac:dyDescent="0.35"/>
    <row r="45" spans="1:8" ht="16.2" thickBot="1" x14ac:dyDescent="0.35">
      <c r="A45" s="79" t="s">
        <v>76</v>
      </c>
      <c r="B45" s="104"/>
      <c r="C45" s="81"/>
    </row>
    <row r="46" spans="1:8" ht="15" thickTop="1" x14ac:dyDescent="0.3">
      <c r="A46" s="71"/>
      <c r="B46" s="106"/>
      <c r="C46" s="73"/>
    </row>
    <row r="47" spans="1:8" ht="15.6" x14ac:dyDescent="0.3">
      <c r="A47" s="82" t="s">
        <v>80</v>
      </c>
      <c r="B47" s="107">
        <f>AVERAGE(Table1[PRICE])</f>
        <v>257877.05263157896</v>
      </c>
      <c r="C47" s="74"/>
    </row>
    <row r="48" spans="1:8" ht="15.6" x14ac:dyDescent="0.3">
      <c r="A48" s="82" t="s">
        <v>77</v>
      </c>
      <c r="B48" s="107">
        <f>MEDIAN(Table1[PRICE])</f>
        <v>220445.5</v>
      </c>
      <c r="C48" s="74"/>
    </row>
    <row r="49" spans="1:3" ht="15.6" x14ac:dyDescent="0.3">
      <c r="A49" s="82" t="s">
        <v>78</v>
      </c>
      <c r="B49" s="107">
        <f>MODE(Table1[PRICE])</f>
        <v>201000</v>
      </c>
      <c r="C49" s="74"/>
    </row>
    <row r="50" spans="1:3" ht="15.6" x14ac:dyDescent="0.3">
      <c r="A50" s="82" t="s">
        <v>79</v>
      </c>
      <c r="B50" s="107">
        <f>STDEV(Table1[PRICE])</f>
        <v>73559.517475214161</v>
      </c>
      <c r="C50" s="74"/>
    </row>
    <row r="51" spans="1:3" ht="15.6" x14ac:dyDescent="0.3">
      <c r="A51" s="69" t="s">
        <v>81</v>
      </c>
      <c r="B51" s="107">
        <f>SUM(Table1[PRICE])</f>
        <v>9799328</v>
      </c>
      <c r="C51" s="74"/>
    </row>
    <row r="52" spans="1:3" ht="15.6" x14ac:dyDescent="0.3">
      <c r="A52" s="70" t="s">
        <v>82</v>
      </c>
      <c r="B52" s="107">
        <v>38</v>
      </c>
      <c r="C52" s="74"/>
    </row>
    <row r="53" spans="1:3" ht="15.6" x14ac:dyDescent="0.3">
      <c r="A53" s="69" t="s">
        <v>83</v>
      </c>
      <c r="B53" s="107">
        <f>MIN(Table1[PRICE])</f>
        <v>149900</v>
      </c>
      <c r="C53" s="74"/>
    </row>
    <row r="54" spans="1:3" ht="15.6" x14ac:dyDescent="0.3">
      <c r="A54" s="69" t="s">
        <v>84</v>
      </c>
      <c r="B54" s="107">
        <f>MAX(Table1[PRICE])</f>
        <v>394347</v>
      </c>
      <c r="C54" s="74"/>
    </row>
    <row r="55" spans="1:3" ht="15.6" x14ac:dyDescent="0.3">
      <c r="A55" s="69" t="s">
        <v>85</v>
      </c>
      <c r="B55" s="107">
        <f>AVERAGE(Table1[PRICE])</f>
        <v>257877.05263157896</v>
      </c>
      <c r="C55" s="74"/>
    </row>
    <row r="56" spans="1:3" x14ac:dyDescent="0.3">
      <c r="A56" s="70" t="s">
        <v>86</v>
      </c>
      <c r="B56" s="108" t="s">
        <v>72</v>
      </c>
      <c r="C56" s="85" t="s">
        <v>73</v>
      </c>
    </row>
    <row r="57" spans="1:3" ht="15.6" x14ac:dyDescent="0.3">
      <c r="A57" s="82" t="s">
        <v>74</v>
      </c>
      <c r="B57" s="107">
        <f>SUMIF(Table1[PRICE HIGH /LOW],"HIGH PRICE",Table1[PRICE])</f>
        <v>7966278</v>
      </c>
      <c r="C57" s="76">
        <f>SUMIF(Table1[PRICE HIGH /LOW],"LOW PRICE",Table1[PRICE])</f>
        <v>1833050</v>
      </c>
    </row>
    <row r="58" spans="1:3" ht="16.2" thickBot="1" x14ac:dyDescent="0.35">
      <c r="A58" s="83" t="s">
        <v>75</v>
      </c>
      <c r="B58" s="109">
        <f>COUNTIF(Table1[PRICE HIGH /LOW],"HIGH PRICE")</f>
        <v>28</v>
      </c>
      <c r="C58" s="78">
        <f>COUNTIF(Table1[PRICE HIGH /LOW],"LOW PRICE")</f>
        <v>10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1954E-573A-4492-ACAC-DAF6EB1F2403}">
  <dimension ref="A1:H59"/>
  <sheetViews>
    <sheetView workbookViewId="0">
      <selection activeCell="E51" sqref="E51"/>
    </sheetView>
  </sheetViews>
  <sheetFormatPr defaultRowHeight="14.4" x14ac:dyDescent="0.3"/>
  <cols>
    <col min="1" max="1" width="22" style="14" customWidth="1"/>
    <col min="2" max="2" width="45.6640625" style="14" customWidth="1"/>
    <col min="3" max="3" width="13.21875" style="14" customWidth="1"/>
    <col min="4" max="4" width="27.44140625" style="14" customWidth="1"/>
    <col min="5" max="5" width="17.77734375" customWidth="1"/>
    <col min="6" max="6" width="6.5546875" customWidth="1"/>
    <col min="7" max="7" width="8.6640625" customWidth="1"/>
    <col min="8" max="8" width="18" customWidth="1"/>
  </cols>
  <sheetData>
    <row r="1" spans="1:8" ht="16.2" thickBot="1" x14ac:dyDescent="0.35">
      <c r="A1" s="1"/>
      <c r="B1" s="2" t="s">
        <v>0</v>
      </c>
      <c r="C1" s="3"/>
      <c r="D1" s="4"/>
      <c r="E1" t="s">
        <v>1</v>
      </c>
      <c r="F1" t="s">
        <v>1</v>
      </c>
    </row>
    <row r="2" spans="1:8" s="9" customFormat="1" ht="16.2" thickBot="1" x14ac:dyDescent="0.35">
      <c r="A2" s="5" t="s">
        <v>2</v>
      </c>
      <c r="B2" s="6" t="s">
        <v>3</v>
      </c>
      <c r="C2" s="6" t="s">
        <v>4</v>
      </c>
      <c r="D2" s="7" t="s">
        <v>5</v>
      </c>
      <c r="E2" s="8" t="s">
        <v>6</v>
      </c>
      <c r="F2" s="8" t="s">
        <v>7</v>
      </c>
      <c r="G2" s="8" t="s">
        <v>8</v>
      </c>
      <c r="H2" s="8" t="s">
        <v>9</v>
      </c>
    </row>
    <row r="3" spans="1:8" s="15" customFormat="1" hidden="1" x14ac:dyDescent="0.3">
      <c r="A3" s="10" t="s">
        <v>10</v>
      </c>
      <c r="B3" s="11" t="s">
        <v>11</v>
      </c>
      <c r="C3" s="12">
        <v>173562</v>
      </c>
      <c r="D3" s="13" t="s">
        <v>12</v>
      </c>
      <c r="E3" s="14" t="str">
        <f t="shared" ref="E3:E40" si="0">IF(C3&gt;=200100,"HIGH PRICE","LOW PRICE")</f>
        <v>LOW PRICE</v>
      </c>
      <c r="F3" s="14" t="str">
        <f t="shared" ref="F3:F40" si="1">RIGHT(A3,5)</f>
        <v>T 350</v>
      </c>
      <c r="G3" s="14" t="str">
        <f t="shared" ref="G3:G40" si="2">LEFT(B3,6)</f>
        <v>MILLIT</v>
      </c>
      <c r="H3" s="14" t="str">
        <f t="shared" ref="H3:H40" si="3">MID(B3,8,18)</f>
        <v>RY BLACK , MILLTAR</v>
      </c>
    </row>
    <row r="4" spans="1:8" hidden="1" x14ac:dyDescent="0.3">
      <c r="A4" s="10" t="s">
        <v>10</v>
      </c>
      <c r="B4" s="11" t="s">
        <v>13</v>
      </c>
      <c r="C4" s="12">
        <v>179000</v>
      </c>
      <c r="D4" s="16" t="s">
        <v>12</v>
      </c>
      <c r="E4" s="14" t="str">
        <f t="shared" si="0"/>
        <v>LOW PRICE</v>
      </c>
      <c r="F4" s="14" t="str">
        <f t="shared" si="1"/>
        <v>T 350</v>
      </c>
      <c r="G4" s="14" t="str">
        <f t="shared" si="2"/>
        <v>MILLIT</v>
      </c>
      <c r="H4" s="14" t="str">
        <f t="shared" si="3"/>
        <v>RY SILVER BLACK, M</v>
      </c>
    </row>
    <row r="5" spans="1:8" hidden="1" x14ac:dyDescent="0.3">
      <c r="A5" s="10" t="s">
        <v>10</v>
      </c>
      <c r="B5" s="11" t="s">
        <v>14</v>
      </c>
      <c r="C5" s="17">
        <v>197436</v>
      </c>
      <c r="D5" s="13" t="s">
        <v>12</v>
      </c>
      <c r="E5" s="14" t="str">
        <f t="shared" si="0"/>
        <v>LOW PRICE</v>
      </c>
      <c r="F5" s="14" t="str">
        <f t="shared" si="1"/>
        <v>T 350</v>
      </c>
      <c r="G5" s="14" t="str">
        <f t="shared" si="2"/>
        <v>THE ST</v>
      </c>
      <c r="H5" s="14" t="str">
        <f t="shared" si="3"/>
        <v>NDARD BLACK, THE S</v>
      </c>
    </row>
    <row r="6" spans="1:8" hidden="1" x14ac:dyDescent="0.3">
      <c r="A6" s="10" t="s">
        <v>10</v>
      </c>
      <c r="B6" s="11" t="s">
        <v>15</v>
      </c>
      <c r="C6" s="12">
        <v>215801</v>
      </c>
      <c r="D6" s="13" t="s">
        <v>12</v>
      </c>
      <c r="E6" s="14" t="str">
        <f t="shared" si="0"/>
        <v>HIGH PRICE</v>
      </c>
      <c r="F6" s="14" t="str">
        <f t="shared" si="1"/>
        <v>T 350</v>
      </c>
      <c r="G6" s="14" t="str">
        <f t="shared" si="2"/>
        <v xml:space="preserve">BLACK </v>
      </c>
      <c r="H6" s="14" t="str">
        <f t="shared" si="3"/>
        <v>OLD</v>
      </c>
    </row>
    <row r="7" spans="1:8" hidden="1" x14ac:dyDescent="0.3">
      <c r="A7" s="22" t="s">
        <v>22</v>
      </c>
      <c r="B7" s="23" t="s">
        <v>23</v>
      </c>
      <c r="C7" s="24">
        <v>193080</v>
      </c>
      <c r="D7" s="25" t="s">
        <v>24</v>
      </c>
      <c r="E7" s="14" t="str">
        <f t="shared" si="0"/>
        <v>LOW PRICE</v>
      </c>
      <c r="F7" s="14" t="str">
        <f t="shared" si="1"/>
        <v>C 350</v>
      </c>
      <c r="G7" s="14" t="str">
        <f t="shared" si="2"/>
        <v>REDDIT</v>
      </c>
      <c r="H7" s="14" t="str">
        <f t="shared" si="3"/>
        <v>H GREY, REDDITCH R</v>
      </c>
    </row>
    <row r="8" spans="1:8" hidden="1" x14ac:dyDescent="0.3">
      <c r="A8" s="22" t="s">
        <v>22</v>
      </c>
      <c r="B8" s="23" t="s">
        <v>25</v>
      </c>
      <c r="C8" s="24">
        <v>195919</v>
      </c>
      <c r="D8" s="25" t="s">
        <v>24</v>
      </c>
      <c r="E8" s="14" t="str">
        <f t="shared" si="0"/>
        <v>LOW PRICE</v>
      </c>
      <c r="F8" s="14" t="str">
        <f t="shared" si="1"/>
        <v>C 350</v>
      </c>
      <c r="G8" s="14" t="str">
        <f t="shared" si="2"/>
        <v>HALCYO</v>
      </c>
      <c r="H8" s="14" t="str">
        <f t="shared" si="3"/>
        <v xml:space="preserve"> BLACK, HALCYON GR</v>
      </c>
    </row>
    <row r="9" spans="1:8" hidden="1" x14ac:dyDescent="0.3">
      <c r="A9" s="22" t="s">
        <v>22</v>
      </c>
      <c r="B9" s="23" t="s">
        <v>25</v>
      </c>
      <c r="C9" s="24">
        <v>199900</v>
      </c>
      <c r="D9" s="25" t="s">
        <v>26</v>
      </c>
      <c r="E9" s="14" t="str">
        <f t="shared" si="0"/>
        <v>LOW PRICE</v>
      </c>
      <c r="F9" s="14" t="str">
        <f t="shared" si="1"/>
        <v>C 350</v>
      </c>
      <c r="G9" s="14" t="str">
        <f t="shared" si="2"/>
        <v>HALCYO</v>
      </c>
      <c r="H9" s="14" t="str">
        <f t="shared" si="3"/>
        <v xml:space="preserve"> BLACK, HALCYON GR</v>
      </c>
    </row>
    <row r="10" spans="1:8" hidden="1" x14ac:dyDescent="0.3">
      <c r="A10" s="22" t="s">
        <v>22</v>
      </c>
      <c r="B10" s="23" t="s">
        <v>27</v>
      </c>
      <c r="C10" s="24">
        <v>213852</v>
      </c>
      <c r="D10" s="25" t="s">
        <v>26</v>
      </c>
      <c r="E10" s="14" t="str">
        <f t="shared" si="0"/>
        <v>HIGH PRICE</v>
      </c>
      <c r="F10" s="14" t="str">
        <f t="shared" si="1"/>
        <v>C 350</v>
      </c>
      <c r="G10" s="14" t="str">
        <f t="shared" si="2"/>
        <v>SIGNAL</v>
      </c>
      <c r="H10" s="14" t="str">
        <f t="shared" si="3"/>
        <v xml:space="preserve"> MARSH GREY, SIGNA</v>
      </c>
    </row>
    <row r="11" spans="1:8" hidden="1" x14ac:dyDescent="0.3">
      <c r="A11" s="22" t="s">
        <v>22</v>
      </c>
      <c r="B11" s="23" t="s">
        <v>28</v>
      </c>
      <c r="C11" s="24">
        <v>220991</v>
      </c>
      <c r="D11" s="25" t="s">
        <v>26</v>
      </c>
      <c r="E11" s="14" t="str">
        <f t="shared" si="0"/>
        <v>HIGH PRICE</v>
      </c>
      <c r="F11" s="14" t="str">
        <f t="shared" si="1"/>
        <v>C 350</v>
      </c>
      <c r="G11" s="14" t="str">
        <f t="shared" si="2"/>
        <v>DARK S</v>
      </c>
      <c r="H11" s="14" t="str">
        <f t="shared" si="3"/>
        <v>ALTH BLACK, DARK G</v>
      </c>
    </row>
    <row r="12" spans="1:8" hidden="1" x14ac:dyDescent="0.3">
      <c r="A12" s="22" t="s">
        <v>22</v>
      </c>
      <c r="B12" s="23" t="s">
        <v>29</v>
      </c>
      <c r="C12" s="24">
        <v>224755</v>
      </c>
      <c r="D12" s="25" t="s">
        <v>26</v>
      </c>
      <c r="E12" s="14" t="str">
        <f t="shared" si="0"/>
        <v>HIGH PRICE</v>
      </c>
      <c r="F12" s="14" t="str">
        <f t="shared" si="1"/>
        <v>C 350</v>
      </c>
      <c r="G12" s="14" t="str">
        <f t="shared" si="2"/>
        <v xml:space="preserve">CROME </v>
      </c>
      <c r="H12" s="14" t="str">
        <f t="shared" si="3"/>
        <v>RONZE, CROME RED</v>
      </c>
    </row>
    <row r="13" spans="1:8" x14ac:dyDescent="0.3">
      <c r="A13" s="42" t="s">
        <v>57</v>
      </c>
      <c r="B13" s="43" t="s">
        <v>58</v>
      </c>
      <c r="C13" s="44">
        <v>317000</v>
      </c>
      <c r="D13" s="111" t="s">
        <v>52</v>
      </c>
      <c r="E13" s="14" t="str">
        <f t="shared" si="0"/>
        <v>HIGH PRICE</v>
      </c>
      <c r="F13" s="14" t="str">
        <f t="shared" si="1"/>
        <v>T 650</v>
      </c>
      <c r="G13" s="14" t="str">
        <f t="shared" si="2"/>
        <v>ROCKER</v>
      </c>
      <c r="H13" s="14" t="str">
        <f t="shared" si="3"/>
        <v>RED, BRITISH RACIN</v>
      </c>
    </row>
    <row r="14" spans="1:8" x14ac:dyDescent="0.3">
      <c r="A14" s="42" t="s">
        <v>57</v>
      </c>
      <c r="B14" s="43" t="s">
        <v>59</v>
      </c>
      <c r="C14" s="44">
        <v>327000</v>
      </c>
      <c r="D14" s="112" t="s">
        <v>52</v>
      </c>
      <c r="E14" s="14" t="str">
        <f t="shared" si="0"/>
        <v>HIGH PRICE</v>
      </c>
      <c r="F14" s="14" t="str">
        <f t="shared" si="1"/>
        <v>T 650</v>
      </c>
      <c r="G14" s="14" t="str">
        <f t="shared" si="2"/>
        <v>DUX DE</v>
      </c>
      <c r="H14" s="14" t="str">
        <f t="shared" si="3"/>
        <v>UXUE</v>
      </c>
    </row>
    <row r="15" spans="1:8" x14ac:dyDescent="0.3">
      <c r="A15" s="42" t="s">
        <v>57</v>
      </c>
      <c r="B15" s="43" t="s">
        <v>60</v>
      </c>
      <c r="C15" s="44">
        <v>337000</v>
      </c>
      <c r="D15" s="112" t="s">
        <v>55</v>
      </c>
      <c r="E15" s="14" t="str">
        <f t="shared" si="0"/>
        <v>HIGH PRICE</v>
      </c>
      <c r="F15" s="14" t="str">
        <f t="shared" si="1"/>
        <v>T 650</v>
      </c>
      <c r="G15" s="14" t="str">
        <f t="shared" si="2"/>
        <v>APEX G</v>
      </c>
      <c r="H15" s="14" t="str">
        <f t="shared" si="3"/>
        <v>EY, SLIPSTREAM BLU</v>
      </c>
    </row>
    <row r="16" spans="1:8" ht="15" thickBot="1" x14ac:dyDescent="0.35">
      <c r="A16" s="42" t="s">
        <v>57</v>
      </c>
      <c r="B16" s="43" t="s">
        <v>61</v>
      </c>
      <c r="C16" s="44">
        <v>342000</v>
      </c>
      <c r="D16" s="113" t="s">
        <v>52</v>
      </c>
      <c r="E16" s="14" t="str">
        <f t="shared" si="0"/>
        <v>HIGH PRICE</v>
      </c>
      <c r="F16" s="14" t="str">
        <f t="shared" si="1"/>
        <v>T 650</v>
      </c>
      <c r="G16" s="14" t="str">
        <f t="shared" si="2"/>
        <v>Mr CLE</v>
      </c>
      <c r="H16" s="14" t="str">
        <f t="shared" si="3"/>
        <v>N CROME</v>
      </c>
    </row>
    <row r="17" spans="1:8" hidden="1" x14ac:dyDescent="0.3">
      <c r="A17" s="30" t="s">
        <v>39</v>
      </c>
      <c r="B17" s="31" t="s">
        <v>40</v>
      </c>
      <c r="C17" s="32">
        <v>201000</v>
      </c>
      <c r="D17" s="33" t="s">
        <v>41</v>
      </c>
      <c r="E17" s="14" t="str">
        <f t="shared" si="0"/>
        <v>HIGH PRICE</v>
      </c>
      <c r="F17" s="14" t="str">
        <f t="shared" si="1"/>
        <v>N 411</v>
      </c>
      <c r="G17" s="14" t="str">
        <f t="shared" si="2"/>
        <v>GRAPHI</v>
      </c>
      <c r="H17" s="14" t="str">
        <f t="shared" si="3"/>
        <v>E YELLOW, RED, BLU</v>
      </c>
    </row>
    <row r="18" spans="1:8" hidden="1" x14ac:dyDescent="0.3">
      <c r="A18" s="30" t="s">
        <v>39</v>
      </c>
      <c r="B18" s="31" t="s">
        <v>42</v>
      </c>
      <c r="C18" s="32">
        <v>208257</v>
      </c>
      <c r="D18" s="33" t="s">
        <v>41</v>
      </c>
      <c r="E18" s="14" t="str">
        <f t="shared" si="0"/>
        <v>HIGH PRICE</v>
      </c>
      <c r="F18" s="14" t="str">
        <f t="shared" si="1"/>
        <v>N 411</v>
      </c>
      <c r="G18" s="14" t="str">
        <f t="shared" si="2"/>
        <v>SKYLIN</v>
      </c>
      <c r="H18" s="14" t="str">
        <f t="shared" si="3"/>
        <v xml:space="preserve"> BLUE, BLAZING BLA</v>
      </c>
    </row>
    <row r="19" spans="1:8" hidden="1" x14ac:dyDescent="0.3">
      <c r="A19" s="30" t="s">
        <v>39</v>
      </c>
      <c r="B19" s="31" t="s">
        <v>43</v>
      </c>
      <c r="C19" s="32">
        <v>211984</v>
      </c>
      <c r="D19" s="33" t="s">
        <v>41</v>
      </c>
      <c r="E19" s="14" t="str">
        <f t="shared" si="0"/>
        <v>HIGH PRICE</v>
      </c>
      <c r="F19" s="14" t="str">
        <f t="shared" si="1"/>
        <v>N 411</v>
      </c>
      <c r="G19" s="14" t="str">
        <f t="shared" si="2"/>
        <v xml:space="preserve">WHITE </v>
      </c>
      <c r="H19" s="14" t="str">
        <f t="shared" si="3"/>
        <v>LAME, SILVER SPIRI</v>
      </c>
    </row>
    <row r="20" spans="1:8" hidden="1" x14ac:dyDescent="0.3">
      <c r="A20" s="34" t="s">
        <v>44</v>
      </c>
      <c r="B20" s="35" t="s">
        <v>45</v>
      </c>
      <c r="C20" s="36">
        <v>201000</v>
      </c>
      <c r="D20" s="37" t="s">
        <v>46</v>
      </c>
      <c r="E20" s="14" t="str">
        <f t="shared" si="0"/>
        <v>HIGH PRICE</v>
      </c>
      <c r="F20" s="14" t="str">
        <f t="shared" si="1"/>
        <v>N 450</v>
      </c>
      <c r="G20" s="14" t="str">
        <f t="shared" si="2"/>
        <v>KAZA B</v>
      </c>
      <c r="H20" s="14" t="str">
        <f t="shared" si="3"/>
        <v>OWN</v>
      </c>
    </row>
    <row r="21" spans="1:8" hidden="1" x14ac:dyDescent="0.3">
      <c r="A21" s="34" t="s">
        <v>44</v>
      </c>
      <c r="B21" s="35" t="s">
        <v>47</v>
      </c>
      <c r="C21" s="36">
        <v>289000</v>
      </c>
      <c r="D21" s="37" t="s">
        <v>46</v>
      </c>
      <c r="E21" s="14" t="str">
        <f t="shared" si="0"/>
        <v>HIGH PRICE</v>
      </c>
      <c r="F21" s="14" t="str">
        <f t="shared" si="1"/>
        <v>N 450</v>
      </c>
      <c r="G21" s="14" t="str">
        <f t="shared" si="2"/>
        <v xml:space="preserve">SLATE </v>
      </c>
      <c r="H21" s="14" t="str">
        <f t="shared" si="3"/>
        <v>IMALAYAN SALT, SLA</v>
      </c>
    </row>
    <row r="22" spans="1:8" hidden="1" x14ac:dyDescent="0.3">
      <c r="A22" s="34" t="s">
        <v>44</v>
      </c>
      <c r="B22" s="35" t="s">
        <v>48</v>
      </c>
      <c r="C22" s="36">
        <v>293000</v>
      </c>
      <c r="D22" s="37" t="s">
        <v>46</v>
      </c>
      <c r="E22" s="14" t="str">
        <f t="shared" si="0"/>
        <v>HIGH PRICE</v>
      </c>
      <c r="F22" s="14" t="str">
        <f t="shared" si="1"/>
        <v>N 450</v>
      </c>
      <c r="G22" s="14" t="str">
        <f t="shared" si="2"/>
        <v xml:space="preserve">KAMET </v>
      </c>
      <c r="H22" s="14" t="str">
        <f t="shared" si="3"/>
        <v>HITE</v>
      </c>
    </row>
    <row r="23" spans="1:8" hidden="1" x14ac:dyDescent="0.3">
      <c r="A23" s="34" t="s">
        <v>44</v>
      </c>
      <c r="B23" s="35" t="s">
        <v>49</v>
      </c>
      <c r="C23" s="36">
        <v>201000</v>
      </c>
      <c r="D23" s="37" t="s">
        <v>46</v>
      </c>
      <c r="E23" s="14" t="str">
        <f t="shared" si="0"/>
        <v>HIGH PRICE</v>
      </c>
      <c r="F23" s="14" t="str">
        <f t="shared" si="1"/>
        <v>N 450</v>
      </c>
      <c r="G23" s="14" t="str">
        <f t="shared" si="2"/>
        <v xml:space="preserve">HANLE </v>
      </c>
      <c r="H23" s="14" t="str">
        <f t="shared" si="3"/>
        <v>LACK</v>
      </c>
    </row>
    <row r="24" spans="1:8" hidden="1" x14ac:dyDescent="0.3">
      <c r="A24" s="18" t="s">
        <v>16</v>
      </c>
      <c r="B24" s="19" t="s">
        <v>17</v>
      </c>
      <c r="C24" s="20">
        <v>149900</v>
      </c>
      <c r="D24" s="21" t="s">
        <v>18</v>
      </c>
      <c r="E24" s="14" t="str">
        <f t="shared" si="0"/>
        <v>LOW PRICE</v>
      </c>
      <c r="F24" s="14" t="str">
        <f t="shared" si="1"/>
        <v xml:space="preserve"> 350 </v>
      </c>
      <c r="G24" s="14" t="str">
        <f t="shared" si="2"/>
        <v>FACTOR</v>
      </c>
      <c r="H24" s="14" t="str">
        <f t="shared" si="3"/>
        <v xml:space="preserve"> BLACK, FACTORY SI</v>
      </c>
    </row>
    <row r="25" spans="1:8" hidden="1" x14ac:dyDescent="0.3">
      <c r="A25" s="18" t="s">
        <v>16</v>
      </c>
      <c r="B25" s="19" t="s">
        <v>19</v>
      </c>
      <c r="C25" s="20">
        <v>169656</v>
      </c>
      <c r="D25" s="21" t="s">
        <v>20</v>
      </c>
      <c r="E25" s="14" t="str">
        <f t="shared" si="0"/>
        <v>LOW PRICE</v>
      </c>
      <c r="F25" s="14" t="str">
        <f t="shared" si="1"/>
        <v xml:space="preserve"> 350 </v>
      </c>
      <c r="G25" s="14" t="str">
        <f t="shared" si="2"/>
        <v>DAPPER</v>
      </c>
      <c r="H25" s="14" t="str">
        <f t="shared" si="3"/>
        <v>WHITE, DAPPER GREY</v>
      </c>
    </row>
    <row r="26" spans="1:8" hidden="1" x14ac:dyDescent="0.3">
      <c r="A26" s="18" t="s">
        <v>16</v>
      </c>
      <c r="B26" s="19" t="s">
        <v>21</v>
      </c>
      <c r="C26" s="20">
        <v>174655</v>
      </c>
      <c r="D26" s="21" t="s">
        <v>20</v>
      </c>
      <c r="E26" s="14" t="str">
        <f t="shared" si="0"/>
        <v>LOW PRICE</v>
      </c>
      <c r="F26" s="14" t="str">
        <f t="shared" si="1"/>
        <v xml:space="preserve"> 350 </v>
      </c>
      <c r="G26" s="14" t="str">
        <f t="shared" si="2"/>
        <v xml:space="preserve">REBEL </v>
      </c>
      <c r="H26" s="14" t="str">
        <f t="shared" si="3"/>
        <v xml:space="preserve">LUE, REBEL BLACK, </v>
      </c>
    </row>
    <row r="27" spans="1:8" x14ac:dyDescent="0.3">
      <c r="A27" s="38" t="s">
        <v>50</v>
      </c>
      <c r="B27" s="39" t="s">
        <v>51</v>
      </c>
      <c r="C27" s="40">
        <v>301000</v>
      </c>
      <c r="D27" s="114" t="s">
        <v>52</v>
      </c>
      <c r="E27" s="14" t="str">
        <f t="shared" si="0"/>
        <v>HIGH PRICE</v>
      </c>
      <c r="F27" s="14" t="str">
        <f t="shared" si="1"/>
        <v>R 650</v>
      </c>
      <c r="G27" s="14" t="str">
        <f t="shared" si="2"/>
        <v>CANYON</v>
      </c>
      <c r="H27" s="14" t="str">
        <f t="shared" si="3"/>
        <v>RED, CALI GREEN</v>
      </c>
    </row>
    <row r="28" spans="1:8" x14ac:dyDescent="0.3">
      <c r="A28" s="38" t="s">
        <v>50</v>
      </c>
      <c r="B28" s="39" t="s">
        <v>53</v>
      </c>
      <c r="C28" s="40">
        <v>309000</v>
      </c>
      <c r="D28" s="115" t="s">
        <v>52</v>
      </c>
      <c r="E28" s="14" t="str">
        <f t="shared" si="0"/>
        <v>HIGH PRICE</v>
      </c>
      <c r="F28" s="14" t="str">
        <f t="shared" si="1"/>
        <v>R 650</v>
      </c>
      <c r="G28" s="14" t="str">
        <f t="shared" si="2"/>
        <v>SUNSET</v>
      </c>
      <c r="H28" s="14" t="str">
        <f t="shared" si="3"/>
        <v>STRIP BLACK, BLACK</v>
      </c>
    </row>
    <row r="29" spans="1:8" x14ac:dyDescent="0.3">
      <c r="A29" s="38" t="s">
        <v>50</v>
      </c>
      <c r="B29" s="39" t="s">
        <v>54</v>
      </c>
      <c r="C29" s="40">
        <v>319000</v>
      </c>
      <c r="D29" s="115" t="s">
        <v>55</v>
      </c>
      <c r="E29" s="14" t="str">
        <f t="shared" si="0"/>
        <v>HIGH PRICE</v>
      </c>
      <c r="F29" s="14" t="str">
        <f t="shared" si="1"/>
        <v>R 650</v>
      </c>
      <c r="G29" s="14" t="str">
        <f t="shared" si="2"/>
        <v>BARCEL</v>
      </c>
      <c r="H29" s="14" t="str">
        <f t="shared" si="3"/>
        <v>NA BLUE, BLACKRAY</v>
      </c>
    </row>
    <row r="30" spans="1:8" ht="15" thickBot="1" x14ac:dyDescent="0.35">
      <c r="A30" s="38" t="s">
        <v>50</v>
      </c>
      <c r="B30" s="39" t="s">
        <v>56</v>
      </c>
      <c r="C30" s="40">
        <v>328000</v>
      </c>
      <c r="D30" s="116" t="s">
        <v>52</v>
      </c>
      <c r="E30" s="14" t="str">
        <f t="shared" si="0"/>
        <v>HIGH PRICE</v>
      </c>
      <c r="F30" s="14" t="str">
        <f t="shared" si="1"/>
        <v>R 650</v>
      </c>
      <c r="G30" s="14" t="str">
        <f t="shared" si="2"/>
        <v>MARK T</v>
      </c>
      <c r="H30" s="14" t="str">
        <f t="shared" si="3"/>
        <v>O CROME</v>
      </c>
    </row>
    <row r="31" spans="1:8" hidden="1" x14ac:dyDescent="0.3">
      <c r="A31" s="26" t="s">
        <v>30</v>
      </c>
      <c r="B31" s="27" t="s">
        <v>31</v>
      </c>
      <c r="C31" s="28">
        <v>199942</v>
      </c>
      <c r="D31" s="29" t="s">
        <v>32</v>
      </c>
      <c r="E31" s="14" t="str">
        <f t="shared" si="0"/>
        <v>LOW PRICE</v>
      </c>
      <c r="F31" s="14" t="str">
        <f t="shared" si="1"/>
        <v>R 350</v>
      </c>
      <c r="G31" s="14" t="str">
        <f t="shared" si="2"/>
        <v>FIREBA</v>
      </c>
      <c r="H31" s="14" t="str">
        <f t="shared" si="3"/>
        <v>L BLACK, RED, BLUE</v>
      </c>
    </row>
    <row r="32" spans="1:8" hidden="1" x14ac:dyDescent="0.3">
      <c r="A32" s="26" t="s">
        <v>30</v>
      </c>
      <c r="B32" s="27" t="s">
        <v>33</v>
      </c>
      <c r="C32" s="28">
        <v>215900</v>
      </c>
      <c r="D32" s="29" t="s">
        <v>34</v>
      </c>
      <c r="E32" s="14" t="str">
        <f t="shared" si="0"/>
        <v>HIGH PRICE</v>
      </c>
      <c r="F32" s="14" t="str">
        <f t="shared" si="1"/>
        <v>R 350</v>
      </c>
      <c r="G32" s="14" t="str">
        <f t="shared" si="2"/>
        <v>STELLA</v>
      </c>
      <c r="H32" s="14" t="str">
        <f t="shared" si="3"/>
        <v xml:space="preserve"> BLUE, RED, BLACK</v>
      </c>
    </row>
    <row r="33" spans="1:8" hidden="1" x14ac:dyDescent="0.3">
      <c r="A33" s="26" t="s">
        <v>30</v>
      </c>
      <c r="B33" s="27" t="s">
        <v>35</v>
      </c>
      <c r="C33" s="28">
        <v>219900</v>
      </c>
      <c r="D33" s="29" t="s">
        <v>36</v>
      </c>
      <c r="E33" s="14" t="str">
        <f t="shared" si="0"/>
        <v>HIGH PRICE</v>
      </c>
      <c r="F33" s="14" t="str">
        <f t="shared" si="1"/>
        <v>R 350</v>
      </c>
      <c r="G33" s="14" t="str">
        <f t="shared" si="2"/>
        <v>AURORA</v>
      </c>
      <c r="H33" s="14" t="str">
        <f t="shared" si="3"/>
        <v>BLUE, GREEN, BLACK</v>
      </c>
    </row>
    <row r="34" spans="1:8" hidden="1" x14ac:dyDescent="0.3">
      <c r="A34" s="26" t="s">
        <v>30</v>
      </c>
      <c r="B34" s="27" t="s">
        <v>37</v>
      </c>
      <c r="C34" s="28">
        <v>229900</v>
      </c>
      <c r="D34" s="29" t="s">
        <v>38</v>
      </c>
      <c r="E34" s="14" t="str">
        <f t="shared" si="0"/>
        <v>HIGH PRICE</v>
      </c>
      <c r="F34" s="14" t="str">
        <f t="shared" si="1"/>
        <v>R 350</v>
      </c>
      <c r="G34" s="14" t="str">
        <f t="shared" si="2"/>
        <v>SUPERN</v>
      </c>
      <c r="H34" s="14" t="str">
        <f t="shared" si="3"/>
        <v>VA BLUE, RED</v>
      </c>
    </row>
    <row r="35" spans="1:8" s="51" customFormat="1" x14ac:dyDescent="0.3">
      <c r="A35" s="52" t="s">
        <v>67</v>
      </c>
      <c r="B35" s="53" t="s">
        <v>68</v>
      </c>
      <c r="C35" s="54">
        <v>359430</v>
      </c>
      <c r="D35" s="117" t="s">
        <v>69</v>
      </c>
      <c r="E35" s="50" t="str">
        <f t="shared" si="0"/>
        <v>HIGH PRICE</v>
      </c>
      <c r="F35" s="50" t="str">
        <f t="shared" si="1"/>
        <v>N 650</v>
      </c>
      <c r="G35" s="50" t="str">
        <f t="shared" si="2"/>
        <v xml:space="preserve">SHEET </v>
      </c>
      <c r="H35" s="50" t="str">
        <f t="shared" si="3"/>
        <v>ETAL GREY</v>
      </c>
    </row>
    <row r="36" spans="1:8" s="51" customFormat="1" x14ac:dyDescent="0.3">
      <c r="A36" s="52" t="s">
        <v>67</v>
      </c>
      <c r="B36" s="53" t="s">
        <v>70</v>
      </c>
      <c r="C36" s="54">
        <v>370138</v>
      </c>
      <c r="D36" s="118" t="s">
        <v>69</v>
      </c>
      <c r="E36" s="50" t="str">
        <f t="shared" si="0"/>
        <v>HIGH PRICE</v>
      </c>
      <c r="F36" s="50" t="str">
        <f t="shared" si="1"/>
        <v>N 650</v>
      </c>
      <c r="G36" s="50" t="str">
        <f t="shared" si="2"/>
        <v xml:space="preserve">GREEN </v>
      </c>
      <c r="H36" s="50" t="str">
        <f t="shared" si="3"/>
        <v>RILL, PLASMA BLUE</v>
      </c>
    </row>
    <row r="37" spans="1:8" s="51" customFormat="1" x14ac:dyDescent="0.3">
      <c r="A37" s="52" t="s">
        <v>67</v>
      </c>
      <c r="B37" s="53" t="s">
        <v>71</v>
      </c>
      <c r="C37" s="54">
        <v>373000</v>
      </c>
      <c r="D37" s="118" t="s">
        <v>69</v>
      </c>
      <c r="E37" s="50" t="str">
        <f t="shared" si="0"/>
        <v>HIGH PRICE</v>
      </c>
      <c r="F37" s="50" t="str">
        <f t="shared" si="1"/>
        <v>N 650</v>
      </c>
      <c r="G37" s="50" t="str">
        <f t="shared" si="2"/>
        <v>STENCI</v>
      </c>
      <c r="H37" s="50" t="str">
        <f t="shared" si="3"/>
        <v xml:space="preserve"> WHITE</v>
      </c>
    </row>
    <row r="38" spans="1:8" s="56" customFormat="1" x14ac:dyDescent="0.3">
      <c r="A38" s="46" t="s">
        <v>62</v>
      </c>
      <c r="B38" s="47" t="s">
        <v>63</v>
      </c>
      <c r="C38" s="48">
        <v>363900</v>
      </c>
      <c r="D38" s="119" t="s">
        <v>64</v>
      </c>
      <c r="E38" s="50" t="str">
        <f t="shared" si="0"/>
        <v>HIGH PRICE</v>
      </c>
      <c r="F38" s="50" t="str">
        <f t="shared" si="1"/>
        <v>R 650</v>
      </c>
      <c r="G38" s="50" t="str">
        <f t="shared" si="2"/>
        <v>ASTRAL</v>
      </c>
      <c r="H38" s="50" t="str">
        <f t="shared" si="3"/>
        <v>BLACK, ASTRAL BLUE</v>
      </c>
    </row>
    <row r="39" spans="1:8" s="56" customFormat="1" x14ac:dyDescent="0.3">
      <c r="A39" s="46" t="s">
        <v>62</v>
      </c>
      <c r="B39" s="47" t="s">
        <v>65</v>
      </c>
      <c r="C39" s="48">
        <v>379123</v>
      </c>
      <c r="D39" s="119" t="s">
        <v>64</v>
      </c>
      <c r="E39" s="50" t="str">
        <f t="shared" si="0"/>
        <v>HIGH PRICE</v>
      </c>
      <c r="F39" s="50" t="str">
        <f t="shared" si="1"/>
        <v>R 650</v>
      </c>
      <c r="G39" s="50" t="str">
        <f t="shared" si="2"/>
        <v>INTERS</v>
      </c>
      <c r="H39" s="50" t="str">
        <f t="shared" si="3"/>
        <v>ELLAR GREEN, INTER</v>
      </c>
    </row>
    <row r="40" spans="1:8" s="56" customFormat="1" ht="15" thickBot="1" x14ac:dyDescent="0.35">
      <c r="A40" s="86" t="s">
        <v>62</v>
      </c>
      <c r="B40" s="87" t="s">
        <v>66</v>
      </c>
      <c r="C40" s="88">
        <v>394347</v>
      </c>
      <c r="D40" s="120" t="s">
        <v>64</v>
      </c>
      <c r="E40" s="50" t="str">
        <f t="shared" si="0"/>
        <v>HIGH PRICE</v>
      </c>
      <c r="F40" s="50" t="str">
        <f t="shared" si="1"/>
        <v>R 650</v>
      </c>
      <c r="G40" s="50" t="str">
        <f t="shared" si="2"/>
        <v>CELEST</v>
      </c>
      <c r="H40" s="50" t="str">
        <f t="shared" si="3"/>
        <v xml:space="preserve">AL RED, CELESTIAL </v>
      </c>
    </row>
    <row r="41" spans="1:8" ht="15" thickTop="1" x14ac:dyDescent="0.3">
      <c r="A41" s="61">
        <f>SUBTOTAL(103,Table14[[MODEL NAME ]])</f>
        <v>14</v>
      </c>
      <c r="B41" s="62"/>
      <c r="C41" s="63">
        <f>SUBTOTAL(109,Table14[PRICE])</f>
        <v>4819938</v>
      </c>
      <c r="D41" s="121"/>
    </row>
    <row r="42" spans="1:8" ht="15" thickBot="1" x14ac:dyDescent="0.35">
      <c r="B42" s="64"/>
      <c r="D42" s="121"/>
    </row>
    <row r="43" spans="1:8" ht="21.6" thickBot="1" x14ac:dyDescent="0.45">
      <c r="D43" s="122" t="s">
        <v>88</v>
      </c>
      <c r="E43" s="123"/>
    </row>
    <row r="45" spans="1:8" ht="15" thickBot="1" x14ac:dyDescent="0.35"/>
    <row r="46" spans="1:8" ht="16.2" thickBot="1" x14ac:dyDescent="0.35">
      <c r="A46" s="79" t="s">
        <v>76</v>
      </c>
      <c r="B46" s="80"/>
      <c r="C46" s="81"/>
    </row>
    <row r="47" spans="1:8" ht="15" thickTop="1" x14ac:dyDescent="0.3">
      <c r="A47" s="71"/>
      <c r="B47" s="72"/>
      <c r="C47" s="73"/>
    </row>
    <row r="48" spans="1:8" ht="15.6" x14ac:dyDescent="0.3">
      <c r="A48" s="82" t="s">
        <v>80</v>
      </c>
      <c r="B48" s="75">
        <f>AVERAGE(Table14[PRICE])</f>
        <v>257877.05263157896</v>
      </c>
      <c r="C48" s="74"/>
    </row>
    <row r="49" spans="1:3" ht="15.6" x14ac:dyDescent="0.3">
      <c r="A49" s="82" t="s">
        <v>77</v>
      </c>
      <c r="B49" s="75">
        <f>MEDIAN(Table14[PRICE])</f>
        <v>220445.5</v>
      </c>
      <c r="C49" s="74"/>
    </row>
    <row r="50" spans="1:3" ht="15.6" x14ac:dyDescent="0.3">
      <c r="A50" s="82" t="s">
        <v>78</v>
      </c>
      <c r="B50" s="75">
        <f>MODE(Table14[PRICE])</f>
        <v>201000</v>
      </c>
      <c r="C50" s="74"/>
    </row>
    <row r="51" spans="1:3" ht="15.6" x14ac:dyDescent="0.3">
      <c r="A51" s="82" t="s">
        <v>79</v>
      </c>
      <c r="B51" s="75">
        <f>STDEV(Table14[PRICE])</f>
        <v>73559.517475214161</v>
      </c>
      <c r="C51" s="74"/>
    </row>
    <row r="52" spans="1:3" ht="15.6" x14ac:dyDescent="0.3">
      <c r="A52" s="69" t="s">
        <v>81</v>
      </c>
      <c r="B52" s="75">
        <f>SUM(Table14[PRICE])</f>
        <v>9799328</v>
      </c>
      <c r="C52" s="74"/>
    </row>
    <row r="53" spans="1:3" ht="15.6" x14ac:dyDescent="0.3">
      <c r="A53" s="70" t="s">
        <v>82</v>
      </c>
      <c r="B53" s="75">
        <v>38</v>
      </c>
      <c r="C53" s="74"/>
    </row>
    <row r="54" spans="1:3" ht="15.6" x14ac:dyDescent="0.3">
      <c r="A54" s="69" t="s">
        <v>83</v>
      </c>
      <c r="B54" s="75">
        <f>MIN(Table14[PRICE])</f>
        <v>149900</v>
      </c>
      <c r="C54" s="74"/>
    </row>
    <row r="55" spans="1:3" ht="15.6" x14ac:dyDescent="0.3">
      <c r="A55" s="69" t="s">
        <v>84</v>
      </c>
      <c r="B55" s="75">
        <f>MAX(Table14[PRICE])</f>
        <v>394347</v>
      </c>
      <c r="C55" s="74"/>
    </row>
    <row r="56" spans="1:3" ht="15.6" x14ac:dyDescent="0.3">
      <c r="A56" s="69" t="s">
        <v>85</v>
      </c>
      <c r="B56" s="75">
        <f>AVERAGE(Table14[PRICE])</f>
        <v>257877.05263157896</v>
      </c>
      <c r="C56" s="74"/>
    </row>
    <row r="57" spans="1:3" x14ac:dyDescent="0.3">
      <c r="A57" s="70" t="s">
        <v>86</v>
      </c>
      <c r="B57" s="84" t="s">
        <v>72</v>
      </c>
      <c r="C57" s="85" t="s">
        <v>73</v>
      </c>
    </row>
    <row r="58" spans="1:3" ht="15.6" x14ac:dyDescent="0.3">
      <c r="A58" s="82" t="s">
        <v>74</v>
      </c>
      <c r="B58" s="75">
        <f>SUMIF(Table14[PRICE HIGH /LOW],"HIGH PRICE",Table14[PRICE])</f>
        <v>7966278</v>
      </c>
      <c r="C58" s="76">
        <f>SUMIF(Table14[PRICE HIGH /LOW],"LOW PRICE",Table14[PRICE])</f>
        <v>1833050</v>
      </c>
    </row>
    <row r="59" spans="1:3" ht="16.2" thickBot="1" x14ac:dyDescent="0.35">
      <c r="A59" s="83" t="s">
        <v>75</v>
      </c>
      <c r="B59" s="77">
        <f>COUNTIF(Table14[PRICE HIGH /LOW],"HIGH PRICE")</f>
        <v>28</v>
      </c>
      <c r="C59" s="78">
        <f>COUNTIF(Table14[PRICE HIGH /LOW],"LOW PRICE")</f>
        <v>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D166F-9827-41D8-A045-9AD504C15038}">
  <dimension ref="A1:H59"/>
  <sheetViews>
    <sheetView topLeftCell="A31" workbookViewId="0">
      <selection activeCell="B57" sqref="B57"/>
    </sheetView>
  </sheetViews>
  <sheetFormatPr defaultRowHeight="14.4" x14ac:dyDescent="0.3"/>
  <cols>
    <col min="1" max="1" width="25.33203125" style="14" customWidth="1"/>
    <col min="2" max="2" width="44.6640625" style="14" customWidth="1"/>
    <col min="3" max="3" width="17.109375" style="14" customWidth="1"/>
    <col min="4" max="4" width="27.44140625" style="14" customWidth="1"/>
    <col min="5" max="5" width="23.33203125" customWidth="1"/>
    <col min="6" max="6" width="17.109375" customWidth="1"/>
    <col min="7" max="7" width="11.21875" customWidth="1"/>
    <col min="8" max="8" width="18.6640625" customWidth="1"/>
  </cols>
  <sheetData>
    <row r="1" spans="1:8" ht="16.2" thickBot="1" x14ac:dyDescent="0.35">
      <c r="A1" s="1"/>
      <c r="B1" s="2" t="s">
        <v>0</v>
      </c>
      <c r="C1" s="3"/>
      <c r="D1" s="4"/>
      <c r="E1" t="s">
        <v>1</v>
      </c>
      <c r="F1" t="s">
        <v>1</v>
      </c>
    </row>
    <row r="2" spans="1:8" s="9" customFormat="1" ht="16.2" thickBot="1" x14ac:dyDescent="0.35">
      <c r="A2" s="5" t="s">
        <v>2</v>
      </c>
      <c r="B2" s="6" t="s">
        <v>3</v>
      </c>
      <c r="C2" s="6" t="s">
        <v>4</v>
      </c>
      <c r="D2" s="7" t="s">
        <v>5</v>
      </c>
      <c r="E2" s="8" t="s">
        <v>6</v>
      </c>
      <c r="F2" s="8" t="s">
        <v>7</v>
      </c>
      <c r="G2" s="8" t="s">
        <v>8</v>
      </c>
      <c r="H2" s="8" t="s">
        <v>9</v>
      </c>
    </row>
    <row r="3" spans="1:8" s="15" customFormat="1" x14ac:dyDescent="0.3">
      <c r="A3" s="18" t="s">
        <v>16</v>
      </c>
      <c r="B3" s="19" t="s">
        <v>17</v>
      </c>
      <c r="C3" s="126">
        <v>149900</v>
      </c>
      <c r="D3" s="21" t="s">
        <v>18</v>
      </c>
      <c r="E3" s="14" t="str">
        <f t="shared" ref="E3:E40" si="0">IF(C3&gt;=200100,"HIGH PRICE","LOW PRICE")</f>
        <v>LOW PRICE</v>
      </c>
      <c r="F3" s="14" t="str">
        <f t="shared" ref="F3:F40" si="1">RIGHT(A3,5)</f>
        <v xml:space="preserve"> 350 </v>
      </c>
      <c r="G3" s="14" t="str">
        <f t="shared" ref="G3:G40" si="2">LEFT(B3,6)</f>
        <v>FACTOR</v>
      </c>
      <c r="H3" s="14" t="str">
        <f t="shared" ref="H3:H40" si="3">MID(B3,8,18)</f>
        <v xml:space="preserve"> BLACK, FACTORY SI</v>
      </c>
    </row>
    <row r="4" spans="1:8" x14ac:dyDescent="0.3">
      <c r="A4" s="18" t="s">
        <v>16</v>
      </c>
      <c r="B4" s="19" t="s">
        <v>19</v>
      </c>
      <c r="C4" s="126">
        <v>169656</v>
      </c>
      <c r="D4" s="21" t="s">
        <v>20</v>
      </c>
      <c r="E4" s="14" t="str">
        <f t="shared" si="0"/>
        <v>LOW PRICE</v>
      </c>
      <c r="F4" s="14" t="str">
        <f t="shared" si="1"/>
        <v xml:space="preserve"> 350 </v>
      </c>
      <c r="G4" s="14" t="str">
        <f t="shared" si="2"/>
        <v>DAPPER</v>
      </c>
      <c r="H4" s="14" t="str">
        <f t="shared" si="3"/>
        <v>WHITE, DAPPER GREY</v>
      </c>
    </row>
    <row r="5" spans="1:8" x14ac:dyDescent="0.3">
      <c r="A5" s="10" t="s">
        <v>10</v>
      </c>
      <c r="B5" s="11" t="s">
        <v>11</v>
      </c>
      <c r="C5" s="127">
        <v>173562</v>
      </c>
      <c r="D5" s="13" t="s">
        <v>12</v>
      </c>
      <c r="E5" s="14" t="str">
        <f t="shared" si="0"/>
        <v>LOW PRICE</v>
      </c>
      <c r="F5" s="14" t="str">
        <f t="shared" si="1"/>
        <v>T 350</v>
      </c>
      <c r="G5" s="14" t="str">
        <f t="shared" si="2"/>
        <v>MILLIT</v>
      </c>
      <c r="H5" s="14" t="str">
        <f t="shared" si="3"/>
        <v>RY BLACK , MILLTAR</v>
      </c>
    </row>
    <row r="6" spans="1:8" x14ac:dyDescent="0.3">
      <c r="A6" s="18" t="s">
        <v>16</v>
      </c>
      <c r="B6" s="19" t="s">
        <v>21</v>
      </c>
      <c r="C6" s="126">
        <v>174655</v>
      </c>
      <c r="D6" s="21" t="s">
        <v>20</v>
      </c>
      <c r="E6" s="14" t="str">
        <f t="shared" si="0"/>
        <v>LOW PRICE</v>
      </c>
      <c r="F6" s="14" t="str">
        <f t="shared" si="1"/>
        <v xml:space="preserve"> 350 </v>
      </c>
      <c r="G6" s="14" t="str">
        <f t="shared" si="2"/>
        <v xml:space="preserve">REBEL </v>
      </c>
      <c r="H6" s="14" t="str">
        <f t="shared" si="3"/>
        <v xml:space="preserve">LUE, REBEL BLACK, </v>
      </c>
    </row>
    <row r="7" spans="1:8" x14ac:dyDescent="0.3">
      <c r="A7" s="10" t="s">
        <v>10</v>
      </c>
      <c r="B7" s="11" t="s">
        <v>13</v>
      </c>
      <c r="C7" s="127">
        <v>179000</v>
      </c>
      <c r="D7" s="16" t="s">
        <v>12</v>
      </c>
      <c r="E7" s="14" t="str">
        <f t="shared" si="0"/>
        <v>LOW PRICE</v>
      </c>
      <c r="F7" s="14" t="str">
        <f t="shared" si="1"/>
        <v>T 350</v>
      </c>
      <c r="G7" s="14" t="str">
        <f t="shared" si="2"/>
        <v>MILLIT</v>
      </c>
      <c r="H7" s="14" t="str">
        <f t="shared" si="3"/>
        <v>RY SILVER BLACK, M</v>
      </c>
    </row>
    <row r="8" spans="1:8" x14ac:dyDescent="0.3">
      <c r="A8" s="22" t="s">
        <v>22</v>
      </c>
      <c r="B8" s="23" t="s">
        <v>23</v>
      </c>
      <c r="C8" s="128">
        <v>193080</v>
      </c>
      <c r="D8" s="25" t="s">
        <v>24</v>
      </c>
      <c r="E8" s="14" t="str">
        <f t="shared" si="0"/>
        <v>LOW PRICE</v>
      </c>
      <c r="F8" s="14" t="str">
        <f t="shared" si="1"/>
        <v>C 350</v>
      </c>
      <c r="G8" s="14" t="str">
        <f t="shared" si="2"/>
        <v>REDDIT</v>
      </c>
      <c r="H8" s="14" t="str">
        <f t="shared" si="3"/>
        <v>H GREY, REDDITCH R</v>
      </c>
    </row>
    <row r="9" spans="1:8" x14ac:dyDescent="0.3">
      <c r="A9" s="22" t="s">
        <v>22</v>
      </c>
      <c r="B9" s="23" t="s">
        <v>25</v>
      </c>
      <c r="C9" s="128">
        <v>195919</v>
      </c>
      <c r="D9" s="25" t="s">
        <v>24</v>
      </c>
      <c r="E9" s="14" t="str">
        <f t="shared" si="0"/>
        <v>LOW PRICE</v>
      </c>
      <c r="F9" s="14" t="str">
        <f t="shared" si="1"/>
        <v>C 350</v>
      </c>
      <c r="G9" s="14" t="str">
        <f t="shared" si="2"/>
        <v>HALCYO</v>
      </c>
      <c r="H9" s="14" t="str">
        <f t="shared" si="3"/>
        <v xml:space="preserve"> BLACK, HALCYON GR</v>
      </c>
    </row>
    <row r="10" spans="1:8" x14ac:dyDescent="0.3">
      <c r="A10" s="10" t="s">
        <v>10</v>
      </c>
      <c r="B10" s="11" t="s">
        <v>14</v>
      </c>
      <c r="C10" s="129">
        <v>197436</v>
      </c>
      <c r="D10" s="13" t="s">
        <v>12</v>
      </c>
      <c r="E10" s="14" t="str">
        <f t="shared" si="0"/>
        <v>LOW PRICE</v>
      </c>
      <c r="F10" s="14" t="str">
        <f t="shared" si="1"/>
        <v>T 350</v>
      </c>
      <c r="G10" s="14" t="str">
        <f t="shared" si="2"/>
        <v>THE ST</v>
      </c>
      <c r="H10" s="14" t="str">
        <f t="shared" si="3"/>
        <v>NDARD BLACK, THE S</v>
      </c>
    </row>
    <row r="11" spans="1:8" x14ac:dyDescent="0.3">
      <c r="A11" s="22" t="s">
        <v>22</v>
      </c>
      <c r="B11" s="23" t="s">
        <v>25</v>
      </c>
      <c r="C11" s="128">
        <v>199900</v>
      </c>
      <c r="D11" s="25" t="s">
        <v>26</v>
      </c>
      <c r="E11" s="14" t="str">
        <f t="shared" si="0"/>
        <v>LOW PRICE</v>
      </c>
      <c r="F11" s="14" t="str">
        <f t="shared" si="1"/>
        <v>C 350</v>
      </c>
      <c r="G11" s="14" t="str">
        <f t="shared" si="2"/>
        <v>HALCYO</v>
      </c>
      <c r="H11" s="14" t="str">
        <f t="shared" si="3"/>
        <v xml:space="preserve"> BLACK, HALCYON GR</v>
      </c>
    </row>
    <row r="12" spans="1:8" x14ac:dyDescent="0.3">
      <c r="A12" s="26" t="s">
        <v>30</v>
      </c>
      <c r="B12" s="27" t="s">
        <v>31</v>
      </c>
      <c r="C12" s="130">
        <v>199942</v>
      </c>
      <c r="D12" s="29" t="s">
        <v>32</v>
      </c>
      <c r="E12" s="14" t="str">
        <f t="shared" si="0"/>
        <v>LOW PRICE</v>
      </c>
      <c r="F12" s="14" t="str">
        <f t="shared" si="1"/>
        <v>R 350</v>
      </c>
      <c r="G12" s="14" t="str">
        <f t="shared" si="2"/>
        <v>FIREBA</v>
      </c>
      <c r="H12" s="14" t="str">
        <f t="shared" si="3"/>
        <v>L BLACK, RED, BLUE</v>
      </c>
    </row>
    <row r="13" spans="1:8" x14ac:dyDescent="0.3">
      <c r="A13" s="30" t="s">
        <v>39</v>
      </c>
      <c r="B13" s="31" t="s">
        <v>40</v>
      </c>
      <c r="C13" s="131">
        <v>203210</v>
      </c>
      <c r="D13" s="33" t="s">
        <v>41</v>
      </c>
      <c r="E13" s="14" t="str">
        <f t="shared" si="0"/>
        <v>HIGH PRICE</v>
      </c>
      <c r="F13" s="14" t="str">
        <f t="shared" si="1"/>
        <v>N 411</v>
      </c>
      <c r="G13" s="14" t="str">
        <f t="shared" si="2"/>
        <v>GRAPHI</v>
      </c>
      <c r="H13" s="14" t="str">
        <f t="shared" si="3"/>
        <v>E YELLOW, RED, BLU</v>
      </c>
    </row>
    <row r="14" spans="1:8" x14ac:dyDescent="0.3">
      <c r="A14" s="30" t="s">
        <v>39</v>
      </c>
      <c r="B14" s="31" t="s">
        <v>42</v>
      </c>
      <c r="C14" s="131">
        <v>208257</v>
      </c>
      <c r="D14" s="33" t="s">
        <v>41</v>
      </c>
      <c r="E14" s="14" t="str">
        <f t="shared" si="0"/>
        <v>HIGH PRICE</v>
      </c>
      <c r="F14" s="14" t="str">
        <f t="shared" si="1"/>
        <v>N 411</v>
      </c>
      <c r="G14" s="14" t="str">
        <f t="shared" si="2"/>
        <v>SKYLIN</v>
      </c>
      <c r="H14" s="14" t="str">
        <f t="shared" si="3"/>
        <v xml:space="preserve"> BLUE, BLAZING BLA</v>
      </c>
    </row>
    <row r="15" spans="1:8" x14ac:dyDescent="0.3">
      <c r="A15" s="30" t="s">
        <v>39</v>
      </c>
      <c r="B15" s="31" t="s">
        <v>43</v>
      </c>
      <c r="C15" s="131">
        <v>211984</v>
      </c>
      <c r="D15" s="33" t="s">
        <v>41</v>
      </c>
      <c r="E15" s="14" t="str">
        <f t="shared" si="0"/>
        <v>HIGH PRICE</v>
      </c>
      <c r="F15" s="14" t="str">
        <f t="shared" si="1"/>
        <v>N 411</v>
      </c>
      <c r="G15" s="14" t="str">
        <f t="shared" si="2"/>
        <v xml:space="preserve">WHITE </v>
      </c>
      <c r="H15" s="14" t="str">
        <f t="shared" si="3"/>
        <v>LAME, SILVER SPIRI</v>
      </c>
    </row>
    <row r="16" spans="1:8" x14ac:dyDescent="0.3">
      <c r="A16" s="22" t="s">
        <v>22</v>
      </c>
      <c r="B16" s="23" t="s">
        <v>27</v>
      </c>
      <c r="C16" s="128">
        <v>213852</v>
      </c>
      <c r="D16" s="25" t="s">
        <v>26</v>
      </c>
      <c r="E16" s="14" t="str">
        <f t="shared" si="0"/>
        <v>HIGH PRICE</v>
      </c>
      <c r="F16" s="14" t="str">
        <f t="shared" si="1"/>
        <v>C 350</v>
      </c>
      <c r="G16" s="14" t="str">
        <f t="shared" si="2"/>
        <v>SIGNAL</v>
      </c>
      <c r="H16" s="14" t="str">
        <f t="shared" si="3"/>
        <v xml:space="preserve"> MARSH GREY, SIGNA</v>
      </c>
    </row>
    <row r="17" spans="1:8" x14ac:dyDescent="0.3">
      <c r="A17" s="10" t="s">
        <v>10</v>
      </c>
      <c r="B17" s="11" t="s">
        <v>15</v>
      </c>
      <c r="C17" s="127">
        <v>215801</v>
      </c>
      <c r="D17" s="13" t="s">
        <v>12</v>
      </c>
      <c r="E17" s="14" t="str">
        <f t="shared" si="0"/>
        <v>HIGH PRICE</v>
      </c>
      <c r="F17" s="14" t="str">
        <f t="shared" si="1"/>
        <v>T 350</v>
      </c>
      <c r="G17" s="14" t="str">
        <f t="shared" si="2"/>
        <v xml:space="preserve">BLACK </v>
      </c>
      <c r="H17" s="14" t="str">
        <f t="shared" si="3"/>
        <v>OLD</v>
      </c>
    </row>
    <row r="18" spans="1:8" x14ac:dyDescent="0.3">
      <c r="A18" s="26" t="s">
        <v>30</v>
      </c>
      <c r="B18" s="27" t="s">
        <v>33</v>
      </c>
      <c r="C18" s="130">
        <v>215900</v>
      </c>
      <c r="D18" s="29" t="s">
        <v>34</v>
      </c>
      <c r="E18" s="14" t="str">
        <f t="shared" si="0"/>
        <v>HIGH PRICE</v>
      </c>
      <c r="F18" s="14" t="str">
        <f t="shared" si="1"/>
        <v>R 350</v>
      </c>
      <c r="G18" s="14" t="str">
        <f t="shared" si="2"/>
        <v>STELLA</v>
      </c>
      <c r="H18" s="14" t="str">
        <f t="shared" si="3"/>
        <v xml:space="preserve"> BLUE, RED, BLACK</v>
      </c>
    </row>
    <row r="19" spans="1:8" x14ac:dyDescent="0.3">
      <c r="A19" s="26" t="s">
        <v>30</v>
      </c>
      <c r="B19" s="27" t="s">
        <v>35</v>
      </c>
      <c r="C19" s="130">
        <v>219900</v>
      </c>
      <c r="D19" s="29" t="s">
        <v>36</v>
      </c>
      <c r="E19" s="14" t="str">
        <f t="shared" si="0"/>
        <v>HIGH PRICE</v>
      </c>
      <c r="F19" s="14" t="str">
        <f t="shared" si="1"/>
        <v>R 350</v>
      </c>
      <c r="G19" s="14" t="str">
        <f t="shared" si="2"/>
        <v>AURORA</v>
      </c>
      <c r="H19" s="14" t="str">
        <f t="shared" si="3"/>
        <v>BLUE, GREEN, BLACK</v>
      </c>
    </row>
    <row r="20" spans="1:8" x14ac:dyDescent="0.3">
      <c r="A20" s="22" t="s">
        <v>22</v>
      </c>
      <c r="B20" s="23" t="s">
        <v>28</v>
      </c>
      <c r="C20" s="128">
        <v>220991</v>
      </c>
      <c r="D20" s="25" t="s">
        <v>26</v>
      </c>
      <c r="E20" s="14" t="str">
        <f t="shared" si="0"/>
        <v>HIGH PRICE</v>
      </c>
      <c r="F20" s="14" t="str">
        <f t="shared" si="1"/>
        <v>C 350</v>
      </c>
      <c r="G20" s="14" t="str">
        <f t="shared" si="2"/>
        <v>DARK S</v>
      </c>
      <c r="H20" s="14" t="str">
        <f t="shared" si="3"/>
        <v>ALTH BLACK, DARK G</v>
      </c>
    </row>
    <row r="21" spans="1:8" x14ac:dyDescent="0.3">
      <c r="A21" s="22" t="s">
        <v>22</v>
      </c>
      <c r="B21" s="23" t="s">
        <v>29</v>
      </c>
      <c r="C21" s="128">
        <v>224755</v>
      </c>
      <c r="D21" s="25" t="s">
        <v>26</v>
      </c>
      <c r="E21" s="14" t="str">
        <f t="shared" si="0"/>
        <v>HIGH PRICE</v>
      </c>
      <c r="F21" s="14" t="str">
        <f t="shared" si="1"/>
        <v>C 350</v>
      </c>
      <c r="G21" s="14" t="str">
        <f t="shared" si="2"/>
        <v xml:space="preserve">CROME </v>
      </c>
      <c r="H21" s="14" t="str">
        <f t="shared" si="3"/>
        <v>RONZE, CROME RED</v>
      </c>
    </row>
    <row r="22" spans="1:8" x14ac:dyDescent="0.3">
      <c r="A22" s="26" t="s">
        <v>30</v>
      </c>
      <c r="B22" s="27" t="s">
        <v>37</v>
      </c>
      <c r="C22" s="130">
        <v>229900</v>
      </c>
      <c r="D22" s="29" t="s">
        <v>38</v>
      </c>
      <c r="E22" s="14" t="str">
        <f t="shared" si="0"/>
        <v>HIGH PRICE</v>
      </c>
      <c r="F22" s="14" t="str">
        <f t="shared" si="1"/>
        <v>R 350</v>
      </c>
      <c r="G22" s="14" t="str">
        <f t="shared" si="2"/>
        <v>SUPERN</v>
      </c>
      <c r="H22" s="14" t="str">
        <f t="shared" si="3"/>
        <v>VA BLUE, RED</v>
      </c>
    </row>
    <row r="23" spans="1:8" x14ac:dyDescent="0.3">
      <c r="A23" s="34" t="s">
        <v>44</v>
      </c>
      <c r="B23" s="35" t="s">
        <v>45</v>
      </c>
      <c r="C23" s="132">
        <v>285000</v>
      </c>
      <c r="D23" s="37" t="s">
        <v>46</v>
      </c>
      <c r="E23" s="14" t="str">
        <f t="shared" si="0"/>
        <v>HIGH PRICE</v>
      </c>
      <c r="F23" s="14" t="str">
        <f t="shared" si="1"/>
        <v>N 450</v>
      </c>
      <c r="G23" s="14" t="str">
        <f t="shared" si="2"/>
        <v>KAZA B</v>
      </c>
      <c r="H23" s="14" t="str">
        <f t="shared" si="3"/>
        <v>OWN</v>
      </c>
    </row>
    <row r="24" spans="1:8" x14ac:dyDescent="0.3">
      <c r="A24" s="34" t="s">
        <v>44</v>
      </c>
      <c r="B24" s="35" t="s">
        <v>47</v>
      </c>
      <c r="C24" s="132">
        <v>289000</v>
      </c>
      <c r="D24" s="37" t="s">
        <v>46</v>
      </c>
      <c r="E24" s="14" t="str">
        <f t="shared" si="0"/>
        <v>HIGH PRICE</v>
      </c>
      <c r="F24" s="14" t="str">
        <f t="shared" si="1"/>
        <v>N 450</v>
      </c>
      <c r="G24" s="14" t="str">
        <f t="shared" si="2"/>
        <v xml:space="preserve">SLATE </v>
      </c>
      <c r="H24" s="14" t="str">
        <f t="shared" si="3"/>
        <v>IMALAYAN SALT, SLA</v>
      </c>
    </row>
    <row r="25" spans="1:8" x14ac:dyDescent="0.3">
      <c r="A25" s="34" t="s">
        <v>44</v>
      </c>
      <c r="B25" s="35" t="s">
        <v>48</v>
      </c>
      <c r="C25" s="132">
        <v>293000</v>
      </c>
      <c r="D25" s="37" t="s">
        <v>46</v>
      </c>
      <c r="E25" s="14" t="str">
        <f t="shared" si="0"/>
        <v>HIGH PRICE</v>
      </c>
      <c r="F25" s="14" t="str">
        <f t="shared" si="1"/>
        <v>N 450</v>
      </c>
      <c r="G25" s="14" t="str">
        <f t="shared" si="2"/>
        <v xml:space="preserve">KAMET </v>
      </c>
      <c r="H25" s="14" t="str">
        <f t="shared" si="3"/>
        <v>HITE</v>
      </c>
    </row>
    <row r="26" spans="1:8" x14ac:dyDescent="0.3">
      <c r="A26" s="34" t="s">
        <v>44</v>
      </c>
      <c r="B26" s="35" t="s">
        <v>49</v>
      </c>
      <c r="C26" s="132">
        <v>298000</v>
      </c>
      <c r="D26" s="37" t="s">
        <v>46</v>
      </c>
      <c r="E26" s="14" t="str">
        <f t="shared" si="0"/>
        <v>HIGH PRICE</v>
      </c>
      <c r="F26" s="14" t="str">
        <f t="shared" si="1"/>
        <v>N 450</v>
      </c>
      <c r="G26" s="14" t="str">
        <f t="shared" si="2"/>
        <v xml:space="preserve">HANLE </v>
      </c>
      <c r="H26" s="14" t="str">
        <f t="shared" si="3"/>
        <v>LACK</v>
      </c>
    </row>
    <row r="27" spans="1:8" x14ac:dyDescent="0.3">
      <c r="A27" s="38" t="s">
        <v>50</v>
      </c>
      <c r="B27" s="39" t="s">
        <v>51</v>
      </c>
      <c r="C27" s="133">
        <v>301000</v>
      </c>
      <c r="D27" s="41" t="s">
        <v>52</v>
      </c>
      <c r="E27" s="14" t="str">
        <f t="shared" si="0"/>
        <v>HIGH PRICE</v>
      </c>
      <c r="F27" s="14" t="str">
        <f t="shared" si="1"/>
        <v>R 650</v>
      </c>
      <c r="G27" s="14" t="str">
        <f t="shared" si="2"/>
        <v>CANYON</v>
      </c>
      <c r="H27" s="14" t="str">
        <f t="shared" si="3"/>
        <v>RED, CALI GREEN</v>
      </c>
    </row>
    <row r="28" spans="1:8" x14ac:dyDescent="0.3">
      <c r="A28" s="38" t="s">
        <v>50</v>
      </c>
      <c r="B28" s="39" t="s">
        <v>53</v>
      </c>
      <c r="C28" s="133">
        <v>309000</v>
      </c>
      <c r="D28" s="41" t="s">
        <v>52</v>
      </c>
      <c r="E28" s="14" t="str">
        <f t="shared" si="0"/>
        <v>HIGH PRICE</v>
      </c>
      <c r="F28" s="14" t="str">
        <f t="shared" si="1"/>
        <v>R 650</v>
      </c>
      <c r="G28" s="14" t="str">
        <f t="shared" si="2"/>
        <v>SUNSET</v>
      </c>
      <c r="H28" s="14" t="str">
        <f t="shared" si="3"/>
        <v>STRIP BLACK, BLACK</v>
      </c>
    </row>
    <row r="29" spans="1:8" x14ac:dyDescent="0.3">
      <c r="A29" s="42" t="s">
        <v>57</v>
      </c>
      <c r="B29" s="43" t="s">
        <v>58</v>
      </c>
      <c r="C29" s="134">
        <v>317000</v>
      </c>
      <c r="D29" s="45" t="s">
        <v>52</v>
      </c>
      <c r="E29" s="14" t="str">
        <f t="shared" si="0"/>
        <v>HIGH PRICE</v>
      </c>
      <c r="F29" s="14" t="str">
        <f t="shared" si="1"/>
        <v>T 650</v>
      </c>
      <c r="G29" s="14" t="str">
        <f t="shared" si="2"/>
        <v>ROCKER</v>
      </c>
      <c r="H29" s="14" t="str">
        <f t="shared" si="3"/>
        <v>RED, BRITISH RACIN</v>
      </c>
    </row>
    <row r="30" spans="1:8" x14ac:dyDescent="0.3">
      <c r="A30" s="38" t="s">
        <v>50</v>
      </c>
      <c r="B30" s="39" t="s">
        <v>54</v>
      </c>
      <c r="C30" s="133">
        <v>319000</v>
      </c>
      <c r="D30" s="41" t="s">
        <v>55</v>
      </c>
      <c r="E30" s="14" t="str">
        <f t="shared" si="0"/>
        <v>HIGH PRICE</v>
      </c>
      <c r="F30" s="14" t="str">
        <f t="shared" si="1"/>
        <v>R 650</v>
      </c>
      <c r="G30" s="14" t="str">
        <f t="shared" si="2"/>
        <v>BARCEL</v>
      </c>
      <c r="H30" s="14" t="str">
        <f t="shared" si="3"/>
        <v>NA BLUE, BLACKRAY</v>
      </c>
    </row>
    <row r="31" spans="1:8" x14ac:dyDescent="0.3">
      <c r="A31" s="42" t="s">
        <v>57</v>
      </c>
      <c r="B31" s="43" t="s">
        <v>59</v>
      </c>
      <c r="C31" s="134">
        <v>327000</v>
      </c>
      <c r="D31" s="45" t="s">
        <v>52</v>
      </c>
      <c r="E31" s="14" t="str">
        <f t="shared" si="0"/>
        <v>HIGH PRICE</v>
      </c>
      <c r="F31" s="14" t="str">
        <f t="shared" si="1"/>
        <v>T 650</v>
      </c>
      <c r="G31" s="14" t="str">
        <f t="shared" si="2"/>
        <v>DUX DE</v>
      </c>
      <c r="H31" s="14" t="str">
        <f t="shared" si="3"/>
        <v>UXUE</v>
      </c>
    </row>
    <row r="32" spans="1:8" x14ac:dyDescent="0.3">
      <c r="A32" s="38" t="s">
        <v>50</v>
      </c>
      <c r="B32" s="39" t="s">
        <v>56</v>
      </c>
      <c r="C32" s="133">
        <v>328000</v>
      </c>
      <c r="D32" s="41" t="s">
        <v>52</v>
      </c>
      <c r="E32" s="14" t="str">
        <f t="shared" si="0"/>
        <v>HIGH PRICE</v>
      </c>
      <c r="F32" s="14" t="str">
        <f t="shared" si="1"/>
        <v>R 650</v>
      </c>
      <c r="G32" s="14" t="str">
        <f t="shared" si="2"/>
        <v>MARK T</v>
      </c>
      <c r="H32" s="14" t="str">
        <f t="shared" si="3"/>
        <v>O CROME</v>
      </c>
    </row>
    <row r="33" spans="1:8" x14ac:dyDescent="0.3">
      <c r="A33" s="42" t="s">
        <v>57</v>
      </c>
      <c r="B33" s="43" t="s">
        <v>60</v>
      </c>
      <c r="C33" s="134">
        <v>337000</v>
      </c>
      <c r="D33" s="45" t="s">
        <v>55</v>
      </c>
      <c r="E33" s="14" t="str">
        <f t="shared" si="0"/>
        <v>HIGH PRICE</v>
      </c>
      <c r="F33" s="14" t="str">
        <f t="shared" si="1"/>
        <v>T 650</v>
      </c>
      <c r="G33" s="14" t="str">
        <f t="shared" si="2"/>
        <v>APEX G</v>
      </c>
      <c r="H33" s="14" t="str">
        <f t="shared" si="3"/>
        <v>EY, SLIPSTREAM BLU</v>
      </c>
    </row>
    <row r="34" spans="1:8" x14ac:dyDescent="0.3">
      <c r="A34" s="42" t="s">
        <v>57</v>
      </c>
      <c r="B34" s="43" t="s">
        <v>61</v>
      </c>
      <c r="C34" s="134">
        <v>342000</v>
      </c>
      <c r="D34" s="45" t="s">
        <v>52</v>
      </c>
      <c r="E34" s="14" t="str">
        <f t="shared" si="0"/>
        <v>HIGH PRICE</v>
      </c>
      <c r="F34" s="14" t="str">
        <f t="shared" si="1"/>
        <v>T 650</v>
      </c>
      <c r="G34" s="14" t="str">
        <f t="shared" si="2"/>
        <v>Mr CLE</v>
      </c>
      <c r="H34" s="14" t="str">
        <f t="shared" si="3"/>
        <v>N CROME</v>
      </c>
    </row>
    <row r="35" spans="1:8" s="51" customFormat="1" x14ac:dyDescent="0.3">
      <c r="A35" s="52" t="s">
        <v>67</v>
      </c>
      <c r="B35" s="53" t="s">
        <v>68</v>
      </c>
      <c r="C35" s="135">
        <v>359430</v>
      </c>
      <c r="D35" s="55" t="s">
        <v>69</v>
      </c>
      <c r="E35" s="50" t="str">
        <f t="shared" si="0"/>
        <v>HIGH PRICE</v>
      </c>
      <c r="F35" s="50" t="str">
        <f t="shared" si="1"/>
        <v>N 650</v>
      </c>
      <c r="G35" s="50" t="str">
        <f t="shared" si="2"/>
        <v xml:space="preserve">SHEET </v>
      </c>
      <c r="H35" s="50" t="str">
        <f t="shared" si="3"/>
        <v>ETAL GREY</v>
      </c>
    </row>
    <row r="36" spans="1:8" s="51" customFormat="1" x14ac:dyDescent="0.3">
      <c r="A36" s="46" t="s">
        <v>62</v>
      </c>
      <c r="B36" s="47" t="s">
        <v>63</v>
      </c>
      <c r="C36" s="136">
        <v>363900</v>
      </c>
      <c r="D36" s="49" t="s">
        <v>64</v>
      </c>
      <c r="E36" s="50" t="str">
        <f t="shared" si="0"/>
        <v>HIGH PRICE</v>
      </c>
      <c r="F36" s="50" t="str">
        <f t="shared" si="1"/>
        <v>R 650</v>
      </c>
      <c r="G36" s="50" t="str">
        <f t="shared" si="2"/>
        <v>ASTRAL</v>
      </c>
      <c r="H36" s="50" t="str">
        <f t="shared" si="3"/>
        <v>BLACK, ASTRAL BLUE</v>
      </c>
    </row>
    <row r="37" spans="1:8" s="51" customFormat="1" x14ac:dyDescent="0.3">
      <c r="A37" s="52" t="s">
        <v>67</v>
      </c>
      <c r="B37" s="53" t="s">
        <v>70</v>
      </c>
      <c r="C37" s="135">
        <v>370138</v>
      </c>
      <c r="D37" s="55" t="s">
        <v>69</v>
      </c>
      <c r="E37" s="50" t="str">
        <f t="shared" si="0"/>
        <v>HIGH PRICE</v>
      </c>
      <c r="F37" s="50" t="str">
        <f t="shared" si="1"/>
        <v>N 650</v>
      </c>
      <c r="G37" s="50" t="str">
        <f t="shared" si="2"/>
        <v xml:space="preserve">GREEN </v>
      </c>
      <c r="H37" s="50" t="str">
        <f t="shared" si="3"/>
        <v>RILL, PLASMA BLUE</v>
      </c>
    </row>
    <row r="38" spans="1:8" s="56" customFormat="1" x14ac:dyDescent="0.3">
      <c r="A38" s="52" t="s">
        <v>67</v>
      </c>
      <c r="B38" s="53" t="s">
        <v>71</v>
      </c>
      <c r="C38" s="135">
        <v>373000</v>
      </c>
      <c r="D38" s="55" t="s">
        <v>69</v>
      </c>
      <c r="E38" s="50" t="str">
        <f t="shared" si="0"/>
        <v>HIGH PRICE</v>
      </c>
      <c r="F38" s="50" t="str">
        <f t="shared" si="1"/>
        <v>N 650</v>
      </c>
      <c r="G38" s="50" t="str">
        <f t="shared" si="2"/>
        <v>STENCI</v>
      </c>
      <c r="H38" s="50" t="str">
        <f t="shared" si="3"/>
        <v xml:space="preserve"> WHITE</v>
      </c>
    </row>
    <row r="39" spans="1:8" s="56" customFormat="1" x14ac:dyDescent="0.3">
      <c r="A39" s="46" t="s">
        <v>62</v>
      </c>
      <c r="B39" s="47" t="s">
        <v>65</v>
      </c>
      <c r="C39" s="136">
        <v>379123</v>
      </c>
      <c r="D39" s="49" t="s">
        <v>64</v>
      </c>
      <c r="E39" s="50" t="str">
        <f t="shared" si="0"/>
        <v>HIGH PRICE</v>
      </c>
      <c r="F39" s="50" t="str">
        <f t="shared" si="1"/>
        <v>R 650</v>
      </c>
      <c r="G39" s="50" t="str">
        <f t="shared" si="2"/>
        <v>INTERS</v>
      </c>
      <c r="H39" s="50" t="str">
        <f t="shared" si="3"/>
        <v>ELLAR GREEN, INTER</v>
      </c>
    </row>
    <row r="40" spans="1:8" s="56" customFormat="1" ht="15" thickBot="1" x14ac:dyDescent="0.35">
      <c r="A40" s="86" t="s">
        <v>62</v>
      </c>
      <c r="B40" s="87" t="s">
        <v>66</v>
      </c>
      <c r="C40" s="137">
        <v>394347</v>
      </c>
      <c r="D40" s="89" t="s">
        <v>64</v>
      </c>
      <c r="E40" s="50" t="str">
        <f t="shared" si="0"/>
        <v>HIGH PRICE</v>
      </c>
      <c r="F40" s="50" t="str">
        <f t="shared" si="1"/>
        <v>R 650</v>
      </c>
      <c r="G40" s="50" t="str">
        <f t="shared" si="2"/>
        <v>CELEST</v>
      </c>
      <c r="H40" s="50" t="str">
        <f t="shared" si="3"/>
        <v xml:space="preserve">AL RED, CELESTIAL </v>
      </c>
    </row>
    <row r="41" spans="1:8" ht="15.6" thickTop="1" thickBot="1" x14ac:dyDescent="0.35">
      <c r="A41" s="61">
        <f>SUBTOTAL(103,Table135[[MODEL NAME ]])</f>
        <v>38</v>
      </c>
      <c r="B41" s="62"/>
      <c r="C41" s="63">
        <f>SUBTOTAL(109,Table135[PRICE])</f>
        <v>9982538</v>
      </c>
    </row>
    <row r="42" spans="1:8" ht="15" thickTop="1" x14ac:dyDescent="0.3">
      <c r="B42" s="64"/>
      <c r="C42" s="65"/>
    </row>
    <row r="43" spans="1:8" ht="21" x14ac:dyDescent="0.4">
      <c r="B43" s="66"/>
      <c r="C43" s="124" t="s">
        <v>90</v>
      </c>
      <c r="D43" s="68"/>
    </row>
    <row r="44" spans="1:8" x14ac:dyDescent="0.3">
      <c r="B44" s="64"/>
    </row>
    <row r="45" spans="1:8" ht="15" thickBot="1" x14ac:dyDescent="0.35">
      <c r="B45" s="64"/>
    </row>
    <row r="46" spans="1:8" ht="16.2" thickBot="1" x14ac:dyDescent="0.35">
      <c r="A46" s="79" t="s">
        <v>76</v>
      </c>
      <c r="B46" s="80"/>
      <c r="C46" s="81"/>
    </row>
    <row r="47" spans="1:8" ht="15" thickTop="1" x14ac:dyDescent="0.3">
      <c r="A47" s="71"/>
      <c r="B47" s="72"/>
      <c r="C47" s="73"/>
      <c r="D47" s="67"/>
    </row>
    <row r="48" spans="1:8" ht="15.6" x14ac:dyDescent="0.3">
      <c r="A48" s="82" t="s">
        <v>80</v>
      </c>
      <c r="B48" s="75">
        <f>AVERAGE(Table14[PRICE])</f>
        <v>257877.05263157896</v>
      </c>
      <c r="C48" s="74"/>
    </row>
    <row r="49" spans="1:3" ht="15.6" x14ac:dyDescent="0.3">
      <c r="A49" s="82" t="s">
        <v>77</v>
      </c>
      <c r="B49" s="75">
        <f>MEDIAN(Table14[PRICE])</f>
        <v>220445.5</v>
      </c>
      <c r="C49" s="74"/>
    </row>
    <row r="50" spans="1:3" ht="15.6" x14ac:dyDescent="0.3">
      <c r="A50" s="82" t="s">
        <v>78</v>
      </c>
      <c r="B50" s="75">
        <f>MODE(Table14[PRICE])</f>
        <v>201000</v>
      </c>
      <c r="C50" s="74"/>
    </row>
    <row r="51" spans="1:3" ht="15.6" x14ac:dyDescent="0.3">
      <c r="A51" s="82" t="s">
        <v>79</v>
      </c>
      <c r="B51" s="75">
        <f>STDEV(Table14[PRICE])</f>
        <v>73559.517475214161</v>
      </c>
      <c r="C51" s="74"/>
    </row>
    <row r="52" spans="1:3" ht="15.6" x14ac:dyDescent="0.3">
      <c r="A52" s="69" t="s">
        <v>81</v>
      </c>
      <c r="B52" s="75">
        <f>SUM(Table14[PRICE])</f>
        <v>9799328</v>
      </c>
      <c r="C52" s="74"/>
    </row>
    <row r="53" spans="1:3" ht="15.6" x14ac:dyDescent="0.3">
      <c r="A53" s="70" t="s">
        <v>82</v>
      </c>
      <c r="B53" s="75">
        <v>38</v>
      </c>
      <c r="C53" s="74"/>
    </row>
    <row r="54" spans="1:3" ht="15.6" x14ac:dyDescent="0.3">
      <c r="A54" s="69" t="s">
        <v>83</v>
      </c>
      <c r="B54" s="75">
        <f>MIN(Table14[PRICE])</f>
        <v>149900</v>
      </c>
      <c r="C54" s="74"/>
    </row>
    <row r="55" spans="1:3" ht="15.6" x14ac:dyDescent="0.3">
      <c r="A55" s="69" t="s">
        <v>84</v>
      </c>
      <c r="B55" s="75">
        <f>MAX(Table14[PRICE])</f>
        <v>394347</v>
      </c>
      <c r="C55" s="74"/>
    </row>
    <row r="56" spans="1:3" ht="15.6" x14ac:dyDescent="0.3">
      <c r="A56" s="69" t="s">
        <v>85</v>
      </c>
      <c r="B56" s="75">
        <f>AVERAGE(Table14[PRICE])</f>
        <v>257877.05263157896</v>
      </c>
      <c r="C56" s="74"/>
    </row>
    <row r="57" spans="1:3" x14ac:dyDescent="0.3">
      <c r="A57" s="70" t="s">
        <v>86</v>
      </c>
      <c r="B57" s="84" t="s">
        <v>72</v>
      </c>
      <c r="C57" s="85" t="s">
        <v>73</v>
      </c>
    </row>
    <row r="58" spans="1:3" ht="15.6" x14ac:dyDescent="0.3">
      <c r="A58" s="82" t="s">
        <v>74</v>
      </c>
      <c r="B58" s="75">
        <f>SUMIF(Table14[PRICE HIGH /LOW],"HIGH PRICE",Table14[PRICE])</f>
        <v>7966278</v>
      </c>
      <c r="C58" s="76">
        <f>SUMIF(Table14[PRICE HIGH /LOW],"LOW PRICE",Table14[PRICE])</f>
        <v>1833050</v>
      </c>
    </row>
    <row r="59" spans="1:3" ht="16.2" thickBot="1" x14ac:dyDescent="0.35">
      <c r="A59" s="83" t="s">
        <v>75</v>
      </c>
      <c r="B59" s="77">
        <f>COUNTIF(Table14[PRICE HIGH /LOW],"HIGH PRICE")</f>
        <v>28</v>
      </c>
      <c r="C59" s="78">
        <f>COUNTIF(Table14[PRICE HIGH /LOW],"LOW PRICE")</f>
        <v>10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EB2FA-9BA0-4A7C-ADDB-D4E873C991D9}">
  <dimension ref="A1:H58"/>
  <sheetViews>
    <sheetView topLeftCell="A22" workbookViewId="0">
      <selection activeCell="H58" sqref="H58"/>
    </sheetView>
  </sheetViews>
  <sheetFormatPr defaultRowHeight="14.4" x14ac:dyDescent="0.3"/>
  <cols>
    <col min="1" max="1" width="22" style="14" customWidth="1"/>
    <col min="2" max="2" width="45.6640625" style="14" customWidth="1"/>
    <col min="3" max="3" width="13.88671875" style="14" customWidth="1"/>
    <col min="4" max="4" width="23.88671875" style="14" customWidth="1"/>
    <col min="5" max="5" width="6.21875" customWidth="1"/>
    <col min="6" max="6" width="2.33203125" customWidth="1"/>
    <col min="7" max="7" width="5" customWidth="1"/>
    <col min="8" max="8" width="18.21875" customWidth="1"/>
  </cols>
  <sheetData>
    <row r="1" spans="1:8" ht="16.2" thickBot="1" x14ac:dyDescent="0.35">
      <c r="A1" s="1"/>
      <c r="B1" s="2" t="s">
        <v>0</v>
      </c>
      <c r="C1" s="3"/>
      <c r="D1" s="4"/>
      <c r="E1" t="s">
        <v>1</v>
      </c>
      <c r="F1" t="s">
        <v>1</v>
      </c>
    </row>
    <row r="2" spans="1:8" s="9" customFormat="1" ht="16.2" thickBot="1" x14ac:dyDescent="0.35">
      <c r="A2" s="5" t="s">
        <v>2</v>
      </c>
      <c r="B2" s="6" t="s">
        <v>3</v>
      </c>
      <c r="C2" s="6" t="s">
        <v>4</v>
      </c>
      <c r="D2" s="7" t="s">
        <v>5</v>
      </c>
      <c r="E2" s="8" t="s">
        <v>6</v>
      </c>
      <c r="F2" s="8" t="s">
        <v>7</v>
      </c>
      <c r="G2" s="8" t="s">
        <v>8</v>
      </c>
      <c r="H2" s="8" t="s">
        <v>9</v>
      </c>
    </row>
    <row r="3" spans="1:8" s="15" customFormat="1" x14ac:dyDescent="0.3">
      <c r="A3" s="10" t="s">
        <v>10</v>
      </c>
      <c r="B3" s="11" t="s">
        <v>15</v>
      </c>
      <c r="C3" s="12">
        <v>215801</v>
      </c>
      <c r="D3" s="13" t="s">
        <v>12</v>
      </c>
      <c r="E3" s="14" t="str">
        <f t="shared" ref="E3:E40" si="0">IF(C3&gt;=200100,"HIGH PRICE","LOW PRICE")</f>
        <v>HIGH PRICE</v>
      </c>
      <c r="F3" s="14" t="str">
        <f t="shared" ref="F3:F40" si="1">RIGHT(A3,5)</f>
        <v>T 350</v>
      </c>
      <c r="G3" s="14" t="str">
        <f t="shared" ref="G3:G40" si="2">LEFT(B3,6)</f>
        <v xml:space="preserve">BLACK </v>
      </c>
      <c r="H3" s="14" t="str">
        <f t="shared" ref="H3:H40" si="3">MID(B3,8,18)</f>
        <v>OLD</v>
      </c>
    </row>
    <row r="4" spans="1:8" x14ac:dyDescent="0.3">
      <c r="A4" s="10" t="s">
        <v>10</v>
      </c>
      <c r="B4" s="11" t="s">
        <v>14</v>
      </c>
      <c r="C4" s="17">
        <v>197436</v>
      </c>
      <c r="D4" s="13" t="s">
        <v>12</v>
      </c>
      <c r="E4" s="14" t="str">
        <f t="shared" si="0"/>
        <v>LOW PRICE</v>
      </c>
      <c r="F4" s="14" t="str">
        <f t="shared" si="1"/>
        <v>T 350</v>
      </c>
      <c r="G4" s="14" t="str">
        <f t="shared" si="2"/>
        <v>THE ST</v>
      </c>
      <c r="H4" s="14" t="str">
        <f t="shared" si="3"/>
        <v>NDARD BLACK, THE S</v>
      </c>
    </row>
    <row r="5" spans="1:8" x14ac:dyDescent="0.3">
      <c r="A5" s="10" t="s">
        <v>10</v>
      </c>
      <c r="B5" s="11" t="s">
        <v>13</v>
      </c>
      <c r="C5" s="12">
        <v>179000</v>
      </c>
      <c r="D5" s="16" t="s">
        <v>12</v>
      </c>
      <c r="E5" s="14" t="str">
        <f t="shared" si="0"/>
        <v>LOW PRICE</v>
      </c>
      <c r="F5" s="14" t="str">
        <f t="shared" si="1"/>
        <v>T 350</v>
      </c>
      <c r="G5" s="14" t="str">
        <f t="shared" si="2"/>
        <v>MILLIT</v>
      </c>
      <c r="H5" s="14" t="str">
        <f t="shared" si="3"/>
        <v>RY SILVER BLACK, M</v>
      </c>
    </row>
    <row r="6" spans="1:8" x14ac:dyDescent="0.3">
      <c r="A6" s="10" t="s">
        <v>10</v>
      </c>
      <c r="B6" s="11" t="s">
        <v>11</v>
      </c>
      <c r="C6" s="12">
        <v>173562</v>
      </c>
      <c r="D6" s="13" t="s">
        <v>12</v>
      </c>
      <c r="E6" s="14" t="str">
        <f t="shared" si="0"/>
        <v>LOW PRICE</v>
      </c>
      <c r="F6" s="14" t="str">
        <f t="shared" si="1"/>
        <v>T 350</v>
      </c>
      <c r="G6" s="14" t="str">
        <f t="shared" si="2"/>
        <v>MILLIT</v>
      </c>
      <c r="H6" s="14" t="str">
        <f t="shared" si="3"/>
        <v>RY BLACK , MILLTAR</v>
      </c>
    </row>
    <row r="7" spans="1:8" x14ac:dyDescent="0.3">
      <c r="A7" s="22" t="s">
        <v>22</v>
      </c>
      <c r="B7" s="23" t="s">
        <v>29</v>
      </c>
      <c r="C7" s="24">
        <v>224755</v>
      </c>
      <c r="D7" s="25" t="s">
        <v>26</v>
      </c>
      <c r="E7" s="14" t="str">
        <f t="shared" si="0"/>
        <v>HIGH PRICE</v>
      </c>
      <c r="F7" s="14" t="str">
        <f t="shared" si="1"/>
        <v>C 350</v>
      </c>
      <c r="G7" s="14" t="str">
        <f t="shared" si="2"/>
        <v xml:space="preserve">CROME </v>
      </c>
      <c r="H7" s="14" t="str">
        <f t="shared" si="3"/>
        <v>RONZE, CROME RED</v>
      </c>
    </row>
    <row r="8" spans="1:8" x14ac:dyDescent="0.3">
      <c r="A8" s="22" t="s">
        <v>22</v>
      </c>
      <c r="B8" s="23" t="s">
        <v>28</v>
      </c>
      <c r="C8" s="24">
        <v>220991</v>
      </c>
      <c r="D8" s="25" t="s">
        <v>26</v>
      </c>
      <c r="E8" s="14" t="str">
        <f t="shared" si="0"/>
        <v>HIGH PRICE</v>
      </c>
      <c r="F8" s="14" t="str">
        <f t="shared" si="1"/>
        <v>C 350</v>
      </c>
      <c r="G8" s="14" t="str">
        <f t="shared" si="2"/>
        <v>DARK S</v>
      </c>
      <c r="H8" s="14" t="str">
        <f t="shared" si="3"/>
        <v>ALTH BLACK, DARK G</v>
      </c>
    </row>
    <row r="9" spans="1:8" x14ac:dyDescent="0.3">
      <c r="A9" s="22" t="s">
        <v>22</v>
      </c>
      <c r="B9" s="23" t="s">
        <v>27</v>
      </c>
      <c r="C9" s="24">
        <v>213852</v>
      </c>
      <c r="D9" s="25" t="s">
        <v>26</v>
      </c>
      <c r="E9" s="14" t="str">
        <f t="shared" si="0"/>
        <v>HIGH PRICE</v>
      </c>
      <c r="F9" s="14" t="str">
        <f t="shared" si="1"/>
        <v>C 350</v>
      </c>
      <c r="G9" s="14" t="str">
        <f t="shared" si="2"/>
        <v>SIGNAL</v>
      </c>
      <c r="H9" s="14" t="str">
        <f t="shared" si="3"/>
        <v xml:space="preserve"> MARSH GREY, SIGNA</v>
      </c>
    </row>
    <row r="10" spans="1:8" x14ac:dyDescent="0.3">
      <c r="A10" s="22" t="s">
        <v>22</v>
      </c>
      <c r="B10" s="23" t="s">
        <v>25</v>
      </c>
      <c r="C10" s="24">
        <v>199900</v>
      </c>
      <c r="D10" s="25" t="s">
        <v>26</v>
      </c>
      <c r="E10" s="14" t="str">
        <f t="shared" si="0"/>
        <v>LOW PRICE</v>
      </c>
      <c r="F10" s="14" t="str">
        <f t="shared" si="1"/>
        <v>C 350</v>
      </c>
      <c r="G10" s="14" t="str">
        <f t="shared" si="2"/>
        <v>HALCYO</v>
      </c>
      <c r="H10" s="14" t="str">
        <f t="shared" si="3"/>
        <v xml:space="preserve"> BLACK, HALCYON GR</v>
      </c>
    </row>
    <row r="11" spans="1:8" x14ac:dyDescent="0.3">
      <c r="A11" s="22" t="s">
        <v>22</v>
      </c>
      <c r="B11" s="23" t="s">
        <v>25</v>
      </c>
      <c r="C11" s="24">
        <v>195919</v>
      </c>
      <c r="D11" s="25" t="s">
        <v>24</v>
      </c>
      <c r="E11" s="14" t="str">
        <f t="shared" si="0"/>
        <v>LOW PRICE</v>
      </c>
      <c r="F11" s="14" t="str">
        <f t="shared" si="1"/>
        <v>C 350</v>
      </c>
      <c r="G11" s="14" t="str">
        <f t="shared" si="2"/>
        <v>HALCYO</v>
      </c>
      <c r="H11" s="14" t="str">
        <f t="shared" si="3"/>
        <v xml:space="preserve"> BLACK, HALCYON GR</v>
      </c>
    </row>
    <row r="12" spans="1:8" x14ac:dyDescent="0.3">
      <c r="A12" s="22" t="s">
        <v>22</v>
      </c>
      <c r="B12" s="23" t="s">
        <v>23</v>
      </c>
      <c r="C12" s="24">
        <v>193080</v>
      </c>
      <c r="D12" s="25" t="s">
        <v>24</v>
      </c>
      <c r="E12" s="14" t="str">
        <f t="shared" si="0"/>
        <v>LOW PRICE</v>
      </c>
      <c r="F12" s="14" t="str">
        <f t="shared" si="1"/>
        <v>C 350</v>
      </c>
      <c r="G12" s="14" t="str">
        <f t="shared" si="2"/>
        <v>REDDIT</v>
      </c>
      <c r="H12" s="14" t="str">
        <f t="shared" si="3"/>
        <v>H GREY, REDDITCH R</v>
      </c>
    </row>
    <row r="13" spans="1:8" x14ac:dyDescent="0.3">
      <c r="A13" s="42" t="s">
        <v>57</v>
      </c>
      <c r="B13" s="43" t="s">
        <v>61</v>
      </c>
      <c r="C13" s="44">
        <v>342000</v>
      </c>
      <c r="D13" s="45" t="s">
        <v>52</v>
      </c>
      <c r="E13" s="14" t="str">
        <f t="shared" si="0"/>
        <v>HIGH PRICE</v>
      </c>
      <c r="F13" s="14" t="str">
        <f t="shared" si="1"/>
        <v>T 650</v>
      </c>
      <c r="G13" s="14" t="str">
        <f t="shared" si="2"/>
        <v>Mr CLE</v>
      </c>
      <c r="H13" s="14" t="str">
        <f t="shared" si="3"/>
        <v>N CROME</v>
      </c>
    </row>
    <row r="14" spans="1:8" x14ac:dyDescent="0.3">
      <c r="A14" s="42" t="s">
        <v>57</v>
      </c>
      <c r="B14" s="43" t="s">
        <v>60</v>
      </c>
      <c r="C14" s="44">
        <v>337000</v>
      </c>
      <c r="D14" s="45" t="s">
        <v>55</v>
      </c>
      <c r="E14" s="14" t="str">
        <f t="shared" si="0"/>
        <v>HIGH PRICE</v>
      </c>
      <c r="F14" s="14" t="str">
        <f t="shared" si="1"/>
        <v>T 650</v>
      </c>
      <c r="G14" s="14" t="str">
        <f t="shared" si="2"/>
        <v>APEX G</v>
      </c>
      <c r="H14" s="14" t="str">
        <f t="shared" si="3"/>
        <v>EY, SLIPSTREAM BLU</v>
      </c>
    </row>
    <row r="15" spans="1:8" x14ac:dyDescent="0.3">
      <c r="A15" s="42" t="s">
        <v>57</v>
      </c>
      <c r="B15" s="43" t="s">
        <v>59</v>
      </c>
      <c r="C15" s="44">
        <v>327000</v>
      </c>
      <c r="D15" s="45" t="s">
        <v>52</v>
      </c>
      <c r="E15" s="14" t="str">
        <f t="shared" si="0"/>
        <v>HIGH PRICE</v>
      </c>
      <c r="F15" s="14" t="str">
        <f t="shared" si="1"/>
        <v>T 650</v>
      </c>
      <c r="G15" s="14" t="str">
        <f t="shared" si="2"/>
        <v>DUX DE</v>
      </c>
      <c r="H15" s="14" t="str">
        <f t="shared" si="3"/>
        <v>UXUE</v>
      </c>
    </row>
    <row r="16" spans="1:8" x14ac:dyDescent="0.3">
      <c r="A16" s="42" t="s">
        <v>57</v>
      </c>
      <c r="B16" s="43" t="s">
        <v>58</v>
      </c>
      <c r="C16" s="44">
        <v>317000</v>
      </c>
      <c r="D16" s="45" t="s">
        <v>52</v>
      </c>
      <c r="E16" s="14" t="str">
        <f t="shared" si="0"/>
        <v>HIGH PRICE</v>
      </c>
      <c r="F16" s="14" t="str">
        <f t="shared" si="1"/>
        <v>T 650</v>
      </c>
      <c r="G16" s="14" t="str">
        <f t="shared" si="2"/>
        <v>ROCKER</v>
      </c>
      <c r="H16" s="14" t="str">
        <f t="shared" si="3"/>
        <v>RED, BRITISH RACIN</v>
      </c>
    </row>
    <row r="17" spans="1:8" x14ac:dyDescent="0.3">
      <c r="A17" s="30" t="s">
        <v>39</v>
      </c>
      <c r="B17" s="31" t="s">
        <v>43</v>
      </c>
      <c r="C17" s="32">
        <v>211984</v>
      </c>
      <c r="D17" s="33" t="s">
        <v>41</v>
      </c>
      <c r="E17" s="14" t="str">
        <f t="shared" si="0"/>
        <v>HIGH PRICE</v>
      </c>
      <c r="F17" s="14" t="str">
        <f t="shared" si="1"/>
        <v>N 411</v>
      </c>
      <c r="G17" s="14" t="str">
        <f t="shared" si="2"/>
        <v xml:space="preserve">WHITE </v>
      </c>
      <c r="H17" s="14" t="str">
        <f t="shared" si="3"/>
        <v>LAME, SILVER SPIRI</v>
      </c>
    </row>
    <row r="18" spans="1:8" x14ac:dyDescent="0.3">
      <c r="A18" s="30" t="s">
        <v>39</v>
      </c>
      <c r="B18" s="31" t="s">
        <v>42</v>
      </c>
      <c r="C18" s="32">
        <v>208257</v>
      </c>
      <c r="D18" s="33" t="s">
        <v>41</v>
      </c>
      <c r="E18" s="14" t="str">
        <f t="shared" si="0"/>
        <v>HIGH PRICE</v>
      </c>
      <c r="F18" s="14" t="str">
        <f t="shared" si="1"/>
        <v>N 411</v>
      </c>
      <c r="G18" s="14" t="str">
        <f t="shared" si="2"/>
        <v>SKYLIN</v>
      </c>
      <c r="H18" s="14" t="str">
        <f t="shared" si="3"/>
        <v xml:space="preserve"> BLUE, BLAZING BLA</v>
      </c>
    </row>
    <row r="19" spans="1:8" x14ac:dyDescent="0.3">
      <c r="A19" s="30" t="s">
        <v>39</v>
      </c>
      <c r="B19" s="31" t="s">
        <v>40</v>
      </c>
      <c r="C19" s="32">
        <v>203210</v>
      </c>
      <c r="D19" s="33" t="s">
        <v>41</v>
      </c>
      <c r="E19" s="14" t="str">
        <f t="shared" si="0"/>
        <v>HIGH PRICE</v>
      </c>
      <c r="F19" s="14" t="str">
        <f t="shared" si="1"/>
        <v>N 411</v>
      </c>
      <c r="G19" s="14" t="str">
        <f t="shared" si="2"/>
        <v>GRAPHI</v>
      </c>
      <c r="H19" s="14" t="str">
        <f t="shared" si="3"/>
        <v>E YELLOW, RED, BLU</v>
      </c>
    </row>
    <row r="20" spans="1:8" x14ac:dyDescent="0.3">
      <c r="A20" s="34" t="s">
        <v>44</v>
      </c>
      <c r="B20" s="35" t="s">
        <v>49</v>
      </c>
      <c r="C20" s="36">
        <v>298000</v>
      </c>
      <c r="D20" s="37" t="s">
        <v>46</v>
      </c>
      <c r="E20" s="14" t="str">
        <f t="shared" si="0"/>
        <v>HIGH PRICE</v>
      </c>
      <c r="F20" s="14" t="str">
        <f t="shared" si="1"/>
        <v>N 450</v>
      </c>
      <c r="G20" s="14" t="str">
        <f t="shared" si="2"/>
        <v xml:space="preserve">HANLE </v>
      </c>
      <c r="H20" s="14" t="str">
        <f t="shared" si="3"/>
        <v>LACK</v>
      </c>
    </row>
    <row r="21" spans="1:8" x14ac:dyDescent="0.3">
      <c r="A21" s="34" t="s">
        <v>44</v>
      </c>
      <c r="B21" s="35" t="s">
        <v>48</v>
      </c>
      <c r="C21" s="36">
        <v>293000</v>
      </c>
      <c r="D21" s="37" t="s">
        <v>46</v>
      </c>
      <c r="E21" s="14" t="str">
        <f t="shared" si="0"/>
        <v>HIGH PRICE</v>
      </c>
      <c r="F21" s="14" t="str">
        <f t="shared" si="1"/>
        <v>N 450</v>
      </c>
      <c r="G21" s="14" t="str">
        <f t="shared" si="2"/>
        <v xml:space="preserve">KAMET </v>
      </c>
      <c r="H21" s="14" t="str">
        <f t="shared" si="3"/>
        <v>HITE</v>
      </c>
    </row>
    <row r="22" spans="1:8" x14ac:dyDescent="0.3">
      <c r="A22" s="34" t="s">
        <v>44</v>
      </c>
      <c r="B22" s="35" t="s">
        <v>47</v>
      </c>
      <c r="C22" s="36">
        <v>289000</v>
      </c>
      <c r="D22" s="37" t="s">
        <v>46</v>
      </c>
      <c r="E22" s="14" t="str">
        <f t="shared" si="0"/>
        <v>HIGH PRICE</v>
      </c>
      <c r="F22" s="14" t="str">
        <f t="shared" si="1"/>
        <v>N 450</v>
      </c>
      <c r="G22" s="14" t="str">
        <f t="shared" si="2"/>
        <v xml:space="preserve">SLATE </v>
      </c>
      <c r="H22" s="14" t="str">
        <f t="shared" si="3"/>
        <v>IMALAYAN SALT, SLA</v>
      </c>
    </row>
    <row r="23" spans="1:8" x14ac:dyDescent="0.3">
      <c r="A23" s="34" t="s">
        <v>44</v>
      </c>
      <c r="B23" s="35" t="s">
        <v>45</v>
      </c>
      <c r="C23" s="36">
        <v>285000</v>
      </c>
      <c r="D23" s="37" t="s">
        <v>46</v>
      </c>
      <c r="E23" s="14" t="str">
        <f t="shared" si="0"/>
        <v>HIGH PRICE</v>
      </c>
      <c r="F23" s="14" t="str">
        <f t="shared" si="1"/>
        <v>N 450</v>
      </c>
      <c r="G23" s="14" t="str">
        <f t="shared" si="2"/>
        <v>KAZA B</v>
      </c>
      <c r="H23" s="14" t="str">
        <f t="shared" si="3"/>
        <v>OWN</v>
      </c>
    </row>
    <row r="24" spans="1:8" x14ac:dyDescent="0.3">
      <c r="A24" s="18" t="s">
        <v>16</v>
      </c>
      <c r="B24" s="19" t="s">
        <v>21</v>
      </c>
      <c r="C24" s="20">
        <v>174655</v>
      </c>
      <c r="D24" s="21" t="s">
        <v>20</v>
      </c>
      <c r="E24" s="14" t="str">
        <f t="shared" si="0"/>
        <v>LOW PRICE</v>
      </c>
      <c r="F24" s="14" t="str">
        <f t="shared" si="1"/>
        <v xml:space="preserve"> 350 </v>
      </c>
      <c r="G24" s="14" t="str">
        <f t="shared" si="2"/>
        <v xml:space="preserve">REBEL </v>
      </c>
      <c r="H24" s="14" t="str">
        <f t="shared" si="3"/>
        <v xml:space="preserve">LUE, REBEL BLACK, </v>
      </c>
    </row>
    <row r="25" spans="1:8" x14ac:dyDescent="0.3">
      <c r="A25" s="18" t="s">
        <v>16</v>
      </c>
      <c r="B25" s="19" t="s">
        <v>19</v>
      </c>
      <c r="C25" s="20">
        <v>169656</v>
      </c>
      <c r="D25" s="21" t="s">
        <v>20</v>
      </c>
      <c r="E25" s="14" t="str">
        <f t="shared" si="0"/>
        <v>LOW PRICE</v>
      </c>
      <c r="F25" s="14" t="str">
        <f t="shared" si="1"/>
        <v xml:space="preserve"> 350 </v>
      </c>
      <c r="G25" s="14" t="str">
        <f t="shared" si="2"/>
        <v>DAPPER</v>
      </c>
      <c r="H25" s="14" t="str">
        <f t="shared" si="3"/>
        <v>WHITE, DAPPER GREY</v>
      </c>
    </row>
    <row r="26" spans="1:8" x14ac:dyDescent="0.3">
      <c r="A26" s="18" t="s">
        <v>16</v>
      </c>
      <c r="B26" s="19" t="s">
        <v>17</v>
      </c>
      <c r="C26" s="20">
        <v>149900</v>
      </c>
      <c r="D26" s="21" t="s">
        <v>18</v>
      </c>
      <c r="E26" s="14" t="str">
        <f t="shared" si="0"/>
        <v>LOW PRICE</v>
      </c>
      <c r="F26" s="14" t="str">
        <f t="shared" si="1"/>
        <v xml:space="preserve"> 350 </v>
      </c>
      <c r="G26" s="14" t="str">
        <f t="shared" si="2"/>
        <v>FACTOR</v>
      </c>
      <c r="H26" s="14" t="str">
        <f t="shared" si="3"/>
        <v xml:space="preserve"> BLACK, FACTORY SI</v>
      </c>
    </row>
    <row r="27" spans="1:8" x14ac:dyDescent="0.3">
      <c r="A27" s="38" t="s">
        <v>50</v>
      </c>
      <c r="B27" s="39" t="s">
        <v>56</v>
      </c>
      <c r="C27" s="40">
        <v>328000</v>
      </c>
      <c r="D27" s="41" t="s">
        <v>52</v>
      </c>
      <c r="E27" s="14" t="str">
        <f t="shared" si="0"/>
        <v>HIGH PRICE</v>
      </c>
      <c r="F27" s="14" t="str">
        <f t="shared" si="1"/>
        <v>R 650</v>
      </c>
      <c r="G27" s="14" t="str">
        <f t="shared" si="2"/>
        <v>MARK T</v>
      </c>
      <c r="H27" s="14" t="str">
        <f t="shared" si="3"/>
        <v>O CROME</v>
      </c>
    </row>
    <row r="28" spans="1:8" x14ac:dyDescent="0.3">
      <c r="A28" s="38" t="s">
        <v>50</v>
      </c>
      <c r="B28" s="39" t="s">
        <v>54</v>
      </c>
      <c r="C28" s="40">
        <v>319000</v>
      </c>
      <c r="D28" s="41" t="s">
        <v>55</v>
      </c>
      <c r="E28" s="14" t="str">
        <f t="shared" si="0"/>
        <v>HIGH PRICE</v>
      </c>
      <c r="F28" s="14" t="str">
        <f t="shared" si="1"/>
        <v>R 650</v>
      </c>
      <c r="G28" s="14" t="str">
        <f t="shared" si="2"/>
        <v>BARCEL</v>
      </c>
      <c r="H28" s="14" t="str">
        <f t="shared" si="3"/>
        <v>NA BLUE, BLACKRAY</v>
      </c>
    </row>
    <row r="29" spans="1:8" x14ac:dyDescent="0.3">
      <c r="A29" s="38" t="s">
        <v>50</v>
      </c>
      <c r="B29" s="39" t="s">
        <v>53</v>
      </c>
      <c r="C29" s="40">
        <v>309000</v>
      </c>
      <c r="D29" s="41" t="s">
        <v>52</v>
      </c>
      <c r="E29" s="14" t="str">
        <f t="shared" si="0"/>
        <v>HIGH PRICE</v>
      </c>
      <c r="F29" s="14" t="str">
        <f t="shared" si="1"/>
        <v>R 650</v>
      </c>
      <c r="G29" s="14" t="str">
        <f t="shared" si="2"/>
        <v>SUNSET</v>
      </c>
      <c r="H29" s="14" t="str">
        <f t="shared" si="3"/>
        <v>STRIP BLACK, BLACK</v>
      </c>
    </row>
    <row r="30" spans="1:8" x14ac:dyDescent="0.3">
      <c r="A30" s="38" t="s">
        <v>50</v>
      </c>
      <c r="B30" s="39" t="s">
        <v>51</v>
      </c>
      <c r="C30" s="40">
        <v>301000</v>
      </c>
      <c r="D30" s="41" t="s">
        <v>52</v>
      </c>
      <c r="E30" s="14" t="str">
        <f t="shared" si="0"/>
        <v>HIGH PRICE</v>
      </c>
      <c r="F30" s="14" t="str">
        <f t="shared" si="1"/>
        <v>R 650</v>
      </c>
      <c r="G30" s="14" t="str">
        <f t="shared" si="2"/>
        <v>CANYON</v>
      </c>
      <c r="H30" s="14" t="str">
        <f t="shared" si="3"/>
        <v>RED, CALI GREEN</v>
      </c>
    </row>
    <row r="31" spans="1:8" x14ac:dyDescent="0.3">
      <c r="A31" s="26" t="s">
        <v>30</v>
      </c>
      <c r="B31" s="27" t="s">
        <v>37</v>
      </c>
      <c r="C31" s="28">
        <v>229900</v>
      </c>
      <c r="D31" s="29" t="s">
        <v>38</v>
      </c>
      <c r="E31" s="14" t="str">
        <f t="shared" si="0"/>
        <v>HIGH PRICE</v>
      </c>
      <c r="F31" s="14" t="str">
        <f t="shared" si="1"/>
        <v>R 350</v>
      </c>
      <c r="G31" s="14" t="str">
        <f t="shared" si="2"/>
        <v>SUPERN</v>
      </c>
      <c r="H31" s="14" t="str">
        <f t="shared" si="3"/>
        <v>VA BLUE, RED</v>
      </c>
    </row>
    <row r="32" spans="1:8" x14ac:dyDescent="0.3">
      <c r="A32" s="26" t="s">
        <v>30</v>
      </c>
      <c r="B32" s="27" t="s">
        <v>35</v>
      </c>
      <c r="C32" s="28">
        <v>219900</v>
      </c>
      <c r="D32" s="29" t="s">
        <v>36</v>
      </c>
      <c r="E32" s="14" t="str">
        <f t="shared" si="0"/>
        <v>HIGH PRICE</v>
      </c>
      <c r="F32" s="14" t="str">
        <f t="shared" si="1"/>
        <v>R 350</v>
      </c>
      <c r="G32" s="14" t="str">
        <f t="shared" si="2"/>
        <v>AURORA</v>
      </c>
      <c r="H32" s="14" t="str">
        <f t="shared" si="3"/>
        <v>BLUE, GREEN, BLACK</v>
      </c>
    </row>
    <row r="33" spans="1:8" x14ac:dyDescent="0.3">
      <c r="A33" s="26" t="s">
        <v>30</v>
      </c>
      <c r="B33" s="27" t="s">
        <v>33</v>
      </c>
      <c r="C33" s="28">
        <v>215900</v>
      </c>
      <c r="D33" s="29" t="s">
        <v>34</v>
      </c>
      <c r="E33" s="14" t="str">
        <f t="shared" si="0"/>
        <v>HIGH PRICE</v>
      </c>
      <c r="F33" s="14" t="str">
        <f t="shared" si="1"/>
        <v>R 350</v>
      </c>
      <c r="G33" s="14" t="str">
        <f t="shared" si="2"/>
        <v>STELLA</v>
      </c>
      <c r="H33" s="14" t="str">
        <f t="shared" si="3"/>
        <v xml:space="preserve"> BLUE, RED, BLACK</v>
      </c>
    </row>
    <row r="34" spans="1:8" x14ac:dyDescent="0.3">
      <c r="A34" s="26" t="s">
        <v>30</v>
      </c>
      <c r="B34" s="27" t="s">
        <v>31</v>
      </c>
      <c r="C34" s="28">
        <v>199942</v>
      </c>
      <c r="D34" s="29" t="s">
        <v>32</v>
      </c>
      <c r="E34" s="14" t="str">
        <f t="shared" si="0"/>
        <v>LOW PRICE</v>
      </c>
      <c r="F34" s="14" t="str">
        <f t="shared" si="1"/>
        <v>R 350</v>
      </c>
      <c r="G34" s="14" t="str">
        <f t="shared" si="2"/>
        <v>FIREBA</v>
      </c>
      <c r="H34" s="14" t="str">
        <f t="shared" si="3"/>
        <v>L BLACK, RED, BLUE</v>
      </c>
    </row>
    <row r="35" spans="1:8" s="51" customFormat="1" x14ac:dyDescent="0.3">
      <c r="A35" s="52" t="s">
        <v>67</v>
      </c>
      <c r="B35" s="53" t="s">
        <v>71</v>
      </c>
      <c r="C35" s="54">
        <v>373000</v>
      </c>
      <c r="D35" s="55" t="s">
        <v>69</v>
      </c>
      <c r="E35" s="50" t="str">
        <f t="shared" si="0"/>
        <v>HIGH PRICE</v>
      </c>
      <c r="F35" s="50" t="str">
        <f t="shared" si="1"/>
        <v>N 650</v>
      </c>
      <c r="G35" s="50" t="str">
        <f t="shared" si="2"/>
        <v>STENCI</v>
      </c>
      <c r="H35" s="50" t="str">
        <f t="shared" si="3"/>
        <v xml:space="preserve"> WHITE</v>
      </c>
    </row>
    <row r="36" spans="1:8" s="51" customFormat="1" x14ac:dyDescent="0.3">
      <c r="A36" s="52" t="s">
        <v>67</v>
      </c>
      <c r="B36" s="53" t="s">
        <v>70</v>
      </c>
      <c r="C36" s="54">
        <v>370138</v>
      </c>
      <c r="D36" s="55" t="s">
        <v>69</v>
      </c>
      <c r="E36" s="50" t="str">
        <f t="shared" si="0"/>
        <v>HIGH PRICE</v>
      </c>
      <c r="F36" s="50" t="str">
        <f t="shared" si="1"/>
        <v>N 650</v>
      </c>
      <c r="G36" s="50" t="str">
        <f t="shared" si="2"/>
        <v xml:space="preserve">GREEN </v>
      </c>
      <c r="H36" s="50" t="str">
        <f t="shared" si="3"/>
        <v>RILL, PLASMA BLUE</v>
      </c>
    </row>
    <row r="37" spans="1:8" s="51" customFormat="1" x14ac:dyDescent="0.3">
      <c r="A37" s="52" t="s">
        <v>67</v>
      </c>
      <c r="B37" s="53" t="s">
        <v>68</v>
      </c>
      <c r="C37" s="54">
        <v>359430</v>
      </c>
      <c r="D37" s="55" t="s">
        <v>69</v>
      </c>
      <c r="E37" s="50" t="str">
        <f t="shared" si="0"/>
        <v>HIGH PRICE</v>
      </c>
      <c r="F37" s="50" t="str">
        <f t="shared" si="1"/>
        <v>N 650</v>
      </c>
      <c r="G37" s="50" t="str">
        <f t="shared" si="2"/>
        <v xml:space="preserve">SHEET </v>
      </c>
      <c r="H37" s="50" t="str">
        <f t="shared" si="3"/>
        <v>ETAL GREY</v>
      </c>
    </row>
    <row r="38" spans="1:8" s="56" customFormat="1" x14ac:dyDescent="0.3">
      <c r="A38" s="46" t="s">
        <v>62</v>
      </c>
      <c r="B38" s="47" t="s">
        <v>66</v>
      </c>
      <c r="C38" s="48">
        <v>394347</v>
      </c>
      <c r="D38" s="49" t="s">
        <v>64</v>
      </c>
      <c r="E38" s="50" t="str">
        <f t="shared" si="0"/>
        <v>HIGH PRICE</v>
      </c>
      <c r="F38" s="50" t="str">
        <f t="shared" si="1"/>
        <v>R 650</v>
      </c>
      <c r="G38" s="50" t="str">
        <f t="shared" si="2"/>
        <v>CELEST</v>
      </c>
      <c r="H38" s="50" t="str">
        <f t="shared" si="3"/>
        <v xml:space="preserve">AL RED, CELESTIAL </v>
      </c>
    </row>
    <row r="39" spans="1:8" s="56" customFormat="1" x14ac:dyDescent="0.3">
      <c r="A39" s="46" t="s">
        <v>62</v>
      </c>
      <c r="B39" s="47" t="s">
        <v>65</v>
      </c>
      <c r="C39" s="48">
        <v>379123</v>
      </c>
      <c r="D39" s="49" t="s">
        <v>64</v>
      </c>
      <c r="E39" s="50" t="str">
        <f t="shared" si="0"/>
        <v>HIGH PRICE</v>
      </c>
      <c r="F39" s="50" t="str">
        <f t="shared" si="1"/>
        <v>R 650</v>
      </c>
      <c r="G39" s="50" t="str">
        <f t="shared" si="2"/>
        <v>INTERS</v>
      </c>
      <c r="H39" s="50" t="str">
        <f t="shared" si="3"/>
        <v>ELLAR GREEN, INTER</v>
      </c>
    </row>
    <row r="40" spans="1:8" s="56" customFormat="1" ht="15" thickBot="1" x14ac:dyDescent="0.35">
      <c r="A40" s="86" t="s">
        <v>62</v>
      </c>
      <c r="B40" s="87" t="s">
        <v>63</v>
      </c>
      <c r="C40" s="88">
        <v>363900</v>
      </c>
      <c r="D40" s="89" t="s">
        <v>64</v>
      </c>
      <c r="E40" s="50" t="str">
        <f t="shared" si="0"/>
        <v>HIGH PRICE</v>
      </c>
      <c r="F40" s="50" t="str">
        <f t="shared" si="1"/>
        <v>R 650</v>
      </c>
      <c r="G40" s="50" t="str">
        <f t="shared" si="2"/>
        <v>ASTRAL</v>
      </c>
      <c r="H40" s="50" t="str">
        <f t="shared" si="3"/>
        <v>BLACK, ASTRAL BLUE</v>
      </c>
    </row>
    <row r="41" spans="1:8" ht="15.6" thickTop="1" thickBot="1" x14ac:dyDescent="0.35">
      <c r="A41" s="61">
        <f>SUBTOTAL(103,Table136[[MODEL NAME ]])</f>
        <v>38</v>
      </c>
      <c r="B41" s="62"/>
      <c r="C41" s="63">
        <f>SUBTOTAL(109,Table136[PRICE])</f>
        <v>9982538</v>
      </c>
    </row>
    <row r="42" spans="1:8" ht="15" thickTop="1" x14ac:dyDescent="0.3">
      <c r="B42" s="64"/>
      <c r="C42" s="65"/>
    </row>
    <row r="43" spans="1:8" ht="18" x14ac:dyDescent="0.35">
      <c r="A43" s="14" t="s">
        <v>89</v>
      </c>
      <c r="B43" s="66"/>
      <c r="D43" s="125"/>
    </row>
    <row r="44" spans="1:8" ht="15" thickBot="1" x14ac:dyDescent="0.35">
      <c r="B44" s="64"/>
    </row>
    <row r="45" spans="1:8" ht="16.2" thickBot="1" x14ac:dyDescent="0.35">
      <c r="A45" s="79" t="s">
        <v>76</v>
      </c>
      <c r="B45" s="80"/>
      <c r="C45" s="81"/>
    </row>
    <row r="46" spans="1:8" ht="15" thickTop="1" x14ac:dyDescent="0.3">
      <c r="A46" s="71"/>
      <c r="B46" s="72"/>
      <c r="C46" s="73"/>
    </row>
    <row r="47" spans="1:8" ht="15.6" x14ac:dyDescent="0.3">
      <c r="A47" s="82" t="s">
        <v>80</v>
      </c>
      <c r="B47" s="75">
        <f>AVERAGE(Table14[PRICE])</f>
        <v>257877.05263157896</v>
      </c>
      <c r="C47" s="74"/>
      <c r="D47" s="67"/>
    </row>
    <row r="48" spans="1:8" ht="15.6" x14ac:dyDescent="0.3">
      <c r="A48" s="82" t="s">
        <v>77</v>
      </c>
      <c r="B48" s="75">
        <f>MEDIAN(Table14[PRICE])</f>
        <v>220445.5</v>
      </c>
      <c r="C48" s="74"/>
    </row>
    <row r="49" spans="1:3" ht="15.6" x14ac:dyDescent="0.3">
      <c r="A49" s="82" t="s">
        <v>78</v>
      </c>
      <c r="B49" s="75">
        <f>MODE(Table14[PRICE])</f>
        <v>201000</v>
      </c>
      <c r="C49" s="74"/>
    </row>
    <row r="50" spans="1:3" ht="15.6" x14ac:dyDescent="0.3">
      <c r="A50" s="82" t="s">
        <v>79</v>
      </c>
      <c r="B50" s="75">
        <f>STDEV(Table14[PRICE])</f>
        <v>73559.517475214161</v>
      </c>
      <c r="C50" s="74"/>
    </row>
    <row r="51" spans="1:3" ht="15.6" x14ac:dyDescent="0.3">
      <c r="A51" s="69" t="s">
        <v>81</v>
      </c>
      <c r="B51" s="75">
        <f>SUM(Table14[PRICE])</f>
        <v>9799328</v>
      </c>
      <c r="C51" s="74"/>
    </row>
    <row r="52" spans="1:3" ht="15.6" x14ac:dyDescent="0.3">
      <c r="A52" s="70" t="s">
        <v>82</v>
      </c>
      <c r="B52" s="75">
        <v>38</v>
      </c>
      <c r="C52" s="74"/>
    </row>
    <row r="53" spans="1:3" ht="15.6" x14ac:dyDescent="0.3">
      <c r="A53" s="69" t="s">
        <v>83</v>
      </c>
      <c r="B53" s="75">
        <f>MIN(Table14[PRICE])</f>
        <v>149900</v>
      </c>
      <c r="C53" s="74"/>
    </row>
    <row r="54" spans="1:3" ht="15.6" x14ac:dyDescent="0.3">
      <c r="A54" s="69" t="s">
        <v>84</v>
      </c>
      <c r="B54" s="75">
        <f>MAX(Table14[PRICE])</f>
        <v>394347</v>
      </c>
      <c r="C54" s="74"/>
    </row>
    <row r="55" spans="1:3" ht="15.6" x14ac:dyDescent="0.3">
      <c r="A55" s="69" t="s">
        <v>85</v>
      </c>
      <c r="B55" s="75">
        <f>AVERAGE(Table14[PRICE])</f>
        <v>257877.05263157896</v>
      </c>
      <c r="C55" s="74"/>
    </row>
    <row r="56" spans="1:3" x14ac:dyDescent="0.3">
      <c r="A56" s="70" t="s">
        <v>86</v>
      </c>
      <c r="B56" s="84" t="s">
        <v>72</v>
      </c>
      <c r="C56" s="85" t="s">
        <v>73</v>
      </c>
    </row>
    <row r="57" spans="1:3" ht="15.6" x14ac:dyDescent="0.3">
      <c r="A57" s="82" t="s">
        <v>74</v>
      </c>
      <c r="B57" s="75">
        <f>SUMIF(Table14[PRICE HIGH /LOW],"HIGH PRICE",Table14[PRICE])</f>
        <v>7966278</v>
      </c>
      <c r="C57" s="76">
        <f>SUMIF(Table14[PRICE HIGH /LOW],"LOW PRICE",Table14[PRICE])</f>
        <v>1833050</v>
      </c>
    </row>
    <row r="58" spans="1:3" ht="16.2" thickBot="1" x14ac:dyDescent="0.35">
      <c r="A58" s="83" t="s">
        <v>75</v>
      </c>
      <c r="B58" s="77">
        <f>COUNTIF(Table14[PRICE HIGH /LOW],"HIGH PRICE")</f>
        <v>28</v>
      </c>
      <c r="C58" s="78">
        <f>COUNTIF(Table14[PRICE HIGH /LOW],"LOW PRICE")</f>
        <v>10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C018D-61F8-4796-A1B3-53B92F15374F}">
  <dimension ref="A1:H58"/>
  <sheetViews>
    <sheetView topLeftCell="A34" workbookViewId="0">
      <selection activeCell="D52" sqref="D52"/>
    </sheetView>
  </sheetViews>
  <sheetFormatPr defaultRowHeight="14.4" x14ac:dyDescent="0.3"/>
  <cols>
    <col min="1" max="1" width="22" style="14" customWidth="1"/>
    <col min="2" max="2" width="45.6640625" style="14" customWidth="1"/>
    <col min="3" max="3" width="17.109375" style="14" customWidth="1"/>
    <col min="4" max="4" width="27.44140625" style="14" customWidth="1"/>
    <col min="5" max="5" width="23.33203125" customWidth="1"/>
    <col min="6" max="6" width="17.109375" customWidth="1"/>
    <col min="7" max="7" width="11.21875" customWidth="1"/>
    <col min="8" max="8" width="18.6640625" customWidth="1"/>
  </cols>
  <sheetData>
    <row r="1" spans="1:8" ht="16.2" thickBot="1" x14ac:dyDescent="0.35">
      <c r="A1" s="1"/>
      <c r="B1" s="2" t="s">
        <v>0</v>
      </c>
      <c r="C1" s="3"/>
      <c r="D1" s="4"/>
      <c r="E1" t="s">
        <v>1</v>
      </c>
      <c r="F1" t="s">
        <v>1</v>
      </c>
    </row>
    <row r="2" spans="1:8" s="9" customFormat="1" ht="16.2" thickBot="1" x14ac:dyDescent="0.35">
      <c r="A2" s="5" t="s">
        <v>2</v>
      </c>
      <c r="B2" s="6" t="s">
        <v>3</v>
      </c>
      <c r="C2" s="6" t="s">
        <v>4</v>
      </c>
      <c r="D2" s="7" t="s">
        <v>5</v>
      </c>
      <c r="E2" s="8" t="s">
        <v>6</v>
      </c>
      <c r="F2" s="8" t="s">
        <v>7</v>
      </c>
      <c r="G2" s="8" t="s">
        <v>8</v>
      </c>
      <c r="H2" s="8" t="s">
        <v>9</v>
      </c>
    </row>
    <row r="3" spans="1:8" s="15" customFormat="1" x14ac:dyDescent="0.3">
      <c r="A3" s="10" t="s">
        <v>10</v>
      </c>
      <c r="B3" s="11" t="s">
        <v>11</v>
      </c>
      <c r="C3" s="12">
        <v>173562</v>
      </c>
      <c r="D3" s="13" t="s">
        <v>12</v>
      </c>
      <c r="E3" s="14" t="str">
        <f t="shared" ref="E3:E40" si="0">IF(C3&gt;=200100,"HIGH PRICE","LOW PRICE")</f>
        <v>LOW PRICE</v>
      </c>
      <c r="F3" s="14" t="str">
        <f t="shared" ref="F3:F40" si="1">RIGHT(A3,5)</f>
        <v>T 350</v>
      </c>
      <c r="G3" s="14" t="str">
        <f t="shared" ref="G3:G40" si="2">LEFT(B3,6)</f>
        <v>MILLIT</v>
      </c>
      <c r="H3" s="14" t="str">
        <f t="shared" ref="H3:H40" si="3">MID(B3,8,18)</f>
        <v>RY BLACK , MILLTAR</v>
      </c>
    </row>
    <row r="4" spans="1:8" x14ac:dyDescent="0.3">
      <c r="A4" s="10" t="s">
        <v>10</v>
      </c>
      <c r="B4" s="11" t="s">
        <v>13</v>
      </c>
      <c r="C4" s="12">
        <v>179000</v>
      </c>
      <c r="D4" s="16" t="s">
        <v>12</v>
      </c>
      <c r="E4" s="14" t="str">
        <f t="shared" si="0"/>
        <v>LOW PRICE</v>
      </c>
      <c r="F4" s="14" t="str">
        <f t="shared" si="1"/>
        <v>T 350</v>
      </c>
      <c r="G4" s="14" t="str">
        <f t="shared" si="2"/>
        <v>MILLIT</v>
      </c>
      <c r="H4" s="14" t="str">
        <f t="shared" si="3"/>
        <v>RY SILVER BLACK, M</v>
      </c>
    </row>
    <row r="5" spans="1:8" x14ac:dyDescent="0.3">
      <c r="A5" s="10" t="s">
        <v>10</v>
      </c>
      <c r="B5" s="11" t="s">
        <v>14</v>
      </c>
      <c r="C5" s="17"/>
      <c r="D5" s="13" t="s">
        <v>12</v>
      </c>
      <c r="E5" s="14" t="str">
        <f t="shared" si="0"/>
        <v>LOW PRICE</v>
      </c>
      <c r="F5" s="14" t="str">
        <f t="shared" si="1"/>
        <v>T 350</v>
      </c>
      <c r="G5" s="14" t="str">
        <f t="shared" si="2"/>
        <v>THE ST</v>
      </c>
      <c r="H5" s="14" t="str">
        <f t="shared" si="3"/>
        <v>NDARD BLACK, THE S</v>
      </c>
    </row>
    <row r="6" spans="1:8" x14ac:dyDescent="0.3">
      <c r="A6" s="10" t="s">
        <v>10</v>
      </c>
      <c r="B6" s="11" t="s">
        <v>15</v>
      </c>
      <c r="C6" s="12">
        <v>215801</v>
      </c>
      <c r="D6" s="13" t="s">
        <v>12</v>
      </c>
      <c r="E6" s="14" t="str">
        <f t="shared" si="0"/>
        <v>HIGH PRICE</v>
      </c>
      <c r="F6" s="14" t="str">
        <f t="shared" si="1"/>
        <v>T 350</v>
      </c>
      <c r="G6" s="14" t="str">
        <f t="shared" si="2"/>
        <v xml:space="preserve">BLACK </v>
      </c>
      <c r="H6" s="14" t="str">
        <f t="shared" si="3"/>
        <v>OLD</v>
      </c>
    </row>
    <row r="7" spans="1:8" x14ac:dyDescent="0.3">
      <c r="A7" s="18" t="s">
        <v>16</v>
      </c>
      <c r="B7" s="19" t="s">
        <v>17</v>
      </c>
      <c r="C7" s="20">
        <v>149900</v>
      </c>
      <c r="D7" s="21" t="s">
        <v>18</v>
      </c>
      <c r="E7" s="14" t="str">
        <f t="shared" si="0"/>
        <v>LOW PRICE</v>
      </c>
      <c r="F7" s="14" t="str">
        <f t="shared" si="1"/>
        <v xml:space="preserve"> 350 </v>
      </c>
      <c r="G7" s="14" t="str">
        <f t="shared" si="2"/>
        <v>FACTOR</v>
      </c>
      <c r="H7" s="14" t="str">
        <f t="shared" si="3"/>
        <v xml:space="preserve"> BLACK, FACTORY SI</v>
      </c>
    </row>
    <row r="8" spans="1:8" x14ac:dyDescent="0.3">
      <c r="A8" s="18" t="s">
        <v>16</v>
      </c>
      <c r="B8" s="19" t="s">
        <v>19</v>
      </c>
      <c r="C8" s="20">
        <v>169656</v>
      </c>
      <c r="D8" s="21" t="s">
        <v>20</v>
      </c>
      <c r="E8" s="14" t="str">
        <f t="shared" si="0"/>
        <v>LOW PRICE</v>
      </c>
      <c r="F8" s="14" t="str">
        <f t="shared" si="1"/>
        <v xml:space="preserve"> 350 </v>
      </c>
      <c r="G8" s="14" t="str">
        <f t="shared" si="2"/>
        <v>DAPPER</v>
      </c>
      <c r="H8" s="14" t="str">
        <f t="shared" si="3"/>
        <v>WHITE, DAPPER GREY</v>
      </c>
    </row>
    <row r="9" spans="1:8" x14ac:dyDescent="0.3">
      <c r="A9" s="18" t="s">
        <v>16</v>
      </c>
      <c r="B9" s="19" t="s">
        <v>21</v>
      </c>
      <c r="C9" s="20">
        <v>174655</v>
      </c>
      <c r="D9" s="21" t="s">
        <v>20</v>
      </c>
      <c r="E9" s="14" t="str">
        <f t="shared" si="0"/>
        <v>LOW PRICE</v>
      </c>
      <c r="F9" s="14" t="str">
        <f t="shared" si="1"/>
        <v xml:space="preserve"> 350 </v>
      </c>
      <c r="G9" s="14" t="str">
        <f t="shared" si="2"/>
        <v xml:space="preserve">REBEL </v>
      </c>
      <c r="H9" s="14" t="str">
        <f t="shared" si="3"/>
        <v xml:space="preserve">LUE, REBEL BLACK, </v>
      </c>
    </row>
    <row r="10" spans="1:8" x14ac:dyDescent="0.3">
      <c r="A10" s="22" t="s">
        <v>22</v>
      </c>
      <c r="B10" s="23" t="s">
        <v>23</v>
      </c>
      <c r="C10" s="24">
        <v>193080</v>
      </c>
      <c r="D10" s="25" t="s">
        <v>24</v>
      </c>
      <c r="E10" s="14" t="str">
        <f t="shared" si="0"/>
        <v>LOW PRICE</v>
      </c>
      <c r="F10" s="14" t="str">
        <f t="shared" si="1"/>
        <v>C 350</v>
      </c>
      <c r="G10" s="14" t="str">
        <f t="shared" si="2"/>
        <v>REDDIT</v>
      </c>
      <c r="H10" s="14" t="str">
        <f t="shared" si="3"/>
        <v>H GREY, REDDITCH R</v>
      </c>
    </row>
    <row r="11" spans="1:8" x14ac:dyDescent="0.3">
      <c r="A11" s="22" t="s">
        <v>22</v>
      </c>
      <c r="B11" s="23" t="s">
        <v>25</v>
      </c>
      <c r="C11" s="24">
        <v>195919</v>
      </c>
      <c r="D11" s="25" t="s">
        <v>24</v>
      </c>
      <c r="E11" s="14" t="str">
        <f t="shared" si="0"/>
        <v>LOW PRICE</v>
      </c>
      <c r="F11" s="14" t="str">
        <f t="shared" si="1"/>
        <v>C 350</v>
      </c>
      <c r="G11" s="14" t="str">
        <f t="shared" si="2"/>
        <v>HALCYO</v>
      </c>
      <c r="H11" s="14" t="str">
        <f t="shared" si="3"/>
        <v xml:space="preserve"> BLACK, HALCYON GR</v>
      </c>
    </row>
    <row r="12" spans="1:8" x14ac:dyDescent="0.3">
      <c r="A12" s="22" t="s">
        <v>22</v>
      </c>
      <c r="B12" s="23" t="s">
        <v>25</v>
      </c>
      <c r="C12" s="24"/>
      <c r="D12" s="25" t="s">
        <v>26</v>
      </c>
      <c r="E12" s="14" t="str">
        <f t="shared" si="0"/>
        <v>LOW PRICE</v>
      </c>
      <c r="F12" s="14" t="str">
        <f t="shared" si="1"/>
        <v>C 350</v>
      </c>
      <c r="G12" s="14" t="str">
        <f t="shared" si="2"/>
        <v>HALCYO</v>
      </c>
      <c r="H12" s="14" t="str">
        <f t="shared" si="3"/>
        <v xml:space="preserve"> BLACK, HALCYON GR</v>
      </c>
    </row>
    <row r="13" spans="1:8" x14ac:dyDescent="0.3">
      <c r="A13" s="22" t="s">
        <v>22</v>
      </c>
      <c r="B13" s="23" t="s">
        <v>27</v>
      </c>
      <c r="C13" s="24">
        <v>213852</v>
      </c>
      <c r="D13" s="25" t="s">
        <v>26</v>
      </c>
      <c r="E13" s="14" t="str">
        <f t="shared" si="0"/>
        <v>HIGH PRICE</v>
      </c>
      <c r="F13" s="14" t="str">
        <f t="shared" si="1"/>
        <v>C 350</v>
      </c>
      <c r="G13" s="14" t="str">
        <f t="shared" si="2"/>
        <v>SIGNAL</v>
      </c>
      <c r="H13" s="14" t="str">
        <f t="shared" si="3"/>
        <v xml:space="preserve"> MARSH GREY, SIGNA</v>
      </c>
    </row>
    <row r="14" spans="1:8" x14ac:dyDescent="0.3">
      <c r="A14" s="22" t="s">
        <v>22</v>
      </c>
      <c r="B14" s="23" t="s">
        <v>28</v>
      </c>
      <c r="C14" s="24">
        <v>220991</v>
      </c>
      <c r="D14" s="25" t="s">
        <v>26</v>
      </c>
      <c r="E14" s="14" t="str">
        <f t="shared" si="0"/>
        <v>HIGH PRICE</v>
      </c>
      <c r="F14" s="14" t="str">
        <f t="shared" si="1"/>
        <v>C 350</v>
      </c>
      <c r="G14" s="14" t="str">
        <f t="shared" si="2"/>
        <v>DARK S</v>
      </c>
      <c r="H14" s="14" t="str">
        <f t="shared" si="3"/>
        <v>ALTH BLACK, DARK G</v>
      </c>
    </row>
    <row r="15" spans="1:8" x14ac:dyDescent="0.3">
      <c r="A15" s="22" t="s">
        <v>22</v>
      </c>
      <c r="B15" s="23" t="s">
        <v>29</v>
      </c>
      <c r="C15" s="24"/>
      <c r="D15" s="25" t="s">
        <v>26</v>
      </c>
      <c r="E15" s="14" t="str">
        <f t="shared" si="0"/>
        <v>LOW PRICE</v>
      </c>
      <c r="F15" s="14" t="str">
        <f t="shared" si="1"/>
        <v>C 350</v>
      </c>
      <c r="G15" s="14" t="str">
        <f t="shared" si="2"/>
        <v xml:space="preserve">CROME </v>
      </c>
      <c r="H15" s="14" t="str">
        <f t="shared" si="3"/>
        <v>RONZE, CROME RED</v>
      </c>
    </row>
    <row r="16" spans="1:8" x14ac:dyDescent="0.3">
      <c r="A16" s="26" t="s">
        <v>30</v>
      </c>
      <c r="B16" s="27" t="s">
        <v>31</v>
      </c>
      <c r="C16" s="28">
        <v>199942</v>
      </c>
      <c r="D16" s="29" t="s">
        <v>32</v>
      </c>
      <c r="E16" s="14" t="str">
        <f t="shared" si="0"/>
        <v>LOW PRICE</v>
      </c>
      <c r="F16" s="14" t="str">
        <f t="shared" si="1"/>
        <v>R 350</v>
      </c>
      <c r="G16" s="14" t="str">
        <f t="shared" si="2"/>
        <v>FIREBA</v>
      </c>
      <c r="H16" s="14" t="str">
        <f t="shared" si="3"/>
        <v>L BLACK, RED, BLUE</v>
      </c>
    </row>
    <row r="17" spans="1:8" x14ac:dyDescent="0.3">
      <c r="A17" s="26" t="s">
        <v>30</v>
      </c>
      <c r="B17" s="27" t="s">
        <v>33</v>
      </c>
      <c r="C17" s="28">
        <v>215900</v>
      </c>
      <c r="D17" s="29" t="s">
        <v>34</v>
      </c>
      <c r="E17" s="14" t="str">
        <f t="shared" si="0"/>
        <v>HIGH PRICE</v>
      </c>
      <c r="F17" s="14" t="str">
        <f t="shared" si="1"/>
        <v>R 350</v>
      </c>
      <c r="G17" s="14" t="str">
        <f t="shared" si="2"/>
        <v>STELLA</v>
      </c>
      <c r="H17" s="14" t="str">
        <f t="shared" si="3"/>
        <v xml:space="preserve"> BLUE, RED, BLACK</v>
      </c>
    </row>
    <row r="18" spans="1:8" x14ac:dyDescent="0.3">
      <c r="A18" s="26" t="s">
        <v>30</v>
      </c>
      <c r="B18" s="27" t="s">
        <v>35</v>
      </c>
      <c r="C18" s="28"/>
      <c r="D18" s="29" t="s">
        <v>36</v>
      </c>
      <c r="E18" s="14" t="str">
        <f t="shared" si="0"/>
        <v>LOW PRICE</v>
      </c>
      <c r="F18" s="14" t="str">
        <f t="shared" si="1"/>
        <v>R 350</v>
      </c>
      <c r="G18" s="14" t="str">
        <f t="shared" si="2"/>
        <v>AURORA</v>
      </c>
      <c r="H18" s="14" t="str">
        <f t="shared" si="3"/>
        <v>BLUE, GREEN, BLACK</v>
      </c>
    </row>
    <row r="19" spans="1:8" x14ac:dyDescent="0.3">
      <c r="A19" s="26" t="s">
        <v>30</v>
      </c>
      <c r="B19" s="27" t="s">
        <v>37</v>
      </c>
      <c r="C19" s="28">
        <v>229900</v>
      </c>
      <c r="D19" s="29" t="s">
        <v>38</v>
      </c>
      <c r="E19" s="14" t="str">
        <f t="shared" si="0"/>
        <v>HIGH PRICE</v>
      </c>
      <c r="F19" s="14" t="str">
        <f t="shared" si="1"/>
        <v>R 350</v>
      </c>
      <c r="G19" s="14" t="str">
        <f t="shared" si="2"/>
        <v>SUPERN</v>
      </c>
      <c r="H19" s="14" t="str">
        <f t="shared" si="3"/>
        <v>VA BLUE, RED</v>
      </c>
    </row>
    <row r="20" spans="1:8" x14ac:dyDescent="0.3">
      <c r="A20" s="30" t="s">
        <v>39</v>
      </c>
      <c r="B20" s="31" t="s">
        <v>40</v>
      </c>
      <c r="C20" s="32">
        <v>203210</v>
      </c>
      <c r="D20" s="33" t="s">
        <v>41</v>
      </c>
      <c r="E20" s="14" t="str">
        <f t="shared" si="0"/>
        <v>HIGH PRICE</v>
      </c>
      <c r="F20" s="14" t="str">
        <f t="shared" si="1"/>
        <v>N 411</v>
      </c>
      <c r="G20" s="14" t="str">
        <f t="shared" si="2"/>
        <v>GRAPHI</v>
      </c>
      <c r="H20" s="14" t="str">
        <f t="shared" si="3"/>
        <v>E YELLOW, RED, BLU</v>
      </c>
    </row>
    <row r="21" spans="1:8" x14ac:dyDescent="0.3">
      <c r="A21" s="30" t="s">
        <v>39</v>
      </c>
      <c r="B21" s="31" t="s">
        <v>42</v>
      </c>
      <c r="C21" s="32">
        <v>208257</v>
      </c>
      <c r="D21" s="33" t="s">
        <v>41</v>
      </c>
      <c r="E21" s="14" t="str">
        <f t="shared" si="0"/>
        <v>HIGH PRICE</v>
      </c>
      <c r="F21" s="14" t="str">
        <f t="shared" si="1"/>
        <v>N 411</v>
      </c>
      <c r="G21" s="14" t="str">
        <f t="shared" si="2"/>
        <v>SKYLIN</v>
      </c>
      <c r="H21" s="14" t="str">
        <f t="shared" si="3"/>
        <v xml:space="preserve"> BLUE, BLAZING BLA</v>
      </c>
    </row>
    <row r="22" spans="1:8" x14ac:dyDescent="0.3">
      <c r="A22" s="30" t="s">
        <v>39</v>
      </c>
      <c r="B22" s="31" t="s">
        <v>43</v>
      </c>
      <c r="C22" s="32">
        <v>211984</v>
      </c>
      <c r="D22" s="33" t="s">
        <v>41</v>
      </c>
      <c r="E22" s="14" t="str">
        <f t="shared" si="0"/>
        <v>HIGH PRICE</v>
      </c>
      <c r="F22" s="14" t="str">
        <f t="shared" si="1"/>
        <v>N 411</v>
      </c>
      <c r="G22" s="14" t="str">
        <f t="shared" si="2"/>
        <v xml:space="preserve">WHITE </v>
      </c>
      <c r="H22" s="14" t="str">
        <f t="shared" si="3"/>
        <v>LAME, SILVER SPIRI</v>
      </c>
    </row>
    <row r="23" spans="1:8" x14ac:dyDescent="0.3">
      <c r="A23" s="34" t="s">
        <v>44</v>
      </c>
      <c r="B23" s="35" t="s">
        <v>45</v>
      </c>
      <c r="C23" s="36">
        <v>285000</v>
      </c>
      <c r="D23" s="37" t="s">
        <v>46</v>
      </c>
      <c r="E23" s="14" t="str">
        <f t="shared" si="0"/>
        <v>HIGH PRICE</v>
      </c>
      <c r="F23" s="14" t="str">
        <f t="shared" si="1"/>
        <v>N 450</v>
      </c>
      <c r="G23" s="14" t="str">
        <f t="shared" si="2"/>
        <v>KAZA B</v>
      </c>
      <c r="H23" s="14" t="str">
        <f t="shared" si="3"/>
        <v>OWN</v>
      </c>
    </row>
    <row r="24" spans="1:8" x14ac:dyDescent="0.3">
      <c r="A24" s="34" t="s">
        <v>44</v>
      </c>
      <c r="B24" s="35" t="s">
        <v>47</v>
      </c>
      <c r="C24" s="36">
        <v>289000</v>
      </c>
      <c r="D24" s="37" t="s">
        <v>46</v>
      </c>
      <c r="E24" s="14" t="str">
        <f t="shared" si="0"/>
        <v>HIGH PRICE</v>
      </c>
      <c r="F24" s="14" t="str">
        <f t="shared" si="1"/>
        <v>N 450</v>
      </c>
      <c r="G24" s="14" t="str">
        <f t="shared" si="2"/>
        <v xml:space="preserve">SLATE </v>
      </c>
      <c r="H24" s="14" t="str">
        <f t="shared" si="3"/>
        <v>IMALAYAN SALT, SLA</v>
      </c>
    </row>
    <row r="25" spans="1:8" x14ac:dyDescent="0.3">
      <c r="A25" s="34" t="s">
        <v>44</v>
      </c>
      <c r="B25" s="35" t="s">
        <v>48</v>
      </c>
      <c r="C25" s="36">
        <v>293000</v>
      </c>
      <c r="D25" s="37" t="s">
        <v>46</v>
      </c>
      <c r="E25" s="14" t="str">
        <f t="shared" si="0"/>
        <v>HIGH PRICE</v>
      </c>
      <c r="F25" s="14" t="str">
        <f t="shared" si="1"/>
        <v>N 450</v>
      </c>
      <c r="G25" s="14" t="str">
        <f t="shared" si="2"/>
        <v xml:space="preserve">KAMET </v>
      </c>
      <c r="H25" s="14" t="str">
        <f t="shared" si="3"/>
        <v>HITE</v>
      </c>
    </row>
    <row r="26" spans="1:8" x14ac:dyDescent="0.3">
      <c r="A26" s="34" t="s">
        <v>44</v>
      </c>
      <c r="B26" s="35" t="s">
        <v>49</v>
      </c>
      <c r="C26" s="36">
        <v>298000</v>
      </c>
      <c r="D26" s="37" t="s">
        <v>46</v>
      </c>
      <c r="E26" s="14" t="str">
        <f t="shared" si="0"/>
        <v>HIGH PRICE</v>
      </c>
      <c r="F26" s="14" t="str">
        <f t="shared" si="1"/>
        <v>N 450</v>
      </c>
      <c r="G26" s="14" t="str">
        <f t="shared" si="2"/>
        <v xml:space="preserve">HANLE </v>
      </c>
      <c r="H26" s="14" t="str">
        <f t="shared" si="3"/>
        <v>LACK</v>
      </c>
    </row>
    <row r="27" spans="1:8" x14ac:dyDescent="0.3">
      <c r="A27" s="38" t="s">
        <v>50</v>
      </c>
      <c r="B27" s="39" t="s">
        <v>51</v>
      </c>
      <c r="C27" s="40">
        <v>301000</v>
      </c>
      <c r="D27" s="41" t="s">
        <v>52</v>
      </c>
      <c r="E27" s="14" t="str">
        <f t="shared" si="0"/>
        <v>HIGH PRICE</v>
      </c>
      <c r="F27" s="14" t="str">
        <f t="shared" si="1"/>
        <v>R 650</v>
      </c>
      <c r="G27" s="14" t="str">
        <f t="shared" si="2"/>
        <v>CANYON</v>
      </c>
      <c r="H27" s="14" t="str">
        <f t="shared" si="3"/>
        <v>RED, CALI GREEN</v>
      </c>
    </row>
    <row r="28" spans="1:8" x14ac:dyDescent="0.3">
      <c r="A28" s="38" t="s">
        <v>50</v>
      </c>
      <c r="B28" s="39" t="s">
        <v>53</v>
      </c>
      <c r="C28" s="40">
        <v>309000</v>
      </c>
      <c r="D28" s="41" t="s">
        <v>52</v>
      </c>
      <c r="E28" s="14" t="str">
        <f t="shared" si="0"/>
        <v>HIGH PRICE</v>
      </c>
      <c r="F28" s="14" t="str">
        <f t="shared" si="1"/>
        <v>R 650</v>
      </c>
      <c r="G28" s="14" t="str">
        <f t="shared" si="2"/>
        <v>SUNSET</v>
      </c>
      <c r="H28" s="14" t="str">
        <f t="shared" si="3"/>
        <v>STRIP BLACK, BLACK</v>
      </c>
    </row>
    <row r="29" spans="1:8" x14ac:dyDescent="0.3">
      <c r="A29" s="38" t="s">
        <v>50</v>
      </c>
      <c r="B29" s="39" t="s">
        <v>54</v>
      </c>
      <c r="C29" s="40">
        <v>319000</v>
      </c>
      <c r="D29" s="41" t="s">
        <v>55</v>
      </c>
      <c r="E29" s="14" t="str">
        <f t="shared" si="0"/>
        <v>HIGH PRICE</v>
      </c>
      <c r="F29" s="14" t="str">
        <f t="shared" si="1"/>
        <v>R 650</v>
      </c>
      <c r="G29" s="14" t="str">
        <f t="shared" si="2"/>
        <v>BARCEL</v>
      </c>
      <c r="H29" s="14" t="str">
        <f t="shared" si="3"/>
        <v>NA BLUE, BLACKRAY</v>
      </c>
    </row>
    <row r="30" spans="1:8" x14ac:dyDescent="0.3">
      <c r="A30" s="38" t="s">
        <v>50</v>
      </c>
      <c r="B30" s="39" t="s">
        <v>56</v>
      </c>
      <c r="C30" s="40">
        <v>328000</v>
      </c>
      <c r="D30" s="41" t="s">
        <v>52</v>
      </c>
      <c r="E30" s="14" t="str">
        <f t="shared" si="0"/>
        <v>HIGH PRICE</v>
      </c>
      <c r="F30" s="14" t="str">
        <f t="shared" si="1"/>
        <v>R 650</v>
      </c>
      <c r="G30" s="14" t="str">
        <f t="shared" si="2"/>
        <v>MARK T</v>
      </c>
      <c r="H30" s="14" t="str">
        <f t="shared" si="3"/>
        <v>O CROME</v>
      </c>
    </row>
    <row r="31" spans="1:8" x14ac:dyDescent="0.3">
      <c r="A31" s="42" t="s">
        <v>57</v>
      </c>
      <c r="B31" s="43" t="s">
        <v>58</v>
      </c>
      <c r="C31" s="44">
        <v>317000</v>
      </c>
      <c r="D31" s="45" t="s">
        <v>52</v>
      </c>
      <c r="E31" s="14" t="str">
        <f t="shared" si="0"/>
        <v>HIGH PRICE</v>
      </c>
      <c r="F31" s="14" t="str">
        <f t="shared" si="1"/>
        <v>T 650</v>
      </c>
      <c r="G31" s="14" t="str">
        <f t="shared" si="2"/>
        <v>ROCKER</v>
      </c>
      <c r="H31" s="14" t="str">
        <f t="shared" si="3"/>
        <v>RED, BRITISH RACIN</v>
      </c>
    </row>
    <row r="32" spans="1:8" x14ac:dyDescent="0.3">
      <c r="A32" s="42" t="s">
        <v>57</v>
      </c>
      <c r="B32" s="43" t="s">
        <v>59</v>
      </c>
      <c r="C32" s="44">
        <v>327000</v>
      </c>
      <c r="D32" s="45" t="s">
        <v>52</v>
      </c>
      <c r="E32" s="14" t="str">
        <f t="shared" si="0"/>
        <v>HIGH PRICE</v>
      </c>
      <c r="F32" s="14" t="str">
        <f t="shared" si="1"/>
        <v>T 650</v>
      </c>
      <c r="G32" s="14" t="str">
        <f t="shared" si="2"/>
        <v>DUX DE</v>
      </c>
      <c r="H32" s="14" t="str">
        <f t="shared" si="3"/>
        <v>UXUE</v>
      </c>
    </row>
    <row r="33" spans="1:8" x14ac:dyDescent="0.3">
      <c r="A33" s="42" t="s">
        <v>57</v>
      </c>
      <c r="B33" s="43" t="s">
        <v>60</v>
      </c>
      <c r="C33" s="44">
        <v>337000</v>
      </c>
      <c r="D33" s="45" t="s">
        <v>55</v>
      </c>
      <c r="E33" s="14" t="str">
        <f t="shared" si="0"/>
        <v>HIGH PRICE</v>
      </c>
      <c r="F33" s="14" t="str">
        <f t="shared" si="1"/>
        <v>T 650</v>
      </c>
      <c r="G33" s="14" t="str">
        <f t="shared" si="2"/>
        <v>APEX G</v>
      </c>
      <c r="H33" s="14" t="str">
        <f t="shared" si="3"/>
        <v>EY, SLIPSTREAM BLU</v>
      </c>
    </row>
    <row r="34" spans="1:8" x14ac:dyDescent="0.3">
      <c r="A34" s="42" t="s">
        <v>57</v>
      </c>
      <c r="B34" s="43" t="s">
        <v>61</v>
      </c>
      <c r="C34" s="44">
        <v>342000</v>
      </c>
      <c r="D34" s="45" t="s">
        <v>52</v>
      </c>
      <c r="E34" s="14" t="str">
        <f t="shared" si="0"/>
        <v>HIGH PRICE</v>
      </c>
      <c r="F34" s="14" t="str">
        <f t="shared" si="1"/>
        <v>T 650</v>
      </c>
      <c r="G34" s="14" t="str">
        <f t="shared" si="2"/>
        <v>Mr CLE</v>
      </c>
      <c r="H34" s="14" t="str">
        <f t="shared" si="3"/>
        <v>N CROME</v>
      </c>
    </row>
    <row r="35" spans="1:8" s="51" customFormat="1" x14ac:dyDescent="0.3">
      <c r="A35" s="46" t="s">
        <v>62</v>
      </c>
      <c r="B35" s="47" t="s">
        <v>63</v>
      </c>
      <c r="C35" s="48">
        <v>363900</v>
      </c>
      <c r="D35" s="49" t="s">
        <v>64</v>
      </c>
      <c r="E35" s="50" t="str">
        <f t="shared" si="0"/>
        <v>HIGH PRICE</v>
      </c>
      <c r="F35" s="50" t="str">
        <f t="shared" si="1"/>
        <v>R 650</v>
      </c>
      <c r="G35" s="50" t="str">
        <f t="shared" si="2"/>
        <v>ASTRAL</v>
      </c>
      <c r="H35" s="50" t="str">
        <f t="shared" si="3"/>
        <v>BLACK, ASTRAL BLUE</v>
      </c>
    </row>
    <row r="36" spans="1:8" s="51" customFormat="1" x14ac:dyDescent="0.3">
      <c r="A36" s="46" t="s">
        <v>62</v>
      </c>
      <c r="B36" s="47" t="s">
        <v>65</v>
      </c>
      <c r="C36" s="48">
        <v>379123</v>
      </c>
      <c r="D36" s="49" t="s">
        <v>64</v>
      </c>
      <c r="E36" s="50" t="str">
        <f t="shared" si="0"/>
        <v>HIGH PRICE</v>
      </c>
      <c r="F36" s="50" t="str">
        <f t="shared" si="1"/>
        <v>R 650</v>
      </c>
      <c r="G36" s="50" t="str">
        <f t="shared" si="2"/>
        <v>INTERS</v>
      </c>
      <c r="H36" s="50" t="str">
        <f t="shared" si="3"/>
        <v>ELLAR GREEN, INTER</v>
      </c>
    </row>
    <row r="37" spans="1:8" s="51" customFormat="1" x14ac:dyDescent="0.3">
      <c r="A37" s="46" t="s">
        <v>62</v>
      </c>
      <c r="B37" s="47" t="s">
        <v>66</v>
      </c>
      <c r="C37" s="48">
        <v>394347</v>
      </c>
      <c r="D37" s="49" t="s">
        <v>64</v>
      </c>
      <c r="E37" s="50" t="str">
        <f t="shared" si="0"/>
        <v>HIGH PRICE</v>
      </c>
      <c r="F37" s="50" t="str">
        <f t="shared" si="1"/>
        <v>R 650</v>
      </c>
      <c r="G37" s="50" t="str">
        <f t="shared" si="2"/>
        <v>CELEST</v>
      </c>
      <c r="H37" s="50" t="str">
        <f t="shared" si="3"/>
        <v xml:space="preserve">AL RED, CELESTIAL </v>
      </c>
    </row>
    <row r="38" spans="1:8" s="56" customFormat="1" x14ac:dyDescent="0.3">
      <c r="A38" s="52" t="s">
        <v>67</v>
      </c>
      <c r="B38" s="53" t="s">
        <v>68</v>
      </c>
      <c r="C38" s="54">
        <v>359430</v>
      </c>
      <c r="D38" s="55" t="s">
        <v>69</v>
      </c>
      <c r="E38" s="50" t="str">
        <f t="shared" si="0"/>
        <v>HIGH PRICE</v>
      </c>
      <c r="F38" s="50" t="str">
        <f t="shared" si="1"/>
        <v>N 650</v>
      </c>
      <c r="G38" s="50" t="str">
        <f t="shared" si="2"/>
        <v xml:space="preserve">SHEET </v>
      </c>
      <c r="H38" s="50" t="str">
        <f t="shared" si="3"/>
        <v>ETAL GREY</v>
      </c>
    </row>
    <row r="39" spans="1:8" s="56" customFormat="1" x14ac:dyDescent="0.3">
      <c r="A39" s="52" t="s">
        <v>67</v>
      </c>
      <c r="B39" s="53" t="s">
        <v>70</v>
      </c>
      <c r="C39" s="54">
        <v>370138</v>
      </c>
      <c r="D39" s="55" t="s">
        <v>69</v>
      </c>
      <c r="E39" s="50" t="str">
        <f t="shared" si="0"/>
        <v>HIGH PRICE</v>
      </c>
      <c r="F39" s="50" t="str">
        <f t="shared" si="1"/>
        <v>N 650</v>
      </c>
      <c r="G39" s="50" t="str">
        <f t="shared" si="2"/>
        <v xml:space="preserve">GREEN </v>
      </c>
      <c r="H39" s="50" t="str">
        <f t="shared" si="3"/>
        <v>RILL, PLASMA BLUE</v>
      </c>
    </row>
    <row r="40" spans="1:8" s="56" customFormat="1" ht="15" thickBot="1" x14ac:dyDescent="0.35">
      <c r="A40" s="57" t="s">
        <v>67</v>
      </c>
      <c r="B40" s="58" t="s">
        <v>71</v>
      </c>
      <c r="C40" s="59">
        <v>373000</v>
      </c>
      <c r="D40" s="60" t="s">
        <v>69</v>
      </c>
      <c r="E40" s="50" t="str">
        <f t="shared" si="0"/>
        <v>HIGH PRICE</v>
      </c>
      <c r="F40" s="50" t="str">
        <f t="shared" si="1"/>
        <v>N 650</v>
      </c>
      <c r="G40" s="50" t="str">
        <f t="shared" si="2"/>
        <v>STENCI</v>
      </c>
      <c r="H40" s="50" t="str">
        <f t="shared" si="3"/>
        <v xml:space="preserve"> WHITE</v>
      </c>
    </row>
    <row r="41" spans="1:8" ht="15.6" thickTop="1" thickBot="1" x14ac:dyDescent="0.35">
      <c r="A41" s="61">
        <f>SUBTOTAL(103,Table138[[MODEL NAME ]])</f>
        <v>38</v>
      </c>
      <c r="B41" s="62"/>
      <c r="C41" s="63">
        <f>SUBTOTAL(109,Table138[PRICE])</f>
        <v>9140547</v>
      </c>
    </row>
    <row r="42" spans="1:8" ht="15" thickTop="1" x14ac:dyDescent="0.3">
      <c r="B42" s="64"/>
      <c r="C42" s="65"/>
    </row>
    <row r="43" spans="1:8" ht="21.6" thickBot="1" x14ac:dyDescent="0.35">
      <c r="B43" s="66"/>
      <c r="E43" s="155" t="s">
        <v>91</v>
      </c>
      <c r="F43" s="156"/>
    </row>
    <row r="44" spans="1:8" ht="15" thickBot="1" x14ac:dyDescent="0.35">
      <c r="B44" s="64"/>
      <c r="E44" s="151" t="s">
        <v>10</v>
      </c>
      <c r="F44" s="145">
        <f>VLOOKUP("BULLET 350",A3:C3,3,FALSE)</f>
        <v>173562</v>
      </c>
    </row>
    <row r="45" spans="1:8" ht="16.2" thickBot="1" x14ac:dyDescent="0.35">
      <c r="A45" s="79" t="s">
        <v>76</v>
      </c>
      <c r="B45" s="80"/>
      <c r="C45" s="81"/>
      <c r="E45" s="139" t="s">
        <v>10</v>
      </c>
      <c r="F45" s="146">
        <f t="shared" ref="F45:F47" si="4">VLOOKUP("BULLET 350",A4:C4,3,FALSE)</f>
        <v>179000</v>
      </c>
    </row>
    <row r="46" spans="1:8" ht="15" thickTop="1" x14ac:dyDescent="0.3">
      <c r="A46" s="71"/>
      <c r="B46" s="72"/>
      <c r="C46" s="73"/>
      <c r="E46" s="138" t="s">
        <v>10</v>
      </c>
      <c r="F46" s="146">
        <f t="shared" si="4"/>
        <v>0</v>
      </c>
    </row>
    <row r="47" spans="1:8" ht="16.2" thickBot="1" x14ac:dyDescent="0.35">
      <c r="A47" s="82" t="s">
        <v>80</v>
      </c>
      <c r="B47" s="75">
        <f>AVERAGE(Table14[PRICE])</f>
        <v>257877.05263157896</v>
      </c>
      <c r="C47" s="74"/>
      <c r="D47" s="67"/>
      <c r="E47" s="152" t="s">
        <v>10</v>
      </c>
      <c r="F47" s="148">
        <f t="shared" si="4"/>
        <v>215801</v>
      </c>
    </row>
    <row r="48" spans="1:8" ht="15.6" x14ac:dyDescent="0.3">
      <c r="A48" s="82" t="s">
        <v>77</v>
      </c>
      <c r="B48" s="75">
        <f>MEDIAN(Table14[PRICE])</f>
        <v>220445.5</v>
      </c>
      <c r="C48" s="74"/>
      <c r="E48" s="149" t="s">
        <v>30</v>
      </c>
      <c r="F48" s="145">
        <f>VLOOKUP("METEOR 350",A16:C16,3,FALSE)</f>
        <v>199942</v>
      </c>
    </row>
    <row r="49" spans="1:6" ht="15.6" x14ac:dyDescent="0.3">
      <c r="A49" s="82" t="s">
        <v>78</v>
      </c>
      <c r="B49" s="75">
        <f>MODE(Table14[PRICE])</f>
        <v>201000</v>
      </c>
      <c r="C49" s="74"/>
      <c r="E49" s="141" t="s">
        <v>30</v>
      </c>
      <c r="F49" s="146">
        <f t="shared" ref="F49:F51" si="5">VLOOKUP("METEOR 350",A17:C17,3,FALSE)</f>
        <v>215900</v>
      </c>
    </row>
    <row r="50" spans="1:6" ht="15.6" x14ac:dyDescent="0.3">
      <c r="A50" s="82" t="s">
        <v>79</v>
      </c>
      <c r="B50" s="75">
        <f>STDEV(Table14[PRICE])</f>
        <v>73559.517475214161</v>
      </c>
      <c r="C50" s="74"/>
      <c r="E50" s="140" t="s">
        <v>30</v>
      </c>
      <c r="F50" s="146">
        <f t="shared" si="5"/>
        <v>0</v>
      </c>
    </row>
    <row r="51" spans="1:6" ht="16.2" thickBot="1" x14ac:dyDescent="0.35">
      <c r="A51" s="69" t="s">
        <v>81</v>
      </c>
      <c r="B51" s="75">
        <f>SUM(Table14[PRICE])</f>
        <v>9799328</v>
      </c>
      <c r="C51" s="74"/>
      <c r="E51" s="150" t="s">
        <v>30</v>
      </c>
      <c r="F51" s="148">
        <f t="shared" si="5"/>
        <v>229900</v>
      </c>
    </row>
    <row r="52" spans="1:6" ht="15.6" x14ac:dyDescent="0.3">
      <c r="A52" s="70" t="s">
        <v>82</v>
      </c>
      <c r="B52" s="75">
        <v>38</v>
      </c>
      <c r="C52" s="74"/>
      <c r="E52" s="144" t="s">
        <v>22</v>
      </c>
      <c r="F52" s="145">
        <f>VLOOKUP("CLASSIC 350",A10:C10,3,FALSE)</f>
        <v>193080</v>
      </c>
    </row>
    <row r="53" spans="1:6" ht="15.6" x14ac:dyDescent="0.3">
      <c r="A53" s="69" t="s">
        <v>83</v>
      </c>
      <c r="B53" s="75">
        <f>MIN(Table14[PRICE])</f>
        <v>149900</v>
      </c>
      <c r="C53" s="74"/>
      <c r="E53" s="143" t="s">
        <v>22</v>
      </c>
      <c r="F53" s="146">
        <f t="shared" ref="F53:F57" si="6">VLOOKUP("CLASSIC 350",A11:C11,3,FALSE)</f>
        <v>195919</v>
      </c>
    </row>
    <row r="54" spans="1:6" ht="15.6" x14ac:dyDescent="0.3">
      <c r="A54" s="69" t="s">
        <v>84</v>
      </c>
      <c r="B54" s="75">
        <f>MAX(Table14[PRICE])</f>
        <v>394347</v>
      </c>
      <c r="C54" s="74"/>
      <c r="E54" s="142" t="s">
        <v>22</v>
      </c>
      <c r="F54" s="146">
        <f t="shared" si="6"/>
        <v>0</v>
      </c>
    </row>
    <row r="55" spans="1:6" ht="15.6" x14ac:dyDescent="0.3">
      <c r="A55" s="69" t="s">
        <v>85</v>
      </c>
      <c r="B55" s="75">
        <f>AVERAGE(Table14[PRICE])</f>
        <v>257877.05263157896</v>
      </c>
      <c r="C55" s="74"/>
      <c r="E55" s="143" t="s">
        <v>22</v>
      </c>
      <c r="F55" s="146">
        <f t="shared" si="6"/>
        <v>213852</v>
      </c>
    </row>
    <row r="56" spans="1:6" x14ac:dyDescent="0.3">
      <c r="A56" s="70" t="s">
        <v>86</v>
      </c>
      <c r="B56" s="84" t="s">
        <v>72</v>
      </c>
      <c r="C56" s="85" t="s">
        <v>73</v>
      </c>
      <c r="E56" s="142" t="s">
        <v>22</v>
      </c>
      <c r="F56" s="146">
        <f t="shared" si="6"/>
        <v>220991</v>
      </c>
    </row>
    <row r="57" spans="1:6" ht="16.2" thickBot="1" x14ac:dyDescent="0.35">
      <c r="A57" s="82" t="s">
        <v>74</v>
      </c>
      <c r="B57" s="75">
        <f>SUMIF(Table14[PRICE HIGH /LOW],"HIGH PRICE",Table14[PRICE])</f>
        <v>7966278</v>
      </c>
      <c r="C57" s="76">
        <f>SUMIF(Table14[PRICE HIGH /LOW],"LOW PRICE",Table14[PRICE])</f>
        <v>1833050</v>
      </c>
      <c r="E57" s="147" t="s">
        <v>22</v>
      </c>
      <c r="F57" s="148">
        <f t="shared" si="6"/>
        <v>0</v>
      </c>
    </row>
    <row r="58" spans="1:6" ht="16.2" thickBot="1" x14ac:dyDescent="0.35">
      <c r="A58" s="83" t="s">
        <v>75</v>
      </c>
      <c r="B58" s="77">
        <f>COUNTIF(Table14[PRICE HIGH /LOW],"HIGH PRICE")</f>
        <v>28</v>
      </c>
      <c r="C58" s="78">
        <f>COUNTIF(Table14[PRICE HIGH /LOW],"LOW PRICE")</f>
        <v>10</v>
      </c>
      <c r="E58" s="153" t="s">
        <v>67</v>
      </c>
      <c r="F58" s="154">
        <f>VLOOKUP("SHOTGUN 650",A39:C39,3,FALSE)</f>
        <v>370138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5BB8F-DAAC-45AB-BBDA-68ABF527F926}">
  <dimension ref="A1:H58"/>
  <sheetViews>
    <sheetView topLeftCell="A40" workbookViewId="0">
      <selection activeCell="H45" sqref="H45"/>
    </sheetView>
  </sheetViews>
  <sheetFormatPr defaultRowHeight="14.4" x14ac:dyDescent="0.3"/>
  <cols>
    <col min="1" max="1" width="22" style="14" customWidth="1"/>
    <col min="2" max="2" width="41.77734375" style="14" customWidth="1"/>
    <col min="3" max="3" width="17.109375" style="173" customWidth="1"/>
    <col min="4" max="4" width="27.44140625" style="14" customWidth="1"/>
    <col min="5" max="5" width="12.109375" customWidth="1"/>
    <col min="6" max="6" width="9.109375" customWidth="1"/>
    <col min="7" max="7" width="9" customWidth="1"/>
    <col min="8" max="8" width="18.33203125" customWidth="1"/>
  </cols>
  <sheetData>
    <row r="1" spans="1:8" ht="16.2" thickBot="1" x14ac:dyDescent="0.35">
      <c r="A1" s="1"/>
      <c r="B1" s="2" t="s">
        <v>0</v>
      </c>
      <c r="C1" s="158"/>
      <c r="D1" s="4"/>
      <c r="E1" t="s">
        <v>1</v>
      </c>
      <c r="F1" t="s">
        <v>1</v>
      </c>
    </row>
    <row r="2" spans="1:8" s="9" customFormat="1" ht="16.2" thickBot="1" x14ac:dyDescent="0.35">
      <c r="A2" s="5" t="s">
        <v>2</v>
      </c>
      <c r="B2" s="6" t="s">
        <v>3</v>
      </c>
      <c r="C2" s="159" t="s">
        <v>4</v>
      </c>
      <c r="D2" s="7" t="s">
        <v>5</v>
      </c>
      <c r="E2" s="8" t="s">
        <v>6</v>
      </c>
      <c r="F2" s="8" t="s">
        <v>7</v>
      </c>
      <c r="G2" s="8" t="s">
        <v>8</v>
      </c>
      <c r="H2" s="8" t="s">
        <v>9</v>
      </c>
    </row>
    <row r="3" spans="1:8" s="15" customFormat="1" x14ac:dyDescent="0.3">
      <c r="A3" s="10" t="s">
        <v>10</v>
      </c>
      <c r="B3" s="11" t="s">
        <v>11</v>
      </c>
      <c r="C3" s="160">
        <v>173562</v>
      </c>
      <c r="D3" s="13" t="s">
        <v>12</v>
      </c>
      <c r="E3" s="14" t="str">
        <f t="shared" ref="E3:E40" si="0">IF(C3&gt;=200100,"HIGH PRICE","LOW PRICE")</f>
        <v>LOW PRICE</v>
      </c>
      <c r="F3" s="14" t="str">
        <f t="shared" ref="F3:F40" si="1">RIGHT(A3,5)</f>
        <v>T 350</v>
      </c>
      <c r="G3" s="14" t="str">
        <f t="shared" ref="G3:G40" si="2">LEFT(B3,6)</f>
        <v>MILLIT</v>
      </c>
      <c r="H3" s="14" t="str">
        <f t="shared" ref="H3:H40" si="3">MID(B3,8,18)</f>
        <v>RY BLACK , MILLTAR</v>
      </c>
    </row>
    <row r="4" spans="1:8" x14ac:dyDescent="0.3">
      <c r="A4" s="10" t="s">
        <v>10</v>
      </c>
      <c r="B4" s="11" t="s">
        <v>13</v>
      </c>
      <c r="C4" s="160">
        <v>179000</v>
      </c>
      <c r="D4" s="16" t="s">
        <v>12</v>
      </c>
      <c r="E4" s="14" t="str">
        <f t="shared" si="0"/>
        <v>LOW PRICE</v>
      </c>
      <c r="F4" s="14" t="str">
        <f t="shared" si="1"/>
        <v>T 350</v>
      </c>
      <c r="G4" s="14" t="str">
        <f t="shared" si="2"/>
        <v>MILLIT</v>
      </c>
      <c r="H4" s="14" t="str">
        <f t="shared" si="3"/>
        <v>RY SILVER BLACK, M</v>
      </c>
    </row>
    <row r="5" spans="1:8" x14ac:dyDescent="0.3">
      <c r="A5" s="10" t="s">
        <v>10</v>
      </c>
      <c r="B5" s="11" t="s">
        <v>14</v>
      </c>
      <c r="C5" s="160">
        <v>197436</v>
      </c>
      <c r="D5" s="13" t="s">
        <v>12</v>
      </c>
      <c r="E5" s="14" t="str">
        <f t="shared" si="0"/>
        <v>LOW PRICE</v>
      </c>
      <c r="F5" s="14" t="str">
        <f t="shared" si="1"/>
        <v>T 350</v>
      </c>
      <c r="G5" s="14" t="str">
        <f t="shared" si="2"/>
        <v>THE ST</v>
      </c>
      <c r="H5" s="14" t="str">
        <f t="shared" si="3"/>
        <v>NDARD BLACK, THE S</v>
      </c>
    </row>
    <row r="6" spans="1:8" x14ac:dyDescent="0.3">
      <c r="A6" s="10" t="s">
        <v>10</v>
      </c>
      <c r="B6" s="11" t="s">
        <v>15</v>
      </c>
      <c r="C6" s="160">
        <v>215801</v>
      </c>
      <c r="D6" s="13" t="s">
        <v>12</v>
      </c>
      <c r="E6" s="14" t="str">
        <f t="shared" si="0"/>
        <v>HIGH PRICE</v>
      </c>
      <c r="F6" s="14" t="str">
        <f t="shared" si="1"/>
        <v>T 350</v>
      </c>
      <c r="G6" s="14" t="str">
        <f t="shared" si="2"/>
        <v xml:space="preserve">BLACK </v>
      </c>
      <c r="H6" s="14" t="str">
        <f t="shared" si="3"/>
        <v>OLD</v>
      </c>
    </row>
    <row r="7" spans="1:8" x14ac:dyDescent="0.3">
      <c r="A7" s="18" t="s">
        <v>16</v>
      </c>
      <c r="B7" s="19" t="s">
        <v>17</v>
      </c>
      <c r="C7" s="161">
        <v>149900</v>
      </c>
      <c r="D7" s="21" t="s">
        <v>18</v>
      </c>
      <c r="E7" s="14" t="str">
        <f t="shared" si="0"/>
        <v>LOW PRICE</v>
      </c>
      <c r="F7" s="14" t="str">
        <f t="shared" si="1"/>
        <v xml:space="preserve"> 350 </v>
      </c>
      <c r="G7" s="14" t="str">
        <f t="shared" si="2"/>
        <v>FACTOR</v>
      </c>
      <c r="H7" s="14" t="str">
        <f t="shared" si="3"/>
        <v xml:space="preserve"> BLACK, FACTORY SI</v>
      </c>
    </row>
    <row r="8" spans="1:8" x14ac:dyDescent="0.3">
      <c r="A8" s="18" t="s">
        <v>16</v>
      </c>
      <c r="B8" s="19" t="s">
        <v>19</v>
      </c>
      <c r="C8" s="161">
        <v>169656</v>
      </c>
      <c r="D8" s="21" t="s">
        <v>20</v>
      </c>
      <c r="E8" s="14" t="str">
        <f t="shared" si="0"/>
        <v>LOW PRICE</v>
      </c>
      <c r="F8" s="14" t="str">
        <f t="shared" si="1"/>
        <v xml:space="preserve"> 350 </v>
      </c>
      <c r="G8" s="14" t="str">
        <f t="shared" si="2"/>
        <v>DAPPER</v>
      </c>
      <c r="H8" s="14" t="str">
        <f t="shared" si="3"/>
        <v>WHITE, DAPPER GREY</v>
      </c>
    </row>
    <row r="9" spans="1:8" x14ac:dyDescent="0.3">
      <c r="A9" s="18" t="s">
        <v>16</v>
      </c>
      <c r="B9" s="19" t="s">
        <v>21</v>
      </c>
      <c r="C9" s="161">
        <v>174655</v>
      </c>
      <c r="D9" s="21" t="s">
        <v>20</v>
      </c>
      <c r="E9" s="14" t="str">
        <f t="shared" si="0"/>
        <v>LOW PRICE</v>
      </c>
      <c r="F9" s="14" t="str">
        <f t="shared" si="1"/>
        <v xml:space="preserve"> 350 </v>
      </c>
      <c r="G9" s="14" t="str">
        <f t="shared" si="2"/>
        <v xml:space="preserve">REBEL </v>
      </c>
      <c r="H9" s="14" t="str">
        <f t="shared" si="3"/>
        <v xml:space="preserve">LUE, REBEL BLACK, </v>
      </c>
    </row>
    <row r="10" spans="1:8" x14ac:dyDescent="0.3">
      <c r="A10" s="22" t="s">
        <v>22</v>
      </c>
      <c r="B10" s="23" t="s">
        <v>23</v>
      </c>
      <c r="C10" s="162">
        <v>193080</v>
      </c>
      <c r="D10" s="25" t="s">
        <v>24</v>
      </c>
      <c r="E10" s="14" t="str">
        <f t="shared" si="0"/>
        <v>LOW PRICE</v>
      </c>
      <c r="F10" s="14" t="str">
        <f t="shared" si="1"/>
        <v>C 350</v>
      </c>
      <c r="G10" s="14" t="str">
        <f t="shared" si="2"/>
        <v>REDDIT</v>
      </c>
      <c r="H10" s="14" t="str">
        <f t="shared" si="3"/>
        <v>H GREY, REDDITCH R</v>
      </c>
    </row>
    <row r="11" spans="1:8" x14ac:dyDescent="0.3">
      <c r="A11" s="22" t="s">
        <v>22</v>
      </c>
      <c r="B11" s="23" t="s">
        <v>25</v>
      </c>
      <c r="C11" s="162">
        <v>195919</v>
      </c>
      <c r="D11" s="25" t="s">
        <v>24</v>
      </c>
      <c r="E11" s="14" t="str">
        <f t="shared" si="0"/>
        <v>LOW PRICE</v>
      </c>
      <c r="F11" s="14" t="str">
        <f t="shared" si="1"/>
        <v>C 350</v>
      </c>
      <c r="G11" s="14" t="str">
        <f t="shared" si="2"/>
        <v>HALCYO</v>
      </c>
      <c r="H11" s="14" t="str">
        <f t="shared" si="3"/>
        <v xml:space="preserve"> BLACK, HALCYON GR</v>
      </c>
    </row>
    <row r="12" spans="1:8" x14ac:dyDescent="0.3">
      <c r="A12" s="22" t="s">
        <v>22</v>
      </c>
      <c r="B12" s="23" t="s">
        <v>25</v>
      </c>
      <c r="C12" s="162">
        <v>199900</v>
      </c>
      <c r="D12" s="25" t="s">
        <v>26</v>
      </c>
      <c r="E12" s="14" t="str">
        <f t="shared" si="0"/>
        <v>LOW PRICE</v>
      </c>
      <c r="F12" s="14" t="str">
        <f t="shared" si="1"/>
        <v>C 350</v>
      </c>
      <c r="G12" s="14" t="str">
        <f t="shared" si="2"/>
        <v>HALCYO</v>
      </c>
      <c r="H12" s="14" t="str">
        <f t="shared" si="3"/>
        <v xml:space="preserve"> BLACK, HALCYON GR</v>
      </c>
    </row>
    <row r="13" spans="1:8" x14ac:dyDescent="0.3">
      <c r="A13" s="22" t="s">
        <v>22</v>
      </c>
      <c r="B13" s="23" t="s">
        <v>27</v>
      </c>
      <c r="C13" s="162">
        <v>213852</v>
      </c>
      <c r="D13" s="25" t="s">
        <v>26</v>
      </c>
      <c r="E13" s="14" t="str">
        <f t="shared" si="0"/>
        <v>HIGH PRICE</v>
      </c>
      <c r="F13" s="14" t="str">
        <f t="shared" si="1"/>
        <v>C 350</v>
      </c>
      <c r="G13" s="14" t="str">
        <f t="shared" si="2"/>
        <v>SIGNAL</v>
      </c>
      <c r="H13" s="14" t="str">
        <f t="shared" si="3"/>
        <v xml:space="preserve"> MARSH GREY, SIGNA</v>
      </c>
    </row>
    <row r="14" spans="1:8" x14ac:dyDescent="0.3">
      <c r="A14" s="22" t="s">
        <v>22</v>
      </c>
      <c r="B14" s="23" t="s">
        <v>28</v>
      </c>
      <c r="C14" s="162">
        <v>220991</v>
      </c>
      <c r="D14" s="25" t="s">
        <v>26</v>
      </c>
      <c r="E14" s="14" t="str">
        <f t="shared" si="0"/>
        <v>HIGH PRICE</v>
      </c>
      <c r="F14" s="14" t="str">
        <f t="shared" si="1"/>
        <v>C 350</v>
      </c>
      <c r="G14" s="14" t="str">
        <f t="shared" si="2"/>
        <v>DARK S</v>
      </c>
      <c r="H14" s="14" t="str">
        <f t="shared" si="3"/>
        <v>ALTH BLACK, DARK G</v>
      </c>
    </row>
    <row r="15" spans="1:8" x14ac:dyDescent="0.3">
      <c r="A15" s="22" t="s">
        <v>22</v>
      </c>
      <c r="B15" s="23" t="s">
        <v>29</v>
      </c>
      <c r="C15" s="162">
        <v>224755</v>
      </c>
      <c r="D15" s="25" t="s">
        <v>26</v>
      </c>
      <c r="E15" s="14" t="str">
        <f t="shared" si="0"/>
        <v>HIGH PRICE</v>
      </c>
      <c r="F15" s="14" t="str">
        <f t="shared" si="1"/>
        <v>C 350</v>
      </c>
      <c r="G15" s="14" t="str">
        <f t="shared" si="2"/>
        <v xml:space="preserve">CROME </v>
      </c>
      <c r="H15" s="14" t="str">
        <f t="shared" si="3"/>
        <v>RONZE, CROME RED</v>
      </c>
    </row>
    <row r="16" spans="1:8" x14ac:dyDescent="0.3">
      <c r="A16" s="26" t="s">
        <v>30</v>
      </c>
      <c r="B16" s="27" t="s">
        <v>31</v>
      </c>
      <c r="C16" s="163">
        <v>199942</v>
      </c>
      <c r="D16" s="29" t="s">
        <v>32</v>
      </c>
      <c r="E16" s="14" t="str">
        <f t="shared" si="0"/>
        <v>LOW PRICE</v>
      </c>
      <c r="F16" s="14" t="str">
        <f t="shared" si="1"/>
        <v>R 350</v>
      </c>
      <c r="G16" s="14" t="str">
        <f t="shared" si="2"/>
        <v>FIREBA</v>
      </c>
      <c r="H16" s="14" t="str">
        <f t="shared" si="3"/>
        <v>L BLACK, RED, BLUE</v>
      </c>
    </row>
    <row r="17" spans="1:8" x14ac:dyDescent="0.3">
      <c r="A17" s="26" t="s">
        <v>30</v>
      </c>
      <c r="B17" s="27" t="s">
        <v>33</v>
      </c>
      <c r="C17" s="163">
        <v>215900</v>
      </c>
      <c r="D17" s="29" t="s">
        <v>34</v>
      </c>
      <c r="E17" s="14" t="str">
        <f t="shared" si="0"/>
        <v>HIGH PRICE</v>
      </c>
      <c r="F17" s="14" t="str">
        <f t="shared" si="1"/>
        <v>R 350</v>
      </c>
      <c r="G17" s="14" t="str">
        <f t="shared" si="2"/>
        <v>STELLA</v>
      </c>
      <c r="H17" s="14" t="str">
        <f t="shared" si="3"/>
        <v xml:space="preserve"> BLUE, RED, BLACK</v>
      </c>
    </row>
    <row r="18" spans="1:8" x14ac:dyDescent="0.3">
      <c r="A18" s="26" t="s">
        <v>30</v>
      </c>
      <c r="B18" s="27" t="s">
        <v>35</v>
      </c>
      <c r="C18" s="163">
        <v>219900</v>
      </c>
      <c r="D18" s="29" t="s">
        <v>36</v>
      </c>
      <c r="E18" s="14" t="str">
        <f t="shared" si="0"/>
        <v>HIGH PRICE</v>
      </c>
      <c r="F18" s="14" t="str">
        <f t="shared" si="1"/>
        <v>R 350</v>
      </c>
      <c r="G18" s="14" t="str">
        <f t="shared" si="2"/>
        <v>AURORA</v>
      </c>
      <c r="H18" s="14" t="str">
        <f t="shared" si="3"/>
        <v>BLUE, GREEN, BLACK</v>
      </c>
    </row>
    <row r="19" spans="1:8" x14ac:dyDescent="0.3">
      <c r="A19" s="26" t="s">
        <v>30</v>
      </c>
      <c r="B19" s="27" t="s">
        <v>37</v>
      </c>
      <c r="C19" s="163">
        <v>229900</v>
      </c>
      <c r="D19" s="29" t="s">
        <v>38</v>
      </c>
      <c r="E19" s="14" t="str">
        <f t="shared" si="0"/>
        <v>HIGH PRICE</v>
      </c>
      <c r="F19" s="14" t="str">
        <f t="shared" si="1"/>
        <v>R 350</v>
      </c>
      <c r="G19" s="14" t="str">
        <f t="shared" si="2"/>
        <v>SUPERN</v>
      </c>
      <c r="H19" s="14" t="str">
        <f t="shared" si="3"/>
        <v>VA BLUE, RED</v>
      </c>
    </row>
    <row r="20" spans="1:8" x14ac:dyDescent="0.3">
      <c r="A20" s="30" t="s">
        <v>39</v>
      </c>
      <c r="B20" s="31" t="s">
        <v>40</v>
      </c>
      <c r="C20" s="164">
        <v>203210</v>
      </c>
      <c r="D20" s="33" t="s">
        <v>41</v>
      </c>
      <c r="E20" s="14" t="str">
        <f t="shared" si="0"/>
        <v>HIGH PRICE</v>
      </c>
      <c r="F20" s="14" t="str">
        <f t="shared" si="1"/>
        <v>N 411</v>
      </c>
      <c r="G20" s="14" t="str">
        <f t="shared" si="2"/>
        <v>GRAPHI</v>
      </c>
      <c r="H20" s="14" t="str">
        <f t="shared" si="3"/>
        <v>E YELLOW, RED, BLU</v>
      </c>
    </row>
    <row r="21" spans="1:8" x14ac:dyDescent="0.3">
      <c r="A21" s="30" t="s">
        <v>39</v>
      </c>
      <c r="B21" s="31" t="s">
        <v>42</v>
      </c>
      <c r="C21" s="164">
        <v>208257</v>
      </c>
      <c r="D21" s="33" t="s">
        <v>41</v>
      </c>
      <c r="E21" s="14" t="str">
        <f t="shared" si="0"/>
        <v>HIGH PRICE</v>
      </c>
      <c r="F21" s="14" t="str">
        <f t="shared" si="1"/>
        <v>N 411</v>
      </c>
      <c r="G21" s="14" t="str">
        <f t="shared" si="2"/>
        <v>SKYLIN</v>
      </c>
      <c r="H21" s="14" t="str">
        <f t="shared" si="3"/>
        <v xml:space="preserve"> BLUE, BLAZING BLA</v>
      </c>
    </row>
    <row r="22" spans="1:8" x14ac:dyDescent="0.3">
      <c r="A22" s="30" t="s">
        <v>39</v>
      </c>
      <c r="B22" s="31" t="s">
        <v>43</v>
      </c>
      <c r="C22" s="164">
        <v>211984</v>
      </c>
      <c r="D22" s="33" t="s">
        <v>41</v>
      </c>
      <c r="E22" s="14" t="str">
        <f t="shared" si="0"/>
        <v>HIGH PRICE</v>
      </c>
      <c r="F22" s="14" t="str">
        <f t="shared" si="1"/>
        <v>N 411</v>
      </c>
      <c r="G22" s="14" t="str">
        <f t="shared" si="2"/>
        <v xml:space="preserve">WHITE </v>
      </c>
      <c r="H22" s="14" t="str">
        <f t="shared" si="3"/>
        <v>LAME, SILVER SPIRI</v>
      </c>
    </row>
    <row r="23" spans="1:8" x14ac:dyDescent="0.3">
      <c r="A23" s="34" t="s">
        <v>44</v>
      </c>
      <c r="B23" s="35" t="s">
        <v>45</v>
      </c>
      <c r="C23" s="165">
        <v>285000</v>
      </c>
      <c r="D23" s="37" t="s">
        <v>46</v>
      </c>
      <c r="E23" s="14" t="str">
        <f t="shared" si="0"/>
        <v>HIGH PRICE</v>
      </c>
      <c r="F23" s="14" t="str">
        <f t="shared" si="1"/>
        <v>N 450</v>
      </c>
      <c r="G23" s="14" t="str">
        <f t="shared" si="2"/>
        <v>KAZA B</v>
      </c>
      <c r="H23" s="14" t="str">
        <f t="shared" si="3"/>
        <v>OWN</v>
      </c>
    </row>
    <row r="24" spans="1:8" x14ac:dyDescent="0.3">
      <c r="A24" s="34" t="s">
        <v>44</v>
      </c>
      <c r="B24" s="35" t="s">
        <v>47</v>
      </c>
      <c r="C24" s="165">
        <v>289000</v>
      </c>
      <c r="D24" s="37" t="s">
        <v>46</v>
      </c>
      <c r="E24" s="14" t="str">
        <f t="shared" si="0"/>
        <v>HIGH PRICE</v>
      </c>
      <c r="F24" s="14" t="str">
        <f t="shared" si="1"/>
        <v>N 450</v>
      </c>
      <c r="G24" s="14" t="str">
        <f t="shared" si="2"/>
        <v xml:space="preserve">SLATE </v>
      </c>
      <c r="H24" s="14" t="str">
        <f t="shared" si="3"/>
        <v>IMALAYAN SALT, SLA</v>
      </c>
    </row>
    <row r="25" spans="1:8" x14ac:dyDescent="0.3">
      <c r="A25" s="34" t="s">
        <v>44</v>
      </c>
      <c r="B25" s="35" t="s">
        <v>48</v>
      </c>
      <c r="C25" s="165">
        <v>293000</v>
      </c>
      <c r="D25" s="37" t="s">
        <v>46</v>
      </c>
      <c r="E25" s="14" t="str">
        <f t="shared" si="0"/>
        <v>HIGH PRICE</v>
      </c>
      <c r="F25" s="14" t="str">
        <f t="shared" si="1"/>
        <v>N 450</v>
      </c>
      <c r="G25" s="14" t="str">
        <f t="shared" si="2"/>
        <v xml:space="preserve">KAMET </v>
      </c>
      <c r="H25" s="14" t="str">
        <f t="shared" si="3"/>
        <v>HITE</v>
      </c>
    </row>
    <row r="26" spans="1:8" x14ac:dyDescent="0.3">
      <c r="A26" s="34" t="s">
        <v>44</v>
      </c>
      <c r="B26" s="35" t="s">
        <v>49</v>
      </c>
      <c r="C26" s="165">
        <v>298000</v>
      </c>
      <c r="D26" s="37" t="s">
        <v>46</v>
      </c>
      <c r="E26" s="14" t="str">
        <f t="shared" si="0"/>
        <v>HIGH PRICE</v>
      </c>
      <c r="F26" s="14" t="str">
        <f t="shared" si="1"/>
        <v>N 450</v>
      </c>
      <c r="G26" s="14" t="str">
        <f t="shared" si="2"/>
        <v xml:space="preserve">HANLE </v>
      </c>
      <c r="H26" s="14" t="str">
        <f t="shared" si="3"/>
        <v>LACK</v>
      </c>
    </row>
    <row r="27" spans="1:8" x14ac:dyDescent="0.3">
      <c r="A27" s="38" t="s">
        <v>50</v>
      </c>
      <c r="B27" s="39" t="s">
        <v>51</v>
      </c>
      <c r="C27" s="166">
        <v>301000</v>
      </c>
      <c r="D27" s="41" t="s">
        <v>52</v>
      </c>
      <c r="E27" s="14" t="str">
        <f t="shared" si="0"/>
        <v>HIGH PRICE</v>
      </c>
      <c r="F27" s="14" t="str">
        <f t="shared" si="1"/>
        <v>R 650</v>
      </c>
      <c r="G27" s="14" t="str">
        <f t="shared" si="2"/>
        <v>CANYON</v>
      </c>
      <c r="H27" s="14" t="str">
        <f t="shared" si="3"/>
        <v>RED, CALI GREEN</v>
      </c>
    </row>
    <row r="28" spans="1:8" x14ac:dyDescent="0.3">
      <c r="A28" s="38" t="s">
        <v>50</v>
      </c>
      <c r="B28" s="39" t="s">
        <v>53</v>
      </c>
      <c r="C28" s="166">
        <v>309000</v>
      </c>
      <c r="D28" s="41" t="s">
        <v>52</v>
      </c>
      <c r="E28" s="14" t="str">
        <f t="shared" si="0"/>
        <v>HIGH PRICE</v>
      </c>
      <c r="F28" s="14" t="str">
        <f t="shared" si="1"/>
        <v>R 650</v>
      </c>
      <c r="G28" s="14" t="str">
        <f t="shared" si="2"/>
        <v>SUNSET</v>
      </c>
      <c r="H28" s="14" t="str">
        <f t="shared" si="3"/>
        <v>STRIP BLACK, BLACK</v>
      </c>
    </row>
    <row r="29" spans="1:8" x14ac:dyDescent="0.3">
      <c r="A29" s="38" t="s">
        <v>50</v>
      </c>
      <c r="B29" s="39" t="s">
        <v>54</v>
      </c>
      <c r="C29" s="166">
        <v>319000</v>
      </c>
      <c r="D29" s="41" t="s">
        <v>55</v>
      </c>
      <c r="E29" s="14" t="str">
        <f t="shared" si="0"/>
        <v>HIGH PRICE</v>
      </c>
      <c r="F29" s="14" t="str">
        <f t="shared" si="1"/>
        <v>R 650</v>
      </c>
      <c r="G29" s="14" t="str">
        <f t="shared" si="2"/>
        <v>BARCEL</v>
      </c>
      <c r="H29" s="14" t="str">
        <f t="shared" si="3"/>
        <v>NA BLUE, BLACKRAY</v>
      </c>
    </row>
    <row r="30" spans="1:8" x14ac:dyDescent="0.3">
      <c r="A30" s="38" t="s">
        <v>50</v>
      </c>
      <c r="B30" s="39" t="s">
        <v>56</v>
      </c>
      <c r="C30" s="166">
        <v>328000</v>
      </c>
      <c r="D30" s="41" t="s">
        <v>52</v>
      </c>
      <c r="E30" s="14" t="str">
        <f t="shared" si="0"/>
        <v>HIGH PRICE</v>
      </c>
      <c r="F30" s="14" t="str">
        <f t="shared" si="1"/>
        <v>R 650</v>
      </c>
      <c r="G30" s="14" t="str">
        <f t="shared" si="2"/>
        <v>MARK T</v>
      </c>
      <c r="H30" s="14" t="str">
        <f t="shared" si="3"/>
        <v>O CROME</v>
      </c>
    </row>
    <row r="31" spans="1:8" x14ac:dyDescent="0.3">
      <c r="A31" s="42" t="s">
        <v>57</v>
      </c>
      <c r="B31" s="43" t="s">
        <v>58</v>
      </c>
      <c r="C31" s="167">
        <v>317000</v>
      </c>
      <c r="D31" s="45" t="s">
        <v>52</v>
      </c>
      <c r="E31" s="14" t="str">
        <f t="shared" si="0"/>
        <v>HIGH PRICE</v>
      </c>
      <c r="F31" s="14" t="str">
        <f t="shared" si="1"/>
        <v>T 650</v>
      </c>
      <c r="G31" s="14" t="str">
        <f t="shared" si="2"/>
        <v>ROCKER</v>
      </c>
      <c r="H31" s="14" t="str">
        <f t="shared" si="3"/>
        <v>RED, BRITISH RACIN</v>
      </c>
    </row>
    <row r="32" spans="1:8" x14ac:dyDescent="0.3">
      <c r="A32" s="42" t="s">
        <v>57</v>
      </c>
      <c r="B32" s="43" t="s">
        <v>59</v>
      </c>
      <c r="C32" s="167">
        <v>327000</v>
      </c>
      <c r="D32" s="45" t="s">
        <v>52</v>
      </c>
      <c r="E32" s="14" t="str">
        <f t="shared" si="0"/>
        <v>HIGH PRICE</v>
      </c>
      <c r="F32" s="14" t="str">
        <f t="shared" si="1"/>
        <v>T 650</v>
      </c>
      <c r="G32" s="14" t="str">
        <f t="shared" si="2"/>
        <v>DUX DE</v>
      </c>
      <c r="H32" s="14" t="str">
        <f t="shared" si="3"/>
        <v>UXUE</v>
      </c>
    </row>
    <row r="33" spans="1:8" x14ac:dyDescent="0.3">
      <c r="A33" s="42" t="s">
        <v>57</v>
      </c>
      <c r="B33" s="43" t="s">
        <v>60</v>
      </c>
      <c r="C33" s="167">
        <v>337000</v>
      </c>
      <c r="D33" s="45" t="s">
        <v>55</v>
      </c>
      <c r="E33" s="14" t="str">
        <f t="shared" si="0"/>
        <v>HIGH PRICE</v>
      </c>
      <c r="F33" s="14" t="str">
        <f t="shared" si="1"/>
        <v>T 650</v>
      </c>
      <c r="G33" s="14" t="str">
        <f t="shared" si="2"/>
        <v>APEX G</v>
      </c>
      <c r="H33" s="14" t="str">
        <f t="shared" si="3"/>
        <v>EY, SLIPSTREAM BLU</v>
      </c>
    </row>
    <row r="34" spans="1:8" x14ac:dyDescent="0.3">
      <c r="A34" s="42" t="s">
        <v>57</v>
      </c>
      <c r="B34" s="43" t="s">
        <v>61</v>
      </c>
      <c r="C34" s="167">
        <v>342000</v>
      </c>
      <c r="D34" s="45" t="s">
        <v>52</v>
      </c>
      <c r="E34" s="14" t="str">
        <f t="shared" si="0"/>
        <v>HIGH PRICE</v>
      </c>
      <c r="F34" s="14" t="str">
        <f t="shared" si="1"/>
        <v>T 650</v>
      </c>
      <c r="G34" s="14" t="str">
        <f t="shared" si="2"/>
        <v>Mr CLE</v>
      </c>
      <c r="H34" s="14" t="str">
        <f t="shared" si="3"/>
        <v>N CROME</v>
      </c>
    </row>
    <row r="35" spans="1:8" s="51" customFormat="1" x14ac:dyDescent="0.3">
      <c r="A35" s="46" t="s">
        <v>62</v>
      </c>
      <c r="B35" s="47" t="s">
        <v>63</v>
      </c>
      <c r="C35" s="168">
        <v>363900</v>
      </c>
      <c r="D35" s="49" t="s">
        <v>64</v>
      </c>
      <c r="E35" s="50" t="str">
        <f t="shared" si="0"/>
        <v>HIGH PRICE</v>
      </c>
      <c r="F35" s="50" t="str">
        <f t="shared" si="1"/>
        <v>R 650</v>
      </c>
      <c r="G35" s="50" t="str">
        <f t="shared" si="2"/>
        <v>ASTRAL</v>
      </c>
      <c r="H35" s="50" t="str">
        <f t="shared" si="3"/>
        <v>BLACK, ASTRAL BLUE</v>
      </c>
    </row>
    <row r="36" spans="1:8" s="51" customFormat="1" x14ac:dyDescent="0.3">
      <c r="A36" s="46" t="s">
        <v>62</v>
      </c>
      <c r="B36" s="47" t="s">
        <v>65</v>
      </c>
      <c r="C36" s="168">
        <v>379123</v>
      </c>
      <c r="D36" s="49" t="s">
        <v>64</v>
      </c>
      <c r="E36" s="50" t="str">
        <f t="shared" si="0"/>
        <v>HIGH PRICE</v>
      </c>
      <c r="F36" s="50" t="str">
        <f t="shared" si="1"/>
        <v>R 650</v>
      </c>
      <c r="G36" s="50" t="str">
        <f t="shared" si="2"/>
        <v>INTERS</v>
      </c>
      <c r="H36" s="50" t="str">
        <f t="shared" si="3"/>
        <v>ELLAR GREEN, INTER</v>
      </c>
    </row>
    <row r="37" spans="1:8" s="51" customFormat="1" x14ac:dyDescent="0.3">
      <c r="A37" s="46" t="s">
        <v>62</v>
      </c>
      <c r="B37" s="47" t="s">
        <v>66</v>
      </c>
      <c r="C37" s="168">
        <v>394347</v>
      </c>
      <c r="D37" s="49" t="s">
        <v>64</v>
      </c>
      <c r="E37" s="50" t="str">
        <f t="shared" si="0"/>
        <v>HIGH PRICE</v>
      </c>
      <c r="F37" s="50" t="str">
        <f t="shared" si="1"/>
        <v>R 650</v>
      </c>
      <c r="G37" s="50" t="str">
        <f t="shared" si="2"/>
        <v>CELEST</v>
      </c>
      <c r="H37" s="50" t="str">
        <f t="shared" si="3"/>
        <v xml:space="preserve">AL RED, CELESTIAL </v>
      </c>
    </row>
    <row r="38" spans="1:8" s="56" customFormat="1" x14ac:dyDescent="0.3">
      <c r="A38" s="52" t="s">
        <v>67</v>
      </c>
      <c r="B38" s="53" t="s">
        <v>68</v>
      </c>
      <c r="C38" s="169">
        <v>359430</v>
      </c>
      <c r="D38" s="55" t="s">
        <v>69</v>
      </c>
      <c r="E38" s="50" t="str">
        <f t="shared" si="0"/>
        <v>HIGH PRICE</v>
      </c>
      <c r="F38" s="50" t="str">
        <f t="shared" si="1"/>
        <v>N 650</v>
      </c>
      <c r="G38" s="50" t="str">
        <f t="shared" si="2"/>
        <v xml:space="preserve">SHEET </v>
      </c>
      <c r="H38" s="50" t="str">
        <f t="shared" si="3"/>
        <v>ETAL GREY</v>
      </c>
    </row>
    <row r="39" spans="1:8" s="56" customFormat="1" x14ac:dyDescent="0.3">
      <c r="A39" s="52" t="s">
        <v>67</v>
      </c>
      <c r="B39" s="53" t="s">
        <v>70</v>
      </c>
      <c r="C39" s="169">
        <v>370138</v>
      </c>
      <c r="D39" s="55" t="s">
        <v>69</v>
      </c>
      <c r="E39" s="50" t="str">
        <f t="shared" si="0"/>
        <v>HIGH PRICE</v>
      </c>
      <c r="F39" s="50" t="str">
        <f t="shared" si="1"/>
        <v>N 650</v>
      </c>
      <c r="G39" s="50" t="str">
        <f t="shared" si="2"/>
        <v xml:space="preserve">GREEN </v>
      </c>
      <c r="H39" s="50" t="str">
        <f t="shared" si="3"/>
        <v>RILL, PLASMA BLUE</v>
      </c>
    </row>
    <row r="40" spans="1:8" s="56" customFormat="1" ht="15" thickBot="1" x14ac:dyDescent="0.35">
      <c r="A40" s="57" t="s">
        <v>67</v>
      </c>
      <c r="B40" s="58" t="s">
        <v>71</v>
      </c>
      <c r="C40" s="170">
        <v>373000</v>
      </c>
      <c r="D40" s="60" t="s">
        <v>69</v>
      </c>
      <c r="E40" s="50" t="str">
        <f t="shared" si="0"/>
        <v>HIGH PRICE</v>
      </c>
      <c r="F40" s="50" t="str">
        <f t="shared" si="1"/>
        <v>N 650</v>
      </c>
      <c r="G40" s="50" t="str">
        <f t="shared" si="2"/>
        <v>STENCI</v>
      </c>
      <c r="H40" s="50" t="str">
        <f t="shared" si="3"/>
        <v xml:space="preserve"> WHITE</v>
      </c>
    </row>
    <row r="41" spans="1:8" ht="15.6" thickTop="1" thickBot="1" x14ac:dyDescent="0.35">
      <c r="A41" s="61">
        <f>SUBTOTAL(103,Table139[[MODEL NAME ]])</f>
        <v>38</v>
      </c>
      <c r="B41" s="62"/>
      <c r="C41" s="171">
        <f>SUBTOTAL(109,Table139[PRICE])</f>
        <v>9982538</v>
      </c>
    </row>
    <row r="42" spans="1:8" ht="15" thickTop="1" x14ac:dyDescent="0.3">
      <c r="B42" s="64"/>
      <c r="C42" s="172"/>
    </row>
    <row r="43" spans="1:8" x14ac:dyDescent="0.3">
      <c r="B43" s="66"/>
    </row>
    <row r="44" spans="1:8" ht="24" thickBot="1" x14ac:dyDescent="0.5">
      <c r="B44" s="64"/>
      <c r="E44" s="157" t="s">
        <v>92</v>
      </c>
    </row>
    <row r="45" spans="1:8" ht="16.2" thickBot="1" x14ac:dyDescent="0.35">
      <c r="A45" s="79" t="s">
        <v>76</v>
      </c>
      <c r="B45" s="80"/>
      <c r="C45" s="174"/>
      <c r="E45" s="182" t="s">
        <v>10</v>
      </c>
      <c r="F45" s="183">
        <f>HLOOKUP("PRICE",A2:C4,3,FALSE)</f>
        <v>179000</v>
      </c>
    </row>
    <row r="46" spans="1:8" ht="15" thickTop="1" x14ac:dyDescent="0.3">
      <c r="A46" s="71"/>
      <c r="B46" s="72"/>
      <c r="C46" s="175"/>
      <c r="E46" s="138" t="s">
        <v>10</v>
      </c>
      <c r="F46" s="184">
        <f>HLOOKUP("PRICE",A2:C5,4,FALSE)</f>
        <v>197436</v>
      </c>
    </row>
    <row r="47" spans="1:8" ht="15.6" x14ac:dyDescent="0.3">
      <c r="A47" s="82" t="s">
        <v>80</v>
      </c>
      <c r="B47" s="75">
        <f>AVERAGE(Table14[PRICE])</f>
        <v>257877.05263157896</v>
      </c>
      <c r="C47" s="176"/>
      <c r="E47" s="139" t="s">
        <v>10</v>
      </c>
      <c r="F47" s="184">
        <f>HLOOKUP("PRICE",A2:C6,5,FALSE)</f>
        <v>215801</v>
      </c>
    </row>
    <row r="48" spans="1:8" ht="15.6" x14ac:dyDescent="0.3">
      <c r="A48" s="82" t="s">
        <v>77</v>
      </c>
      <c r="B48" s="75">
        <f>MEDIAN(Table14[PRICE])</f>
        <v>220445.5</v>
      </c>
      <c r="C48" s="176"/>
      <c r="E48" s="180" t="s">
        <v>16</v>
      </c>
      <c r="F48" s="184">
        <f>HLOOKUP("PRICE",A2:C7,6,FALSE)</f>
        <v>149900</v>
      </c>
    </row>
    <row r="49" spans="1:6" ht="15.6" x14ac:dyDescent="0.3">
      <c r="A49" s="82" t="s">
        <v>78</v>
      </c>
      <c r="B49" s="75">
        <f>MODE(Table14[PRICE])</f>
        <v>201000</v>
      </c>
      <c r="C49" s="176"/>
      <c r="E49" s="181" t="s">
        <v>16</v>
      </c>
      <c r="F49" s="184">
        <f>HLOOKUP("PRICE",A2:C8,7,FALSE)</f>
        <v>169656</v>
      </c>
    </row>
    <row r="50" spans="1:6" ht="15.6" x14ac:dyDescent="0.3">
      <c r="A50" s="82" t="s">
        <v>79</v>
      </c>
      <c r="B50" s="75">
        <f>STDEV(Table14[PRICE])</f>
        <v>73559.517475214161</v>
      </c>
      <c r="C50" s="176"/>
      <c r="E50" s="180" t="s">
        <v>16</v>
      </c>
      <c r="F50" s="184">
        <f>HLOOKUP("PRICE",A2:C9,8,FALSE)</f>
        <v>174655</v>
      </c>
    </row>
    <row r="51" spans="1:6" ht="15.6" x14ac:dyDescent="0.3">
      <c r="A51" s="69" t="s">
        <v>81</v>
      </c>
      <c r="B51" s="75">
        <f>SUM(Table14[PRICE])</f>
        <v>9799328</v>
      </c>
      <c r="C51" s="176"/>
      <c r="E51" s="142" t="s">
        <v>22</v>
      </c>
      <c r="F51" s="184">
        <f>HLOOKUP("PRICE",A2:C10,9,FALSE)</f>
        <v>193080</v>
      </c>
    </row>
    <row r="52" spans="1:6" ht="15.6" x14ac:dyDescent="0.3">
      <c r="A52" s="70" t="s">
        <v>82</v>
      </c>
      <c r="B52" s="75">
        <v>38</v>
      </c>
      <c r="C52" s="176"/>
      <c r="E52" s="143" t="s">
        <v>22</v>
      </c>
      <c r="F52" s="184">
        <f>HLOOKUP("PRICE",A2:C11,10,FALSE)</f>
        <v>195919</v>
      </c>
    </row>
    <row r="53" spans="1:6" ht="15.6" x14ac:dyDescent="0.3">
      <c r="A53" s="69" t="s">
        <v>83</v>
      </c>
      <c r="B53" s="75">
        <f>MIN(Table14[PRICE])</f>
        <v>149900</v>
      </c>
      <c r="C53" s="176"/>
      <c r="E53" s="142" t="s">
        <v>22</v>
      </c>
      <c r="F53" s="184">
        <f>HLOOKUP("PRICE",A2:C12,11,FALSE)</f>
        <v>199900</v>
      </c>
    </row>
    <row r="54" spans="1:6" ht="15.6" x14ac:dyDescent="0.3">
      <c r="A54" s="69" t="s">
        <v>84</v>
      </c>
      <c r="B54" s="75">
        <f>MAX(Table14[PRICE])</f>
        <v>394347</v>
      </c>
      <c r="C54" s="176"/>
      <c r="E54" s="143" t="s">
        <v>22</v>
      </c>
      <c r="F54" s="184">
        <f>HLOOKUP("PRICE",A2:C13,12,FALSE)</f>
        <v>213852</v>
      </c>
    </row>
    <row r="55" spans="1:6" ht="15.6" x14ac:dyDescent="0.3">
      <c r="A55" s="69" t="s">
        <v>85</v>
      </c>
      <c r="B55" s="75">
        <f>AVERAGE(Table14[PRICE])</f>
        <v>257877.05263157896</v>
      </c>
      <c r="C55" s="176"/>
      <c r="E55" s="142" t="s">
        <v>22</v>
      </c>
      <c r="F55" s="184">
        <f>HLOOKUP("PRICE",A2:C14,13,FALSE)</f>
        <v>220991</v>
      </c>
    </row>
    <row r="56" spans="1:6" x14ac:dyDescent="0.3">
      <c r="A56" s="70" t="s">
        <v>86</v>
      </c>
      <c r="B56" s="84" t="s">
        <v>72</v>
      </c>
      <c r="C56" s="177" t="s">
        <v>73</v>
      </c>
      <c r="E56" s="143" t="s">
        <v>22</v>
      </c>
      <c r="F56" s="184">
        <f>HLOOKUP("PRICE",A2:C15,14,FALSE)</f>
        <v>224755</v>
      </c>
    </row>
    <row r="57" spans="1:6" ht="15.6" x14ac:dyDescent="0.3">
      <c r="A57" s="82" t="s">
        <v>74</v>
      </c>
      <c r="B57" s="75">
        <f>SUMIF(Table14[PRICE HIGH /LOW],"HIGH PRICE",Table14[PRICE])</f>
        <v>7966278</v>
      </c>
      <c r="C57" s="178">
        <f>SUMIF(Table14[PRICE HIGH /LOW],"LOW PRICE",Table14[PRICE])</f>
        <v>1833050</v>
      </c>
      <c r="E57" s="140" t="s">
        <v>30</v>
      </c>
      <c r="F57" s="184">
        <f>HLOOKUP("PRICE",A2:C16,15,FALSE)</f>
        <v>199942</v>
      </c>
    </row>
    <row r="58" spans="1:6" ht="16.2" thickBot="1" x14ac:dyDescent="0.35">
      <c r="A58" s="83" t="s">
        <v>75</v>
      </c>
      <c r="B58" s="77">
        <f>COUNTIF(Table14[PRICE HIGH /LOW],"HIGH PRICE")</f>
        <v>28</v>
      </c>
      <c r="C58" s="179">
        <f>COUNTIF(Table14[PRICE HIGH /LOW],"LOW PRICE")</f>
        <v>10</v>
      </c>
      <c r="E58" s="150" t="s">
        <v>30</v>
      </c>
      <c r="F58" s="185">
        <f>HLOOKUP("PRICE",A2:C17,16,FALSE)</f>
        <v>215900</v>
      </c>
    </row>
  </sheetData>
  <phoneticPr fontId="5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6FD7E-226E-40DC-B7DD-51852E7F6791}">
  <dimension ref="A1:H58"/>
  <sheetViews>
    <sheetView workbookViewId="0">
      <selection sqref="A1:XFD1048576"/>
    </sheetView>
  </sheetViews>
  <sheetFormatPr defaultRowHeight="14.4" x14ac:dyDescent="0.3"/>
  <cols>
    <col min="1" max="1" width="22" style="14" customWidth="1"/>
    <col min="2" max="2" width="45.6640625" style="14" customWidth="1"/>
    <col min="3" max="3" width="17.109375" style="14" customWidth="1"/>
    <col min="4" max="4" width="27.44140625" style="14" customWidth="1"/>
    <col min="5" max="5" width="23.33203125" customWidth="1"/>
    <col min="6" max="6" width="17.109375" customWidth="1"/>
    <col min="7" max="7" width="11.21875" customWidth="1"/>
    <col min="8" max="8" width="18.6640625" customWidth="1"/>
  </cols>
  <sheetData>
    <row r="1" spans="1:8" ht="16.2" thickBot="1" x14ac:dyDescent="0.35">
      <c r="A1" s="1"/>
      <c r="B1" s="2" t="s">
        <v>0</v>
      </c>
      <c r="C1" s="3"/>
      <c r="D1" s="4"/>
      <c r="E1" t="s">
        <v>1</v>
      </c>
      <c r="F1" t="s">
        <v>1</v>
      </c>
    </row>
    <row r="2" spans="1:8" s="9" customFormat="1" ht="16.2" thickBot="1" x14ac:dyDescent="0.35">
      <c r="A2" s="5" t="s">
        <v>2</v>
      </c>
      <c r="B2" s="6" t="s">
        <v>3</v>
      </c>
      <c r="C2" s="6" t="s">
        <v>4</v>
      </c>
      <c r="D2" s="7" t="s">
        <v>5</v>
      </c>
      <c r="E2" s="8" t="s">
        <v>6</v>
      </c>
      <c r="F2" s="8" t="s">
        <v>7</v>
      </c>
      <c r="G2" s="8" t="s">
        <v>8</v>
      </c>
      <c r="H2" s="8" t="s">
        <v>9</v>
      </c>
    </row>
    <row r="3" spans="1:8" s="15" customFormat="1" x14ac:dyDescent="0.3">
      <c r="A3" s="10" t="s">
        <v>10</v>
      </c>
      <c r="B3" s="11" t="s">
        <v>11</v>
      </c>
      <c r="C3" s="12">
        <v>173562</v>
      </c>
      <c r="D3" s="13" t="s">
        <v>12</v>
      </c>
      <c r="E3" s="14" t="str">
        <f t="shared" ref="E3:E40" si="0">IF(C3&gt;=200100,"HIGH PRICE","LOW PRICE")</f>
        <v>LOW PRICE</v>
      </c>
      <c r="F3" s="14" t="str">
        <f t="shared" ref="F3:F40" si="1">RIGHT(A3,5)</f>
        <v>T 350</v>
      </c>
      <c r="G3" s="14" t="str">
        <f t="shared" ref="G3:G40" si="2">LEFT(B3,6)</f>
        <v>MILLIT</v>
      </c>
      <c r="H3" s="14" t="str">
        <f t="shared" ref="H3:H40" si="3">MID(B3,8,18)</f>
        <v>RY BLACK , MILLTAR</v>
      </c>
    </row>
    <row r="4" spans="1:8" x14ac:dyDescent="0.3">
      <c r="A4" s="10" t="s">
        <v>10</v>
      </c>
      <c r="B4" s="11" t="s">
        <v>13</v>
      </c>
      <c r="C4" s="12">
        <v>179000</v>
      </c>
      <c r="D4" s="16" t="s">
        <v>12</v>
      </c>
      <c r="E4" s="14" t="str">
        <f t="shared" si="0"/>
        <v>LOW PRICE</v>
      </c>
      <c r="F4" s="14" t="str">
        <f t="shared" si="1"/>
        <v>T 350</v>
      </c>
      <c r="G4" s="14" t="str">
        <f t="shared" si="2"/>
        <v>MILLIT</v>
      </c>
      <c r="H4" s="14" t="str">
        <f t="shared" si="3"/>
        <v>RY SILVER BLACK, M</v>
      </c>
    </row>
    <row r="5" spans="1:8" x14ac:dyDescent="0.3">
      <c r="A5" s="10" t="s">
        <v>10</v>
      </c>
      <c r="B5" s="11" t="s">
        <v>14</v>
      </c>
      <c r="C5" s="17">
        <v>197436</v>
      </c>
      <c r="D5" s="13" t="s">
        <v>12</v>
      </c>
      <c r="E5" s="14" t="str">
        <f t="shared" si="0"/>
        <v>LOW PRICE</v>
      </c>
      <c r="F5" s="14" t="str">
        <f t="shared" si="1"/>
        <v>T 350</v>
      </c>
      <c r="G5" s="14" t="str">
        <f t="shared" si="2"/>
        <v>THE ST</v>
      </c>
      <c r="H5" s="14" t="str">
        <f t="shared" si="3"/>
        <v>NDARD BLACK, THE S</v>
      </c>
    </row>
    <row r="6" spans="1:8" x14ac:dyDescent="0.3">
      <c r="A6" s="10" t="s">
        <v>10</v>
      </c>
      <c r="B6" s="11" t="s">
        <v>15</v>
      </c>
      <c r="C6" s="12">
        <v>215801</v>
      </c>
      <c r="D6" s="13" t="s">
        <v>12</v>
      </c>
      <c r="E6" s="14" t="str">
        <f t="shared" si="0"/>
        <v>HIGH PRICE</v>
      </c>
      <c r="F6" s="14" t="str">
        <f t="shared" si="1"/>
        <v>T 350</v>
      </c>
      <c r="G6" s="14" t="str">
        <f t="shared" si="2"/>
        <v xml:space="preserve">BLACK </v>
      </c>
      <c r="H6" s="14" t="str">
        <f t="shared" si="3"/>
        <v>OLD</v>
      </c>
    </row>
    <row r="7" spans="1:8" x14ac:dyDescent="0.3">
      <c r="A7" s="18" t="s">
        <v>16</v>
      </c>
      <c r="B7" s="19" t="s">
        <v>17</v>
      </c>
      <c r="C7" s="20">
        <v>149900</v>
      </c>
      <c r="D7" s="21" t="s">
        <v>18</v>
      </c>
      <c r="E7" s="14" t="str">
        <f t="shared" si="0"/>
        <v>LOW PRICE</v>
      </c>
      <c r="F7" s="14" t="str">
        <f t="shared" si="1"/>
        <v xml:space="preserve"> 350 </v>
      </c>
      <c r="G7" s="14" t="str">
        <f t="shared" si="2"/>
        <v>FACTOR</v>
      </c>
      <c r="H7" s="14" t="str">
        <f t="shared" si="3"/>
        <v xml:space="preserve"> BLACK, FACTORY SI</v>
      </c>
    </row>
    <row r="8" spans="1:8" x14ac:dyDescent="0.3">
      <c r="A8" s="18" t="s">
        <v>16</v>
      </c>
      <c r="B8" s="19" t="s">
        <v>19</v>
      </c>
      <c r="C8" s="20">
        <v>169656</v>
      </c>
      <c r="D8" s="21" t="s">
        <v>20</v>
      </c>
      <c r="E8" s="14" t="str">
        <f t="shared" si="0"/>
        <v>LOW PRICE</v>
      </c>
      <c r="F8" s="14" t="str">
        <f t="shared" si="1"/>
        <v xml:space="preserve"> 350 </v>
      </c>
      <c r="G8" s="14" t="str">
        <f t="shared" si="2"/>
        <v>DAPPER</v>
      </c>
      <c r="H8" s="14" t="str">
        <f t="shared" si="3"/>
        <v>WHITE, DAPPER GREY</v>
      </c>
    </row>
    <row r="9" spans="1:8" x14ac:dyDescent="0.3">
      <c r="A9" s="18" t="s">
        <v>16</v>
      </c>
      <c r="B9" s="19" t="s">
        <v>21</v>
      </c>
      <c r="C9" s="20">
        <v>174655</v>
      </c>
      <c r="D9" s="21" t="s">
        <v>20</v>
      </c>
      <c r="E9" s="14" t="str">
        <f t="shared" si="0"/>
        <v>LOW PRICE</v>
      </c>
      <c r="F9" s="14" t="str">
        <f t="shared" si="1"/>
        <v xml:space="preserve"> 350 </v>
      </c>
      <c r="G9" s="14" t="str">
        <f t="shared" si="2"/>
        <v xml:space="preserve">REBEL </v>
      </c>
      <c r="H9" s="14" t="str">
        <f t="shared" si="3"/>
        <v xml:space="preserve">LUE, REBEL BLACK, </v>
      </c>
    </row>
    <row r="10" spans="1:8" x14ac:dyDescent="0.3">
      <c r="A10" s="22" t="s">
        <v>22</v>
      </c>
      <c r="B10" s="23" t="s">
        <v>23</v>
      </c>
      <c r="C10" s="24">
        <v>193080</v>
      </c>
      <c r="D10" s="25" t="s">
        <v>24</v>
      </c>
      <c r="E10" s="14" t="str">
        <f t="shared" si="0"/>
        <v>LOW PRICE</v>
      </c>
      <c r="F10" s="14" t="str">
        <f t="shared" si="1"/>
        <v>C 350</v>
      </c>
      <c r="G10" s="14" t="str">
        <f t="shared" si="2"/>
        <v>REDDIT</v>
      </c>
      <c r="H10" s="14" t="str">
        <f t="shared" si="3"/>
        <v>H GREY, REDDITCH R</v>
      </c>
    </row>
    <row r="11" spans="1:8" x14ac:dyDescent="0.3">
      <c r="A11" s="22" t="s">
        <v>22</v>
      </c>
      <c r="B11" s="23" t="s">
        <v>25</v>
      </c>
      <c r="C11" s="24">
        <v>195919</v>
      </c>
      <c r="D11" s="25" t="s">
        <v>24</v>
      </c>
      <c r="E11" s="14" t="str">
        <f t="shared" si="0"/>
        <v>LOW PRICE</v>
      </c>
      <c r="F11" s="14" t="str">
        <f t="shared" si="1"/>
        <v>C 350</v>
      </c>
      <c r="G11" s="14" t="str">
        <f t="shared" si="2"/>
        <v>HALCYO</v>
      </c>
      <c r="H11" s="14" t="str">
        <f t="shared" si="3"/>
        <v xml:space="preserve"> BLACK, HALCYON GR</v>
      </c>
    </row>
    <row r="12" spans="1:8" x14ac:dyDescent="0.3">
      <c r="A12" s="22" t="s">
        <v>22</v>
      </c>
      <c r="B12" s="23" t="s">
        <v>25</v>
      </c>
      <c r="C12" s="24">
        <v>199900</v>
      </c>
      <c r="D12" s="25" t="s">
        <v>26</v>
      </c>
      <c r="E12" s="14" t="str">
        <f t="shared" si="0"/>
        <v>LOW PRICE</v>
      </c>
      <c r="F12" s="14" t="str">
        <f t="shared" si="1"/>
        <v>C 350</v>
      </c>
      <c r="G12" s="14" t="str">
        <f t="shared" si="2"/>
        <v>HALCYO</v>
      </c>
      <c r="H12" s="14" t="str">
        <f t="shared" si="3"/>
        <v xml:space="preserve"> BLACK, HALCYON GR</v>
      </c>
    </row>
    <row r="13" spans="1:8" x14ac:dyDescent="0.3">
      <c r="A13" s="22" t="s">
        <v>22</v>
      </c>
      <c r="B13" s="23" t="s">
        <v>27</v>
      </c>
      <c r="C13" s="24">
        <v>213852</v>
      </c>
      <c r="D13" s="25" t="s">
        <v>26</v>
      </c>
      <c r="E13" s="14" t="str">
        <f t="shared" si="0"/>
        <v>HIGH PRICE</v>
      </c>
      <c r="F13" s="14" t="str">
        <f t="shared" si="1"/>
        <v>C 350</v>
      </c>
      <c r="G13" s="14" t="str">
        <f t="shared" si="2"/>
        <v>SIGNAL</v>
      </c>
      <c r="H13" s="14" t="str">
        <f t="shared" si="3"/>
        <v xml:space="preserve"> MARSH GREY, SIGNA</v>
      </c>
    </row>
    <row r="14" spans="1:8" x14ac:dyDescent="0.3">
      <c r="A14" s="22" t="s">
        <v>22</v>
      </c>
      <c r="B14" s="23" t="s">
        <v>28</v>
      </c>
      <c r="C14" s="24">
        <v>220991</v>
      </c>
      <c r="D14" s="25" t="s">
        <v>26</v>
      </c>
      <c r="E14" s="14" t="str">
        <f t="shared" si="0"/>
        <v>HIGH PRICE</v>
      </c>
      <c r="F14" s="14" t="str">
        <f t="shared" si="1"/>
        <v>C 350</v>
      </c>
      <c r="G14" s="14" t="str">
        <f t="shared" si="2"/>
        <v>DARK S</v>
      </c>
      <c r="H14" s="14" t="str">
        <f t="shared" si="3"/>
        <v>ALTH BLACK, DARK G</v>
      </c>
    </row>
    <row r="15" spans="1:8" x14ac:dyDescent="0.3">
      <c r="A15" s="22" t="s">
        <v>22</v>
      </c>
      <c r="B15" s="23" t="s">
        <v>29</v>
      </c>
      <c r="C15" s="24">
        <v>224755</v>
      </c>
      <c r="D15" s="25" t="s">
        <v>26</v>
      </c>
      <c r="E15" s="14" t="str">
        <f t="shared" si="0"/>
        <v>HIGH PRICE</v>
      </c>
      <c r="F15" s="14" t="str">
        <f t="shared" si="1"/>
        <v>C 350</v>
      </c>
      <c r="G15" s="14" t="str">
        <f t="shared" si="2"/>
        <v xml:space="preserve">CROME </v>
      </c>
      <c r="H15" s="14" t="str">
        <f t="shared" si="3"/>
        <v>RONZE, CROME RED</v>
      </c>
    </row>
    <row r="16" spans="1:8" x14ac:dyDescent="0.3">
      <c r="A16" s="26" t="s">
        <v>30</v>
      </c>
      <c r="B16" s="27" t="s">
        <v>31</v>
      </c>
      <c r="C16" s="28">
        <v>199942</v>
      </c>
      <c r="D16" s="29" t="s">
        <v>32</v>
      </c>
      <c r="E16" s="14" t="str">
        <f t="shared" si="0"/>
        <v>LOW PRICE</v>
      </c>
      <c r="F16" s="14" t="str">
        <f t="shared" si="1"/>
        <v>R 350</v>
      </c>
      <c r="G16" s="14" t="str">
        <f t="shared" si="2"/>
        <v>FIREBA</v>
      </c>
      <c r="H16" s="14" t="str">
        <f t="shared" si="3"/>
        <v>L BLACK, RED, BLUE</v>
      </c>
    </row>
    <row r="17" spans="1:8" x14ac:dyDescent="0.3">
      <c r="A17" s="26" t="s">
        <v>30</v>
      </c>
      <c r="B17" s="27" t="s">
        <v>33</v>
      </c>
      <c r="C17" s="28">
        <v>215900</v>
      </c>
      <c r="D17" s="29" t="s">
        <v>34</v>
      </c>
      <c r="E17" s="14" t="str">
        <f t="shared" si="0"/>
        <v>HIGH PRICE</v>
      </c>
      <c r="F17" s="14" t="str">
        <f t="shared" si="1"/>
        <v>R 350</v>
      </c>
      <c r="G17" s="14" t="str">
        <f t="shared" si="2"/>
        <v>STELLA</v>
      </c>
      <c r="H17" s="14" t="str">
        <f t="shared" si="3"/>
        <v xml:space="preserve"> BLUE, RED, BLACK</v>
      </c>
    </row>
    <row r="18" spans="1:8" x14ac:dyDescent="0.3">
      <c r="A18" s="26" t="s">
        <v>30</v>
      </c>
      <c r="B18" s="27" t="s">
        <v>35</v>
      </c>
      <c r="C18" s="28">
        <v>219900</v>
      </c>
      <c r="D18" s="29" t="s">
        <v>36</v>
      </c>
      <c r="E18" s="14" t="str">
        <f t="shared" si="0"/>
        <v>HIGH PRICE</v>
      </c>
      <c r="F18" s="14" t="str">
        <f t="shared" si="1"/>
        <v>R 350</v>
      </c>
      <c r="G18" s="14" t="str">
        <f t="shared" si="2"/>
        <v>AURORA</v>
      </c>
      <c r="H18" s="14" t="str">
        <f t="shared" si="3"/>
        <v>BLUE, GREEN, BLACK</v>
      </c>
    </row>
    <row r="19" spans="1:8" x14ac:dyDescent="0.3">
      <c r="A19" s="26" t="s">
        <v>30</v>
      </c>
      <c r="B19" s="27" t="s">
        <v>37</v>
      </c>
      <c r="C19" s="28">
        <v>229900</v>
      </c>
      <c r="D19" s="29" t="s">
        <v>38</v>
      </c>
      <c r="E19" s="14" t="str">
        <f t="shared" si="0"/>
        <v>HIGH PRICE</v>
      </c>
      <c r="F19" s="14" t="str">
        <f t="shared" si="1"/>
        <v>R 350</v>
      </c>
      <c r="G19" s="14" t="str">
        <f t="shared" si="2"/>
        <v>SUPERN</v>
      </c>
      <c r="H19" s="14" t="str">
        <f t="shared" si="3"/>
        <v>VA BLUE, RED</v>
      </c>
    </row>
    <row r="20" spans="1:8" x14ac:dyDescent="0.3">
      <c r="A20" s="30" t="s">
        <v>39</v>
      </c>
      <c r="B20" s="31" t="s">
        <v>40</v>
      </c>
      <c r="C20" s="32">
        <v>203210</v>
      </c>
      <c r="D20" s="33" t="s">
        <v>41</v>
      </c>
      <c r="E20" s="14" t="str">
        <f t="shared" si="0"/>
        <v>HIGH PRICE</v>
      </c>
      <c r="F20" s="14" t="str">
        <f t="shared" si="1"/>
        <v>N 411</v>
      </c>
      <c r="G20" s="14" t="str">
        <f t="shared" si="2"/>
        <v>GRAPHI</v>
      </c>
      <c r="H20" s="14" t="str">
        <f t="shared" si="3"/>
        <v>E YELLOW, RED, BLU</v>
      </c>
    </row>
    <row r="21" spans="1:8" x14ac:dyDescent="0.3">
      <c r="A21" s="30" t="s">
        <v>39</v>
      </c>
      <c r="B21" s="31" t="s">
        <v>42</v>
      </c>
      <c r="C21" s="32">
        <v>208257</v>
      </c>
      <c r="D21" s="33" t="s">
        <v>41</v>
      </c>
      <c r="E21" s="14" t="str">
        <f t="shared" si="0"/>
        <v>HIGH PRICE</v>
      </c>
      <c r="F21" s="14" t="str">
        <f t="shared" si="1"/>
        <v>N 411</v>
      </c>
      <c r="G21" s="14" t="str">
        <f t="shared" si="2"/>
        <v>SKYLIN</v>
      </c>
      <c r="H21" s="14" t="str">
        <f t="shared" si="3"/>
        <v xml:space="preserve"> BLUE, BLAZING BLA</v>
      </c>
    </row>
    <row r="22" spans="1:8" x14ac:dyDescent="0.3">
      <c r="A22" s="30" t="s">
        <v>39</v>
      </c>
      <c r="B22" s="31" t="s">
        <v>43</v>
      </c>
      <c r="C22" s="32">
        <v>211984</v>
      </c>
      <c r="D22" s="33" t="s">
        <v>41</v>
      </c>
      <c r="E22" s="14" t="str">
        <f t="shared" si="0"/>
        <v>HIGH PRICE</v>
      </c>
      <c r="F22" s="14" t="str">
        <f t="shared" si="1"/>
        <v>N 411</v>
      </c>
      <c r="G22" s="14" t="str">
        <f t="shared" si="2"/>
        <v xml:space="preserve">WHITE </v>
      </c>
      <c r="H22" s="14" t="str">
        <f t="shared" si="3"/>
        <v>LAME, SILVER SPIRI</v>
      </c>
    </row>
    <row r="23" spans="1:8" x14ac:dyDescent="0.3">
      <c r="A23" s="34" t="s">
        <v>44</v>
      </c>
      <c r="B23" s="35" t="s">
        <v>45</v>
      </c>
      <c r="C23" s="36">
        <v>285000</v>
      </c>
      <c r="D23" s="37" t="s">
        <v>46</v>
      </c>
      <c r="E23" s="14" t="str">
        <f t="shared" si="0"/>
        <v>HIGH PRICE</v>
      </c>
      <c r="F23" s="14" t="str">
        <f t="shared" si="1"/>
        <v>N 450</v>
      </c>
      <c r="G23" s="14" t="str">
        <f t="shared" si="2"/>
        <v>KAZA B</v>
      </c>
      <c r="H23" s="14" t="str">
        <f t="shared" si="3"/>
        <v>OWN</v>
      </c>
    </row>
    <row r="24" spans="1:8" x14ac:dyDescent="0.3">
      <c r="A24" s="34" t="s">
        <v>44</v>
      </c>
      <c r="B24" s="35" t="s">
        <v>47</v>
      </c>
      <c r="C24" s="36">
        <v>289000</v>
      </c>
      <c r="D24" s="37" t="s">
        <v>46</v>
      </c>
      <c r="E24" s="14" t="str">
        <f t="shared" si="0"/>
        <v>HIGH PRICE</v>
      </c>
      <c r="F24" s="14" t="str">
        <f t="shared" si="1"/>
        <v>N 450</v>
      </c>
      <c r="G24" s="14" t="str">
        <f t="shared" si="2"/>
        <v xml:space="preserve">SLATE </v>
      </c>
      <c r="H24" s="14" t="str">
        <f t="shared" si="3"/>
        <v>IMALAYAN SALT, SLA</v>
      </c>
    </row>
    <row r="25" spans="1:8" x14ac:dyDescent="0.3">
      <c r="A25" s="34" t="s">
        <v>44</v>
      </c>
      <c r="B25" s="35" t="s">
        <v>48</v>
      </c>
      <c r="C25" s="36">
        <v>293000</v>
      </c>
      <c r="D25" s="37" t="s">
        <v>46</v>
      </c>
      <c r="E25" s="14" t="str">
        <f t="shared" si="0"/>
        <v>HIGH PRICE</v>
      </c>
      <c r="F25" s="14" t="str">
        <f t="shared" si="1"/>
        <v>N 450</v>
      </c>
      <c r="G25" s="14" t="str">
        <f t="shared" si="2"/>
        <v xml:space="preserve">KAMET </v>
      </c>
      <c r="H25" s="14" t="str">
        <f t="shared" si="3"/>
        <v>HITE</v>
      </c>
    </row>
    <row r="26" spans="1:8" x14ac:dyDescent="0.3">
      <c r="A26" s="34" t="s">
        <v>44</v>
      </c>
      <c r="B26" s="35" t="s">
        <v>49</v>
      </c>
      <c r="C26" s="36">
        <v>298000</v>
      </c>
      <c r="D26" s="37" t="s">
        <v>46</v>
      </c>
      <c r="E26" s="14" t="str">
        <f t="shared" si="0"/>
        <v>HIGH PRICE</v>
      </c>
      <c r="F26" s="14" t="str">
        <f t="shared" si="1"/>
        <v>N 450</v>
      </c>
      <c r="G26" s="14" t="str">
        <f t="shared" si="2"/>
        <v xml:space="preserve">HANLE </v>
      </c>
      <c r="H26" s="14" t="str">
        <f t="shared" si="3"/>
        <v>LACK</v>
      </c>
    </row>
    <row r="27" spans="1:8" x14ac:dyDescent="0.3">
      <c r="A27" s="38" t="s">
        <v>50</v>
      </c>
      <c r="B27" s="39" t="s">
        <v>51</v>
      </c>
      <c r="C27" s="40">
        <v>301000</v>
      </c>
      <c r="D27" s="41" t="s">
        <v>52</v>
      </c>
      <c r="E27" s="14" t="str">
        <f t="shared" si="0"/>
        <v>HIGH PRICE</v>
      </c>
      <c r="F27" s="14" t="str">
        <f t="shared" si="1"/>
        <v>R 650</v>
      </c>
      <c r="G27" s="14" t="str">
        <f t="shared" si="2"/>
        <v>CANYON</v>
      </c>
      <c r="H27" s="14" t="str">
        <f t="shared" si="3"/>
        <v>RED, CALI GREEN</v>
      </c>
    </row>
    <row r="28" spans="1:8" x14ac:dyDescent="0.3">
      <c r="A28" s="38" t="s">
        <v>50</v>
      </c>
      <c r="B28" s="39" t="s">
        <v>53</v>
      </c>
      <c r="C28" s="40">
        <v>309000</v>
      </c>
      <c r="D28" s="41" t="s">
        <v>52</v>
      </c>
      <c r="E28" s="14" t="str">
        <f t="shared" si="0"/>
        <v>HIGH PRICE</v>
      </c>
      <c r="F28" s="14" t="str">
        <f t="shared" si="1"/>
        <v>R 650</v>
      </c>
      <c r="G28" s="14" t="str">
        <f t="shared" si="2"/>
        <v>SUNSET</v>
      </c>
      <c r="H28" s="14" t="str">
        <f t="shared" si="3"/>
        <v>STRIP BLACK, BLACK</v>
      </c>
    </row>
    <row r="29" spans="1:8" x14ac:dyDescent="0.3">
      <c r="A29" s="38" t="s">
        <v>50</v>
      </c>
      <c r="B29" s="39" t="s">
        <v>54</v>
      </c>
      <c r="C29" s="40">
        <v>319000</v>
      </c>
      <c r="D29" s="41" t="s">
        <v>55</v>
      </c>
      <c r="E29" s="14" t="str">
        <f t="shared" si="0"/>
        <v>HIGH PRICE</v>
      </c>
      <c r="F29" s="14" t="str">
        <f t="shared" si="1"/>
        <v>R 650</v>
      </c>
      <c r="G29" s="14" t="str">
        <f t="shared" si="2"/>
        <v>BARCEL</v>
      </c>
      <c r="H29" s="14" t="str">
        <f t="shared" si="3"/>
        <v>NA BLUE, BLACKRAY</v>
      </c>
    </row>
    <row r="30" spans="1:8" x14ac:dyDescent="0.3">
      <c r="A30" s="38" t="s">
        <v>50</v>
      </c>
      <c r="B30" s="39" t="s">
        <v>56</v>
      </c>
      <c r="C30" s="40">
        <v>328000</v>
      </c>
      <c r="D30" s="41" t="s">
        <v>52</v>
      </c>
      <c r="E30" s="14" t="str">
        <f t="shared" si="0"/>
        <v>HIGH PRICE</v>
      </c>
      <c r="F30" s="14" t="str">
        <f t="shared" si="1"/>
        <v>R 650</v>
      </c>
      <c r="G30" s="14" t="str">
        <f t="shared" si="2"/>
        <v>MARK T</v>
      </c>
      <c r="H30" s="14" t="str">
        <f t="shared" si="3"/>
        <v>O CROME</v>
      </c>
    </row>
    <row r="31" spans="1:8" x14ac:dyDescent="0.3">
      <c r="A31" s="42" t="s">
        <v>57</v>
      </c>
      <c r="B31" s="43" t="s">
        <v>58</v>
      </c>
      <c r="C31" s="44">
        <v>317000</v>
      </c>
      <c r="D31" s="45" t="s">
        <v>52</v>
      </c>
      <c r="E31" s="14" t="str">
        <f t="shared" si="0"/>
        <v>HIGH PRICE</v>
      </c>
      <c r="F31" s="14" t="str">
        <f t="shared" si="1"/>
        <v>T 650</v>
      </c>
      <c r="G31" s="14" t="str">
        <f t="shared" si="2"/>
        <v>ROCKER</v>
      </c>
      <c r="H31" s="14" t="str">
        <f t="shared" si="3"/>
        <v>RED, BRITISH RACIN</v>
      </c>
    </row>
    <row r="32" spans="1:8" x14ac:dyDescent="0.3">
      <c r="A32" s="42" t="s">
        <v>57</v>
      </c>
      <c r="B32" s="43" t="s">
        <v>59</v>
      </c>
      <c r="C32" s="44">
        <v>327000</v>
      </c>
      <c r="D32" s="45" t="s">
        <v>52</v>
      </c>
      <c r="E32" s="14" t="str">
        <f t="shared" si="0"/>
        <v>HIGH PRICE</v>
      </c>
      <c r="F32" s="14" t="str">
        <f t="shared" si="1"/>
        <v>T 650</v>
      </c>
      <c r="G32" s="14" t="str">
        <f t="shared" si="2"/>
        <v>DUX DE</v>
      </c>
      <c r="H32" s="14" t="str">
        <f t="shared" si="3"/>
        <v>UXUE</v>
      </c>
    </row>
    <row r="33" spans="1:8" x14ac:dyDescent="0.3">
      <c r="A33" s="42" t="s">
        <v>57</v>
      </c>
      <c r="B33" s="43" t="s">
        <v>60</v>
      </c>
      <c r="C33" s="44">
        <v>337000</v>
      </c>
      <c r="D33" s="45" t="s">
        <v>55</v>
      </c>
      <c r="E33" s="14" t="str">
        <f t="shared" si="0"/>
        <v>HIGH PRICE</v>
      </c>
      <c r="F33" s="14" t="str">
        <f t="shared" si="1"/>
        <v>T 650</v>
      </c>
      <c r="G33" s="14" t="str">
        <f t="shared" si="2"/>
        <v>APEX G</v>
      </c>
      <c r="H33" s="14" t="str">
        <f t="shared" si="3"/>
        <v>EY, SLIPSTREAM BLU</v>
      </c>
    </row>
    <row r="34" spans="1:8" x14ac:dyDescent="0.3">
      <c r="A34" s="42" t="s">
        <v>57</v>
      </c>
      <c r="B34" s="43" t="s">
        <v>61</v>
      </c>
      <c r="C34" s="44">
        <v>342000</v>
      </c>
      <c r="D34" s="45" t="s">
        <v>52</v>
      </c>
      <c r="E34" s="14" t="str">
        <f t="shared" si="0"/>
        <v>HIGH PRICE</v>
      </c>
      <c r="F34" s="14" t="str">
        <f t="shared" si="1"/>
        <v>T 650</v>
      </c>
      <c r="G34" s="14" t="str">
        <f t="shared" si="2"/>
        <v>Mr CLE</v>
      </c>
      <c r="H34" s="14" t="str">
        <f t="shared" si="3"/>
        <v>N CROME</v>
      </c>
    </row>
    <row r="35" spans="1:8" s="51" customFormat="1" x14ac:dyDescent="0.3">
      <c r="A35" s="46" t="s">
        <v>62</v>
      </c>
      <c r="B35" s="47" t="s">
        <v>63</v>
      </c>
      <c r="C35" s="48">
        <v>363900</v>
      </c>
      <c r="D35" s="49" t="s">
        <v>64</v>
      </c>
      <c r="E35" s="50" t="str">
        <f t="shared" si="0"/>
        <v>HIGH PRICE</v>
      </c>
      <c r="F35" s="50" t="str">
        <f t="shared" si="1"/>
        <v>R 650</v>
      </c>
      <c r="G35" s="50" t="str">
        <f t="shared" si="2"/>
        <v>ASTRAL</v>
      </c>
      <c r="H35" s="50" t="str">
        <f t="shared" si="3"/>
        <v>BLACK, ASTRAL BLUE</v>
      </c>
    </row>
    <row r="36" spans="1:8" s="51" customFormat="1" x14ac:dyDescent="0.3">
      <c r="A36" s="46" t="s">
        <v>62</v>
      </c>
      <c r="B36" s="47" t="s">
        <v>65</v>
      </c>
      <c r="C36" s="48">
        <v>379123</v>
      </c>
      <c r="D36" s="49" t="s">
        <v>64</v>
      </c>
      <c r="E36" s="50" t="str">
        <f t="shared" si="0"/>
        <v>HIGH PRICE</v>
      </c>
      <c r="F36" s="50" t="str">
        <f t="shared" si="1"/>
        <v>R 650</v>
      </c>
      <c r="G36" s="50" t="str">
        <f t="shared" si="2"/>
        <v>INTERS</v>
      </c>
      <c r="H36" s="50" t="str">
        <f t="shared" si="3"/>
        <v>ELLAR GREEN, INTER</v>
      </c>
    </row>
    <row r="37" spans="1:8" s="51" customFormat="1" x14ac:dyDescent="0.3">
      <c r="A37" s="46" t="s">
        <v>62</v>
      </c>
      <c r="B37" s="47" t="s">
        <v>66</v>
      </c>
      <c r="C37" s="48">
        <v>394347</v>
      </c>
      <c r="D37" s="49" t="s">
        <v>64</v>
      </c>
      <c r="E37" s="50" t="str">
        <f t="shared" si="0"/>
        <v>HIGH PRICE</v>
      </c>
      <c r="F37" s="50" t="str">
        <f t="shared" si="1"/>
        <v>R 650</v>
      </c>
      <c r="G37" s="50" t="str">
        <f t="shared" si="2"/>
        <v>CELEST</v>
      </c>
      <c r="H37" s="50" t="str">
        <f t="shared" si="3"/>
        <v xml:space="preserve">AL RED, CELESTIAL </v>
      </c>
    </row>
    <row r="38" spans="1:8" s="56" customFormat="1" x14ac:dyDescent="0.3">
      <c r="A38" s="52" t="s">
        <v>67</v>
      </c>
      <c r="B38" s="53" t="s">
        <v>68</v>
      </c>
      <c r="C38" s="54">
        <v>359430</v>
      </c>
      <c r="D38" s="55" t="s">
        <v>69</v>
      </c>
      <c r="E38" s="50" t="str">
        <f t="shared" si="0"/>
        <v>HIGH PRICE</v>
      </c>
      <c r="F38" s="50" t="str">
        <f t="shared" si="1"/>
        <v>N 650</v>
      </c>
      <c r="G38" s="50" t="str">
        <f t="shared" si="2"/>
        <v xml:space="preserve">SHEET </v>
      </c>
      <c r="H38" s="50" t="str">
        <f t="shared" si="3"/>
        <v>ETAL GREY</v>
      </c>
    </row>
    <row r="39" spans="1:8" s="56" customFormat="1" x14ac:dyDescent="0.3">
      <c r="A39" s="52" t="s">
        <v>67</v>
      </c>
      <c r="B39" s="53" t="s">
        <v>70</v>
      </c>
      <c r="C39" s="54">
        <v>370138</v>
      </c>
      <c r="D39" s="55" t="s">
        <v>69</v>
      </c>
      <c r="E39" s="50" t="str">
        <f t="shared" si="0"/>
        <v>HIGH PRICE</v>
      </c>
      <c r="F39" s="50" t="str">
        <f t="shared" si="1"/>
        <v>N 650</v>
      </c>
      <c r="G39" s="50" t="str">
        <f t="shared" si="2"/>
        <v xml:space="preserve">GREEN </v>
      </c>
      <c r="H39" s="50" t="str">
        <f t="shared" si="3"/>
        <v>RILL, PLASMA BLUE</v>
      </c>
    </row>
    <row r="40" spans="1:8" s="56" customFormat="1" ht="15" thickBot="1" x14ac:dyDescent="0.35">
      <c r="A40" s="57" t="s">
        <v>67</v>
      </c>
      <c r="B40" s="58" t="s">
        <v>71</v>
      </c>
      <c r="C40" s="59">
        <v>373000</v>
      </c>
      <c r="D40" s="60" t="s">
        <v>69</v>
      </c>
      <c r="E40" s="50" t="str">
        <f t="shared" si="0"/>
        <v>HIGH PRICE</v>
      </c>
      <c r="F40" s="50" t="str">
        <f t="shared" si="1"/>
        <v>N 650</v>
      </c>
      <c r="G40" s="50" t="str">
        <f t="shared" si="2"/>
        <v>STENCI</v>
      </c>
      <c r="H40" s="50" t="str">
        <f t="shared" si="3"/>
        <v xml:space="preserve"> WHITE</v>
      </c>
    </row>
    <row r="41" spans="1:8" ht="15.6" thickTop="1" thickBot="1" x14ac:dyDescent="0.35">
      <c r="A41" s="61">
        <f>SUBTOTAL(103,Table13[[MODEL NAME ]])</f>
        <v>38</v>
      </c>
      <c r="B41" s="62"/>
      <c r="C41" s="63">
        <f>SUBTOTAL(109,Table13[PRICE])</f>
        <v>9982538</v>
      </c>
    </row>
    <row r="42" spans="1:8" ht="15" thickTop="1" x14ac:dyDescent="0.3">
      <c r="B42" s="64"/>
      <c r="C42" s="65"/>
    </row>
    <row r="43" spans="1:8" x14ac:dyDescent="0.3">
      <c r="B43" s="66"/>
    </row>
    <row r="44" spans="1:8" ht="15" thickBot="1" x14ac:dyDescent="0.35">
      <c r="B44" s="64"/>
    </row>
    <row r="45" spans="1:8" ht="16.2" thickBot="1" x14ac:dyDescent="0.35">
      <c r="A45" s="79" t="s">
        <v>76</v>
      </c>
      <c r="B45" s="80"/>
      <c r="C45" s="81"/>
    </row>
    <row r="46" spans="1:8" ht="15" thickTop="1" x14ac:dyDescent="0.3">
      <c r="A46" s="71"/>
      <c r="B46" s="72"/>
      <c r="C46" s="73"/>
    </row>
    <row r="47" spans="1:8" ht="15.6" x14ac:dyDescent="0.3">
      <c r="A47" s="82" t="s">
        <v>80</v>
      </c>
      <c r="B47" s="75">
        <f>AVERAGE(Table14[PRICE])</f>
        <v>257877.05263157896</v>
      </c>
      <c r="C47" s="74"/>
      <c r="D47" s="67"/>
    </row>
    <row r="48" spans="1:8" ht="15.6" x14ac:dyDescent="0.3">
      <c r="A48" s="82" t="s">
        <v>77</v>
      </c>
      <c r="B48" s="75">
        <f>MEDIAN(Table14[PRICE])</f>
        <v>220445.5</v>
      </c>
      <c r="C48" s="74"/>
    </row>
    <row r="49" spans="1:3" ht="15.6" x14ac:dyDescent="0.3">
      <c r="A49" s="82" t="s">
        <v>78</v>
      </c>
      <c r="B49" s="75">
        <f>MODE(Table14[PRICE])</f>
        <v>201000</v>
      </c>
      <c r="C49" s="74"/>
    </row>
    <row r="50" spans="1:3" ht="15.6" x14ac:dyDescent="0.3">
      <c r="A50" s="82" t="s">
        <v>79</v>
      </c>
      <c r="B50" s="75">
        <f>STDEV(Table14[PRICE])</f>
        <v>73559.517475214161</v>
      </c>
      <c r="C50" s="74"/>
    </row>
    <row r="51" spans="1:3" ht="15.6" x14ac:dyDescent="0.3">
      <c r="A51" s="69" t="s">
        <v>81</v>
      </c>
      <c r="B51" s="75">
        <f>SUM(Table14[PRICE])</f>
        <v>9799328</v>
      </c>
      <c r="C51" s="74"/>
    </row>
    <row r="52" spans="1:3" ht="15.6" x14ac:dyDescent="0.3">
      <c r="A52" s="70" t="s">
        <v>82</v>
      </c>
      <c r="B52" s="75">
        <v>38</v>
      </c>
      <c r="C52" s="74"/>
    </row>
    <row r="53" spans="1:3" ht="15.6" x14ac:dyDescent="0.3">
      <c r="A53" s="69" t="s">
        <v>83</v>
      </c>
      <c r="B53" s="75">
        <f>MIN(Table14[PRICE])</f>
        <v>149900</v>
      </c>
      <c r="C53" s="74"/>
    </row>
    <row r="54" spans="1:3" ht="15.6" x14ac:dyDescent="0.3">
      <c r="A54" s="69" t="s">
        <v>84</v>
      </c>
      <c r="B54" s="75">
        <f>MAX(Table14[PRICE])</f>
        <v>394347</v>
      </c>
      <c r="C54" s="74"/>
    </row>
    <row r="55" spans="1:3" ht="15.6" x14ac:dyDescent="0.3">
      <c r="A55" s="69" t="s">
        <v>85</v>
      </c>
      <c r="B55" s="75">
        <f>AVERAGE(Table14[PRICE])</f>
        <v>257877.05263157896</v>
      </c>
      <c r="C55" s="74"/>
    </row>
    <row r="56" spans="1:3" x14ac:dyDescent="0.3">
      <c r="A56" s="70" t="s">
        <v>86</v>
      </c>
      <c r="B56" s="84" t="s">
        <v>72</v>
      </c>
      <c r="C56" s="85" t="s">
        <v>73</v>
      </c>
    </row>
    <row r="57" spans="1:3" ht="15.6" x14ac:dyDescent="0.3">
      <c r="A57" s="82" t="s">
        <v>74</v>
      </c>
      <c r="B57" s="75">
        <f>SUMIF(Table14[PRICE HIGH /LOW],"HIGH PRICE",Table14[PRICE])</f>
        <v>7966278</v>
      </c>
      <c r="C57" s="76">
        <f>SUMIF(Table14[PRICE HIGH /LOW],"LOW PRICE",Table14[PRICE])</f>
        <v>1833050</v>
      </c>
    </row>
    <row r="58" spans="1:3" ht="16.2" thickBot="1" x14ac:dyDescent="0.35">
      <c r="A58" s="83" t="s">
        <v>75</v>
      </c>
      <c r="B58" s="77">
        <f>COUNTIF(Table14[PRICE HIGH /LOW],"HIGH PRICE")</f>
        <v>28</v>
      </c>
      <c r="C58" s="78">
        <f>COUNTIF(Table14[PRICE HIGH /LOW],"LOW PRICE")</f>
        <v>10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1.Filtering by Price </vt:lpstr>
      <vt:lpstr>2.Category-based Filtering</vt:lpstr>
      <vt:lpstr>3.Sorting by Price</vt:lpstr>
      <vt:lpstr>4.Multilevel Sorting</vt:lpstr>
      <vt:lpstr>5.VLOOKUP for Category Info</vt:lpstr>
      <vt:lpstr>6.HLOOKUP for Price Info</vt:lpstr>
      <vt:lpstr>origial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jishnu e</dc:creator>
  <cp:lastModifiedBy>jishnu e</cp:lastModifiedBy>
  <dcterms:created xsi:type="dcterms:W3CDTF">2024-06-04T06:19:58Z</dcterms:created>
  <dcterms:modified xsi:type="dcterms:W3CDTF">2024-06-04T18:22:17Z</dcterms:modified>
</cp:coreProperties>
</file>