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
    </mc:Choice>
  </mc:AlternateContent>
  <bookViews>
    <workbookView xWindow="0" yWindow="456" windowWidth="18120" windowHeight="19440" activeTab="2"/>
  </bookViews>
  <sheets>
    <sheet name="Stratified_Data" sheetId="6" r:id="rId1"/>
    <sheet name="Total_Data" sheetId="7"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F9" i="7"/>
  <c r="E9" i="7"/>
  <c r="C9" i="7"/>
  <c r="G8" i="7"/>
  <c r="F8" i="7"/>
  <c r="E8" i="7"/>
  <c r="C8" i="7"/>
  <c r="G7" i="7"/>
  <c r="F7" i="7"/>
  <c r="E7" i="7"/>
  <c r="C7" i="7"/>
  <c r="G6" i="7"/>
  <c r="F6" i="7"/>
  <c r="E6" i="7"/>
  <c r="C6" i="7"/>
  <c r="Y17" i="6"/>
  <c r="X17" i="6"/>
  <c r="W17" i="6"/>
  <c r="Y16" i="6"/>
  <c r="X16" i="6"/>
  <c r="W16" i="6"/>
  <c r="Y15" i="6"/>
  <c r="X15" i="6"/>
  <c r="W15" i="6"/>
  <c r="Y14" i="6"/>
  <c r="X14" i="6"/>
  <c r="W14" i="6"/>
  <c r="Y13" i="6"/>
  <c r="Y12" i="6"/>
  <c r="Y11" i="6"/>
  <c r="Y10" i="6"/>
  <c r="Y9" i="6"/>
  <c r="X13" i="6"/>
  <c r="X12" i="6"/>
  <c r="X11" i="6"/>
  <c r="X10" i="6"/>
  <c r="X9" i="6"/>
  <c r="W13" i="6"/>
  <c r="W12" i="6"/>
  <c r="W11" i="6"/>
  <c r="W10" i="6"/>
  <c r="W9" i="6"/>
  <c r="Y8" i="6"/>
  <c r="X8" i="6"/>
  <c r="W8" i="6"/>
  <c r="Y7" i="6"/>
  <c r="X7" i="6"/>
  <c r="W7" i="6"/>
  <c r="Y6" i="6"/>
  <c r="X6" i="6"/>
  <c r="W6" i="6"/>
  <c r="Y5" i="6"/>
  <c r="X5" i="6"/>
  <c r="W5" i="6"/>
  <c r="Y4" i="6"/>
  <c r="X4" i="6"/>
  <c r="W4" i="6"/>
  <c r="V17" i="6"/>
  <c r="V15" i="6"/>
  <c r="V13" i="6"/>
  <c r="V12" i="6"/>
  <c r="V11" i="6"/>
  <c r="V10" i="6"/>
  <c r="V9" i="6"/>
  <c r="Y3" i="6"/>
  <c r="X3" i="6"/>
  <c r="W3" i="6"/>
  <c r="U17" i="6"/>
  <c r="U16" i="6"/>
  <c r="U15" i="6"/>
  <c r="U14" i="6"/>
  <c r="U13" i="6"/>
  <c r="U12" i="6"/>
  <c r="U11" i="6"/>
  <c r="U10" i="6"/>
  <c r="U9" i="6"/>
  <c r="U8" i="6"/>
  <c r="U7" i="6"/>
  <c r="U6" i="6"/>
  <c r="U5" i="6"/>
  <c r="U4" i="6"/>
  <c r="T17" i="6"/>
  <c r="T15" i="6"/>
  <c r="T13" i="6"/>
  <c r="T12" i="6"/>
  <c r="T11" i="6"/>
  <c r="T10" i="6"/>
  <c r="T9" i="6"/>
  <c r="U3" i="6"/>
  <c r="P17" i="6"/>
  <c r="S17" i="6"/>
  <c r="R17" i="6"/>
  <c r="Q17" i="6"/>
  <c r="S16" i="6"/>
  <c r="R16" i="6"/>
  <c r="Q16" i="6"/>
  <c r="P15" i="6"/>
  <c r="S15" i="6"/>
  <c r="R15" i="6"/>
  <c r="Q15" i="6"/>
  <c r="S14" i="6"/>
  <c r="R14" i="6"/>
  <c r="Q14" i="6"/>
  <c r="P13" i="6"/>
  <c r="S13" i="6"/>
  <c r="P12" i="6"/>
  <c r="S12" i="6"/>
  <c r="P11" i="6"/>
  <c r="S11" i="6"/>
  <c r="P10" i="6"/>
  <c r="S10" i="6"/>
  <c r="P9" i="6"/>
  <c r="S9" i="6"/>
  <c r="R13" i="6"/>
  <c r="R12" i="6"/>
  <c r="R11" i="6"/>
  <c r="R10" i="6"/>
  <c r="R9" i="6"/>
  <c r="Q13" i="6"/>
  <c r="Q12" i="6"/>
  <c r="Q11" i="6"/>
  <c r="Q10" i="6"/>
  <c r="Q9" i="6"/>
  <c r="S8" i="6"/>
  <c r="R8" i="6"/>
  <c r="Q8" i="6"/>
  <c r="S7" i="6"/>
  <c r="R7" i="6"/>
  <c r="Q7" i="6"/>
  <c r="S6" i="6"/>
  <c r="R6" i="6"/>
  <c r="Q6" i="6"/>
  <c r="S5" i="6"/>
  <c r="R5" i="6"/>
  <c r="Q5" i="6"/>
  <c r="S4" i="6"/>
  <c r="R4" i="6"/>
  <c r="Q4" i="6"/>
  <c r="S3" i="6"/>
  <c r="R3" i="6"/>
  <c r="Q3" i="6"/>
  <c r="N17" i="6"/>
  <c r="O17" i="6"/>
  <c r="O16" i="6"/>
  <c r="N15" i="6"/>
  <c r="O15" i="6"/>
  <c r="O14" i="6"/>
  <c r="N13" i="6"/>
  <c r="O13" i="6"/>
  <c r="N12" i="6"/>
  <c r="O12" i="6"/>
  <c r="N11" i="6"/>
  <c r="O11" i="6"/>
  <c r="N10" i="6"/>
  <c r="O10" i="6"/>
  <c r="N9" i="6"/>
  <c r="O9" i="6"/>
  <c r="O8" i="6"/>
  <c r="O7" i="6"/>
  <c r="O6" i="6"/>
  <c r="O5" i="6"/>
  <c r="O4" i="6"/>
  <c r="O3" i="6"/>
  <c r="D17" i="6"/>
  <c r="G17" i="6"/>
  <c r="F17" i="6"/>
  <c r="E17" i="6"/>
  <c r="G16" i="6"/>
  <c r="F16" i="6"/>
  <c r="E16" i="6"/>
  <c r="D15" i="6"/>
  <c r="G15" i="6"/>
  <c r="F15" i="6"/>
  <c r="E15" i="6"/>
  <c r="G14" i="6"/>
  <c r="F14" i="6"/>
  <c r="E14" i="6"/>
  <c r="D13" i="6"/>
  <c r="G13" i="6"/>
  <c r="D12" i="6"/>
  <c r="G12" i="6"/>
  <c r="D11" i="6"/>
  <c r="G11" i="6"/>
  <c r="D10" i="6"/>
  <c r="G10" i="6"/>
  <c r="F13" i="6"/>
  <c r="F12" i="6"/>
  <c r="F11" i="6"/>
  <c r="F10" i="6"/>
  <c r="E13" i="6"/>
  <c r="E12" i="6"/>
  <c r="E11" i="6"/>
  <c r="E10" i="6"/>
  <c r="D9" i="6"/>
  <c r="G9" i="6"/>
  <c r="F9" i="6"/>
  <c r="E9" i="6"/>
  <c r="G8" i="6"/>
  <c r="F8" i="6"/>
  <c r="E8" i="6"/>
  <c r="G7" i="6"/>
  <c r="F7" i="6"/>
  <c r="E7" i="6"/>
  <c r="G6" i="6"/>
  <c r="F6" i="6"/>
  <c r="E6" i="6"/>
  <c r="G5" i="6"/>
  <c r="F5" i="6"/>
  <c r="E5" i="6"/>
  <c r="G4" i="6"/>
  <c r="F4" i="6"/>
  <c r="E4" i="6"/>
  <c r="G3" i="6"/>
  <c r="F3" i="6"/>
  <c r="E3" i="6"/>
  <c r="B17" i="6"/>
  <c r="C17" i="6"/>
  <c r="C16" i="6"/>
  <c r="B15" i="6"/>
  <c r="C15" i="6"/>
  <c r="C14" i="6"/>
  <c r="B13" i="6"/>
  <c r="C13" i="6"/>
  <c r="B12" i="6"/>
  <c r="C12" i="6"/>
  <c r="B11" i="6"/>
  <c r="C11" i="6"/>
  <c r="B10" i="6"/>
  <c r="C10" i="6"/>
  <c r="B9" i="6"/>
  <c r="C9" i="6"/>
  <c r="C8" i="6"/>
  <c r="C7" i="6"/>
  <c r="C6" i="6"/>
  <c r="C5" i="6"/>
  <c r="C4" i="6"/>
  <c r="C3" i="6"/>
  <c r="J13" i="6"/>
  <c r="M13" i="6"/>
  <c r="J12" i="6"/>
  <c r="M12" i="6"/>
  <c r="J11" i="6"/>
  <c r="M11" i="6"/>
  <c r="J10" i="6"/>
  <c r="M10" i="6"/>
  <c r="J9" i="6"/>
  <c r="M9" i="6"/>
  <c r="M8" i="6"/>
  <c r="M7" i="6"/>
  <c r="M6" i="6"/>
  <c r="M5" i="6"/>
  <c r="M4" i="6"/>
  <c r="J17" i="6"/>
  <c r="L17" i="6"/>
  <c r="L16" i="6"/>
  <c r="J15" i="6"/>
  <c r="L15" i="6"/>
  <c r="L14" i="6"/>
  <c r="L13" i="6"/>
  <c r="L12" i="6"/>
  <c r="L11" i="6"/>
  <c r="L10" i="6"/>
  <c r="L9" i="6"/>
  <c r="L8" i="6"/>
  <c r="L7" i="6"/>
  <c r="L6" i="6"/>
  <c r="L5" i="6"/>
  <c r="L4" i="6"/>
  <c r="K17" i="6"/>
  <c r="K16" i="6"/>
  <c r="K15" i="6"/>
  <c r="K14" i="6"/>
  <c r="K11" i="6"/>
  <c r="K13" i="6"/>
  <c r="K12" i="6"/>
  <c r="K10" i="6"/>
  <c r="K9" i="6"/>
  <c r="K8" i="6"/>
  <c r="K7" i="6"/>
  <c r="K6" i="6"/>
  <c r="K5" i="6"/>
  <c r="K4" i="6"/>
  <c r="M3" i="6"/>
  <c r="L3" i="6"/>
  <c r="K3" i="6"/>
  <c r="H17" i="6"/>
  <c r="I17" i="6"/>
  <c r="I16" i="6"/>
  <c r="H15" i="6"/>
  <c r="I15" i="6"/>
  <c r="I14" i="6"/>
  <c r="H13" i="6"/>
  <c r="I13" i="6"/>
  <c r="H12" i="6"/>
  <c r="I12" i="6"/>
  <c r="H11" i="6"/>
  <c r="I11" i="6"/>
  <c r="H10" i="6"/>
  <c r="I10" i="6"/>
  <c r="H9" i="6"/>
  <c r="I9" i="6"/>
  <c r="I8" i="6"/>
  <c r="I7" i="6"/>
  <c r="I6" i="6"/>
  <c r="I5" i="6"/>
  <c r="I4" i="6"/>
  <c r="I3" i="6"/>
  <c r="G5" i="7"/>
  <c r="F5" i="7"/>
  <c r="E5" i="7"/>
  <c r="C5" i="7"/>
  <c r="G4" i="7"/>
  <c r="F4" i="7"/>
  <c r="E4" i="7"/>
  <c r="C4" i="7"/>
  <c r="G3" i="7"/>
  <c r="F3" i="7"/>
  <c r="E3" i="7"/>
  <c r="C3" i="7"/>
  <c r="G2" i="7"/>
  <c r="F2" i="7"/>
  <c r="E2" i="7"/>
  <c r="C2" i="7"/>
  <c r="AE3" i="6"/>
  <c r="AD3" i="6"/>
  <c r="AC3" i="6"/>
  <c r="AA3" i="6"/>
  <c r="AK3" i="6"/>
  <c r="AJ3" i="6"/>
  <c r="AI3" i="6"/>
  <c r="AG3" i="6"/>
  <c r="AQ3" i="6"/>
  <c r="AP3" i="6"/>
  <c r="AO3" i="6"/>
  <c r="AM3" i="6"/>
  <c r="AW3" i="6"/>
  <c r="AV3" i="6"/>
  <c r="AU3" i="6"/>
  <c r="AS3" i="6"/>
</calcChain>
</file>

<file path=xl/comments1.xml><?xml version="1.0" encoding="utf-8"?>
<comments xmlns="http://schemas.openxmlformats.org/spreadsheetml/2006/main">
  <authors>
    <author>tc={51D9DE27-C023-D543-ACE0-E2D96F4536B3}</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<sst xmlns="http://schemas.openxmlformats.org/spreadsheetml/2006/main" count="125" uniqueCount="72">
  <si>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</si>
  <si>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</si>
  <si>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</si>
  <si>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</si>
  <si>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</si>
  <si>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</si>
  <si>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</si>
  <si>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</si>
  <si>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</si>
  <si>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</si>
  <si>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</si>
  <si>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</si>
  <si>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</si>
  <si>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</si>
  <si>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</si>
  <si>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</si>
  <si>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</si>
  <si>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</si>
  <si>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</si>
  <si>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</si>
  <si>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</si>
  <si>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</si>
  <si>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</si>
  <si>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</si>
  <si>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</si>
  <si>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</si>
  <si>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</si>
  <si>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</si>
  <si>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</si>
  <si>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</si>
  <si>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</si>
  <si>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</si>
  <si>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</si>
  <si>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</si>
  <si>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</si>
  <si>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</si>
  <si>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</si>
  <si>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</si>
  <si>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</si>
  <si>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</si>
  <si>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</si>
  <si>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</si>
  <si>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</si>
  <si>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</si>
  <si>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 xml:space="preserve">Other counties in MSA: </t>
  </si>
  <si>
    <t>Ohio data</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</si>
  <si>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</si>
  <si>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</si>
  <si>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</si>
  <si>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</si>
  <si>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</si>
  <si>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</si>
  <si>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</si>
  <si>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</si>
  <si>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</si>
  <si>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</si>
  <si>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</si>
  <si>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</si>
  <si>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</si>
  <si>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https://www.hamiltoncountyhealth.org/resources/reports/</t>
  </si>
  <si>
    <t>https://odh.ohio.gov/wps/portal/gov/odh/know-our-programs/hiv-aids-surveillance-program/resources/ohio-hiv-surveillance-annual-report</t>
  </si>
  <si>
    <t>https://odh.ohio.gov/wps/portal/gov/odh/know-our-programs/hiv-aids-surveillance-program/resources/hamilton-county-hiv-surveillance-data-tables</t>
  </si>
  <si>
    <t>https://odh.ohio.gov/wps/portal/gov/odh/know-our-programs/hiv-aids-surveillance-program/Data-and-Statistics/</t>
  </si>
  <si>
    <t>https://odh.ohio.gov/wps/wcm/connect/gov/b152089f-2ddb-435f-8d8f-27dff20afc5b/Ohio+HIV+Care+Continuum+2018.pdf?MOD=AJPERES&amp;CONVERT_TO=url&amp;CACHEID=ROOTWORKSPACE.Z18_M1HGGIK0N0JO00QO9DDDDM3000-b152089f-2ddb-435f-8d8f-27dff20afc5b-n8JdmDj</t>
  </si>
  <si>
    <t>Cuyahoga County</t>
  </si>
  <si>
    <t>Lorain County</t>
  </si>
  <si>
    <t>Lake County</t>
  </si>
  <si>
    <t>Medina County</t>
  </si>
  <si>
    <t>Geauga County</t>
  </si>
  <si>
    <t>Region 3/Part A-Cleveland data: Ashtabula, Cuyahoga, Geauga, Lake, Lorain, Medina</t>
  </si>
  <si>
    <t>Region 3/Part A-Cleveland data</t>
  </si>
  <si>
    <t>https://odh.ohio.gov/wps/wcm/connect/gov/c36c5c0e-f795-476b-9ebe-4d39946406fa/Region+3+HIV+Care+Continuum+2018.pdf?MOD=AJPERES&amp;CONVERT_TO=url&amp;CACHEID=ROOTWORKSPACE.Z18_M1HGGIK0N0JO00QO9DDDDM3000-c36c5c0e-f795-476b-9ebe-4d39946406fa-niOebGY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</si>
</sst>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9">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2" fillId="0" borderId="0" xfId="1"/>
    <xf numFmtId="0" fontId="0" fillId="0" borderId="0" xfId="0" applyFill="1"/>
    <xf numFmtId="0" fontId="0" fillId="0" borderId="0" xfId="0" applyFont="1" applyFill="1"/>
    <xf numFmtId="0" fontId="3" fillId="0" borderId="0" xfId="1" applyFont="1"/>
    <xf numFmtId="3" fontId="0" fillId="0" borderId="0" xfId="0" applyNumberFormat="1"/>
    <xf numFmtId="9" fontId="0" fillId="0" borderId="0" xfId="0" applyNumberFormat="1"/>
    <xf numFmtId="0" fontId="0" fillId="0" borderId="0" xfId="2" applyNumberFormat="1" applyFont="1"/>
    <xf numFmtId="3"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1" fillId="2" borderId="0" xfId="0" applyFont="1" applyFill="1"/>
    <xf numFmtId="0" fontId="1" fillId="3" borderId="0" xfId="0" applyFont="1" applyFill="1"/>
    <xf numFmtId="0" fontId="0" fillId="2" borderId="2" xfId="0" applyFill="1" applyBorder="1"/>
    <xf numFmtId="2" fontId="0" fillId="2" borderId="2" xfId="0" applyNumberFormat="1" applyFill="1" applyBorder="1"/>
    <xf numFmtId="1" fontId="0" fillId="3" borderId="2" xfId="0" applyNumberFormat="1" applyFill="1" applyBorder="1"/>
    <xf numFmtId="2" fontId="0" fillId="3" borderId="2" xfId="0" applyNumberFormat="1" applyFill="1" applyBorder="1"/>
    <xf numFmtId="0" fontId="0" fillId="3" borderId="2" xfId="0" applyFill="1" applyBorder="1"/>
    <xf numFmtId="2" fontId="0" fillId="2" borderId="3" xfId="0" applyNumberFormat="1" applyFill="1" applyBorder="1"/>
    <xf numFmtId="1" fontId="0" fillId="2" borderId="3" xfId="0" applyNumberFormat="1" applyFill="1" applyBorder="1"/>
    <xf numFmtId="0" fontId="0" fillId="2" borderId="3" xfId="0" applyFill="1" applyBorder="1"/>
    <xf numFmtId="1" fontId="0" fillId="3" borderId="3" xfId="0" applyNumberFormat="1" applyFill="1" applyBorder="1"/>
    <xf numFmtId="2" fontId="0" fillId="3" borderId="3" xfId="0" applyNumberFormat="1" applyFill="1" applyBorder="1"/>
    <xf numFmtId="0" fontId="0" fillId="3" borderId="3" xfId="0" applyFill="1" applyBorder="1"/>
    <xf numFmtId="2" fontId="0" fillId="2" borderId="0" xfId="0" applyNumberFormat="1" applyFill="1"/>
    <xf numFmtId="1" fontId="0" fillId="2" borderId="0" xfId="0" applyNumberFormat="1" applyFill="1"/>
    <xf numFmtId="0" fontId="0" fillId="2" borderId="0" xfId="0" applyFill="1"/>
    <xf numFmtId="1" fontId="0" fillId="3" borderId="0" xfId="0" applyNumberFormat="1" applyFill="1"/>
    <xf numFmtId="2" fontId="0" fillId="3" borderId="0" xfId="0" applyNumberFormat="1" applyFill="1"/>
    <xf numFmtId="0" fontId="0" fillId="3" borderId="0" xfId="0" applyFill="1"/>
    <xf numFmtId="2" fontId="0" fillId="2" borderId="1" xfId="0" applyNumberFormat="1" applyFill="1" applyBorder="1"/>
    <xf numFmtId="1" fontId="0" fillId="2" borderId="1" xfId="0" applyNumberFormat="1" applyFill="1" applyBorder="1"/>
    <xf numFmtId="0" fontId="0" fillId="2" borderId="1" xfId="0" applyFill="1" applyBorder="1"/>
    <xf numFmtId="1" fontId="0" fillId="3" borderId="1" xfId="0" applyNumberFormat="1" applyFill="1" applyBorder="1"/>
    <xf numFmtId="2" fontId="0" fillId="3" borderId="1" xfId="0" applyNumberFormat="1" applyFill="1" applyBorder="1"/>
    <xf numFmtId="0" fontId="0" fillId="3" borderId="1" xfId="0" applyFill="1" applyBorder="1"/>
    <xf numFmtId="0" fontId="0" fillId="0" borderId="0" xfId="0" applyFont="1"/>
    <xf numFmtId="2" fontId="0" fillId="3" borderId="0" xfId="0" applyNumberFormat="1" applyFon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08ABA770-D953-5345-9395-3DCD60F75302}"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08ABA770-D953-5345-9395-3DCD60F75302}" id="{51D9DE27-C023-D543-ACE0-E2D96F4536B3}">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3"/>
  <sheetViews>
    <sheetView zoomScale="120" zoomScaleNormal="120" workbookViewId="0">
      <pane xSplit="1" ySplit="1" topLeftCell="B2" activePane="bottomRight" state="frozen"/>
      <selection pane="topRight" activeCell="B1" sqref="B1"/>
      <selection pane="bottomLeft" activeCell="A2" sqref="A2"/>
      <selection pane="bottomRight"/>
    </sheetView>
  </sheetViews>
  <sheetFormatPr defaultColWidth="8.77734375" defaultRowHeight="14.4" x14ac:dyDescent="0.3"/>
  <cols>
    <col min="1" max="1" width="13.33203125" style="1" customWidth="1"/>
  </cols>
  <sheetData>
    <row r="1" spans="1:49" s="1" customFormat="1" x14ac:dyDescent="0.3">
      <c r="A1" s="1" t="s">
        <v>22</v>
      </c>
      <c r="B1" s="33" t="s">
        <v>19</v>
      </c>
      <c r="C1" s="33" t="s">
        <v>18</v>
      </c>
      <c r="D1" s="33" t="s">
        <v>17</v>
      </c>
      <c r="E1" s="33" t="s">
        <v>21</v>
      </c>
      <c r="F1" s="33" t="s">
        <v>25</v>
      </c>
      <c r="G1" s="33" t="s">
        <v>16</v>
      </c>
      <c r="H1" s="33" t="s">
        <v>19</v>
      </c>
      <c r="I1" s="33" t="s">
        <v>18</v>
      </c>
      <c r="J1" s="33" t="s">
        <v>17</v>
      </c>
      <c r="K1" s="33" t="s">
        <v>21</v>
      </c>
      <c r="L1" s="33" t="s">
        <v>25</v>
      </c>
      <c r="M1" s="33" t="s">
        <v>16</v>
      </c>
      <c r="N1" s="33" t="s">
        <v>19</v>
      </c>
      <c r="O1" s="33" t="s">
        <v>18</v>
      </c>
      <c r="P1" s="33" t="s">
        <v>17</v>
      </c>
      <c r="Q1" s="33" t="s">
        <v>21</v>
      </c>
      <c r="R1" s="33" t="s">
        <v>25</v>
      </c>
      <c r="S1" s="33" t="s">
        <v>16</v>
      </c>
      <c r="T1" s="33" t="s">
        <v>19</v>
      </c>
      <c r="U1" s="33" t="s">
        <v>18</v>
      </c>
      <c r="V1" s="33" t="s">
        <v>17</v>
      </c>
      <c r="W1" s="33" t="s">
        <v>21</v>
      </c>
      <c r="X1" s="33" t="s">
        <v>25</v>
      </c>
      <c r="Y1" s="33" t="s">
        <v>16</v>
      </c>
      <c r="Z1" s="32" t="s">
        <v>19</v>
      </c>
      <c r="AA1" s="32" t="s">
        <v>18</v>
      </c>
      <c r="AB1" s="32" t="s">
        <v>17</v>
      </c>
      <c r="AC1" s="32" t="s">
        <v>21</v>
      </c>
      <c r="AD1" s="32" t="s">
        <v>25</v>
      </c>
      <c r="AE1" s="32" t="s">
        <v>16</v>
      </c>
      <c r="AF1" s="32" t="s">
        <v>19</v>
      </c>
      <c r="AG1" s="32" t="s">
        <v>18</v>
      </c>
      <c r="AH1" s="32" t="s">
        <v>17</v>
      </c>
      <c r="AI1" s="32" t="s">
        <v>21</v>
      </c>
      <c r="AJ1" s="32" t="s">
        <v>25</v>
      </c>
      <c r="AK1" s="32" t="s">
        <v>16</v>
      </c>
      <c r="AL1" s="32" t="s">
        <v>19</v>
      </c>
      <c r="AM1" s="32" t="s">
        <v>18</v>
      </c>
      <c r="AN1" s="32" t="s">
        <v>17</v>
      </c>
      <c r="AO1" s="32" t="s">
        <v>21</v>
      </c>
      <c r="AP1" s="32" t="s">
        <v>25</v>
      </c>
      <c r="AQ1" s="32" t="s">
        <v>16</v>
      </c>
      <c r="AR1" s="32" t="s">
        <v>19</v>
      </c>
      <c r="AS1" s="32" t="s">
        <v>18</v>
      </c>
      <c r="AT1" s="32" t="s">
        <v>17</v>
      </c>
      <c r="AU1" s="32" t="s">
        <v>21</v>
      </c>
      <c r="AV1" s="32" t="s">
        <v>25</v>
      </c>
      <c r="AW1" s="32" t="s">
        <v>16</v>
      </c>
    </row>
    <row r="2" spans="1:49" s="1" customFormat="1" x14ac:dyDescent="0.3">
      <c r="A2" s="1" t="s">
        <v>15</v>
      </c>
      <c r="B2" s="33">
        <v>2018</v>
      </c>
      <c r="C2" s="33">
        <v>2018</v>
      </c>
      <c r="D2" s="33">
        <v>2018</v>
      </c>
      <c r="E2" s="33">
        <v>2018</v>
      </c>
      <c r="F2" s="33">
        <v>2018</v>
      </c>
      <c r="G2" s="33">
        <v>2018</v>
      </c>
      <c r="H2" s="33">
        <v>2017</v>
      </c>
      <c r="I2" s="33">
        <v>2017</v>
      </c>
      <c r="J2" s="33">
        <v>2017</v>
      </c>
      <c r="K2" s="33">
        <v>2017</v>
      </c>
      <c r="L2" s="33">
        <v>2017</v>
      </c>
      <c r="M2" s="33">
        <v>2017</v>
      </c>
      <c r="N2" s="33">
        <v>2016</v>
      </c>
      <c r="O2" s="33">
        <v>2016</v>
      </c>
      <c r="P2" s="33">
        <v>2016</v>
      </c>
      <c r="Q2" s="33">
        <v>2016</v>
      </c>
      <c r="R2" s="33">
        <v>2016</v>
      </c>
      <c r="S2" s="33">
        <v>2016</v>
      </c>
      <c r="T2" s="33">
        <v>2015</v>
      </c>
      <c r="U2" s="33">
        <v>2015</v>
      </c>
      <c r="V2" s="33">
        <v>2015</v>
      </c>
      <c r="W2" s="33">
        <v>2015</v>
      </c>
      <c r="X2" s="33">
        <v>2015</v>
      </c>
      <c r="Y2" s="33">
        <v>2015</v>
      </c>
      <c r="Z2" s="32">
        <v>2018</v>
      </c>
      <c r="AA2" s="32">
        <v>2018</v>
      </c>
      <c r="AB2" s="32">
        <v>2018</v>
      </c>
      <c r="AC2" s="32">
        <v>2018</v>
      </c>
      <c r="AD2" s="32">
        <v>2018</v>
      </c>
      <c r="AE2" s="32">
        <v>2018</v>
      </c>
      <c r="AF2" s="32">
        <v>2017</v>
      </c>
      <c r="AG2" s="32">
        <v>2017</v>
      </c>
      <c r="AH2" s="32">
        <v>2017</v>
      </c>
      <c r="AI2" s="32">
        <v>2017</v>
      </c>
      <c r="AJ2" s="32">
        <v>2017</v>
      </c>
      <c r="AK2" s="32">
        <v>2017</v>
      </c>
      <c r="AL2" s="32">
        <v>2016</v>
      </c>
      <c r="AM2" s="32">
        <v>2016</v>
      </c>
      <c r="AN2" s="32">
        <v>2016</v>
      </c>
      <c r="AO2" s="32">
        <v>2016</v>
      </c>
      <c r="AP2" s="32">
        <v>2016</v>
      </c>
      <c r="AQ2" s="32">
        <v>2016</v>
      </c>
      <c r="AR2" s="32">
        <v>2015</v>
      </c>
      <c r="AS2" s="32">
        <v>2015</v>
      </c>
      <c r="AT2" s="32">
        <v>2015</v>
      </c>
      <c r="AU2" s="32">
        <v>2015</v>
      </c>
      <c r="AV2" s="32">
        <v>2015</v>
      </c>
      <c r="AW2" s="32">
        <v>2015</v>
      </c>
    </row>
    <row r="3" spans="1:49" s="5" customFormat="1" x14ac:dyDescent="0.3">
      <c r="A3" s="4" t="s">
        <v>0</v>
      </c>
      <c r="B3" s="36">
        <v>979</v>
      </c>
      <c r="C3" s="37">
        <f>849/B3</f>
        <v>0.86721144024514807</v>
      </c>
      <c r="D3" s="38">
        <v>23530</v>
      </c>
      <c r="E3" s="37">
        <f>16689/D3</f>
        <v>0.70926476838079044</v>
      </c>
      <c r="F3" s="37">
        <f>10969/D3</f>
        <v>0.46617084572885675</v>
      </c>
      <c r="G3" s="37">
        <f>13888/D3</f>
        <v>0.59022524436889079</v>
      </c>
      <c r="H3" s="36">
        <v>981</v>
      </c>
      <c r="I3" s="37">
        <f>876/H3</f>
        <v>0.89296636085626913</v>
      </c>
      <c r="J3" s="38">
        <v>23131</v>
      </c>
      <c r="K3" s="37">
        <f>15309/J3</f>
        <v>0.66183909039816691</v>
      </c>
      <c r="L3" s="37">
        <f>9029/J3</f>
        <v>0.39034196532791493</v>
      </c>
      <c r="M3" s="37">
        <f>12416/J3</f>
        <v>0.53676883835545375</v>
      </c>
      <c r="N3" s="36">
        <v>979</v>
      </c>
      <c r="O3" s="37">
        <f>812/N3</f>
        <v>0.82941777323799792</v>
      </c>
      <c r="P3" s="38">
        <v>22510</v>
      </c>
      <c r="Q3" s="37">
        <f>13154/P3</f>
        <v>0.58436250555308755</v>
      </c>
      <c r="R3" s="37">
        <f>8369/P3</f>
        <v>0.37179031541537094</v>
      </c>
      <c r="S3" s="37">
        <f>10738/P3</f>
        <v>0.4770324300310973</v>
      </c>
      <c r="T3" s="36">
        <v>935</v>
      </c>
      <c r="U3" s="37">
        <f>737/T3</f>
        <v>0.78823529411764703</v>
      </c>
      <c r="V3" s="38">
        <v>21201</v>
      </c>
      <c r="W3" s="37">
        <f>12190/V3</f>
        <v>0.57497287863780011</v>
      </c>
      <c r="X3" s="37">
        <f>7626/V3</f>
        <v>0.35970001415027592</v>
      </c>
      <c r="Y3" s="37">
        <f>9234/V3</f>
        <v>0.43554549313711616</v>
      </c>
      <c r="Z3" s="34">
        <v>175</v>
      </c>
      <c r="AA3" s="35">
        <f>156/Z3</f>
        <v>0.89142857142857146</v>
      </c>
      <c r="AB3" s="34">
        <v>5530</v>
      </c>
      <c r="AC3" s="35">
        <f>3947/AB3</f>
        <v>0.71374321880650993</v>
      </c>
      <c r="AD3" s="35">
        <f>2711/AB3</f>
        <v>0.49023508137432187</v>
      </c>
      <c r="AE3" s="35">
        <f>3477/AB3</f>
        <v>0.62875226039783005</v>
      </c>
      <c r="AF3" s="34">
        <v>193</v>
      </c>
      <c r="AG3" s="35">
        <f>171/AF3</f>
        <v>0.88601036269430056</v>
      </c>
      <c r="AH3" s="34">
        <v>5414</v>
      </c>
      <c r="AI3" s="35">
        <f>3631/AH3</f>
        <v>0.67066863686738087</v>
      </c>
      <c r="AJ3" s="35">
        <f>2102/AH3</f>
        <v>0.38825267824159587</v>
      </c>
      <c r="AK3" s="35">
        <f>3145/AH3</f>
        <v>0.58090136682674542</v>
      </c>
      <c r="AL3" s="34">
        <v>229</v>
      </c>
      <c r="AM3" s="35">
        <f>169/AL3</f>
        <v>0.73799126637554591</v>
      </c>
      <c r="AN3" s="34">
        <v>5249</v>
      </c>
      <c r="AO3" s="35">
        <f>2855/AN3</f>
        <v>0.54391312630977329</v>
      </c>
      <c r="AP3" s="35">
        <f>1892/AN3</f>
        <v>0.36044960944941895</v>
      </c>
      <c r="AQ3" s="35">
        <f>2276/AN3</f>
        <v>0.43360640121927985</v>
      </c>
      <c r="AR3" s="34">
        <v>239</v>
      </c>
      <c r="AS3" s="35">
        <f>152/AR3</f>
        <v>0.63598326359832635</v>
      </c>
      <c r="AT3" s="34">
        <v>5102</v>
      </c>
      <c r="AU3" s="35">
        <f>2371/AT3</f>
        <v>0.46471971775774207</v>
      </c>
      <c r="AV3" s="35">
        <f>1309/AT3</f>
        <v>0.25656605252842024</v>
      </c>
      <c r="AW3" s="35">
        <f>1412/AT3</f>
        <v>0.27675421403371225</v>
      </c>
    </row>
    <row r="4" spans="1:49" s="7" customFormat="1" x14ac:dyDescent="0.3">
      <c r="A4" s="6" t="s">
        <v>1</v>
      </c>
      <c r="B4" s="42">
        <v>461</v>
      </c>
      <c r="C4" s="43">
        <f>394/B4</f>
        <v>0.85466377440347074</v>
      </c>
      <c r="D4" s="44">
        <v>10387</v>
      </c>
      <c r="E4" s="43">
        <f>7107/D4</f>
        <v>0.68422066044093577</v>
      </c>
      <c r="F4" s="43">
        <f>4595/D4</f>
        <v>0.44237989794935978</v>
      </c>
      <c r="G4" s="43">
        <f>5646/D4</f>
        <v>0.54356407047270627</v>
      </c>
      <c r="H4" s="42">
        <v>435</v>
      </c>
      <c r="I4" s="43">
        <f>380/H4</f>
        <v>0.87356321839080464</v>
      </c>
      <c r="J4" s="44">
        <v>10145</v>
      </c>
      <c r="K4" s="43">
        <f>6479/J4</f>
        <v>0.63863972400197144</v>
      </c>
      <c r="L4" s="43">
        <f>3698/J4</f>
        <v>0.364514539181863</v>
      </c>
      <c r="M4" s="43">
        <f>5002/J4</f>
        <v>0.49305076392311481</v>
      </c>
      <c r="N4" s="42">
        <v>501</v>
      </c>
      <c r="O4" s="43">
        <f>404/N4</f>
        <v>0.80638722554890219</v>
      </c>
      <c r="P4" s="44">
        <v>9906</v>
      </c>
      <c r="Q4" s="43">
        <f>5496/P4</f>
        <v>0.55481526347668075</v>
      </c>
      <c r="R4" s="43">
        <f>3399/P4</f>
        <v>0.34312537855844943</v>
      </c>
      <c r="S4" s="43">
        <f>4210/P4</f>
        <v>0.42499495255400765</v>
      </c>
      <c r="T4" s="42">
        <v>478</v>
      </c>
      <c r="U4" s="43">
        <f>368/T4</f>
        <v>0.76987447698744771</v>
      </c>
      <c r="V4" s="44">
        <v>9279</v>
      </c>
      <c r="W4" s="43">
        <f>5001/V4</f>
        <v>0.5389589395408988</v>
      </c>
      <c r="X4" s="43">
        <f>2950/V4</f>
        <v>0.31792218989115206</v>
      </c>
      <c r="Y4" s="43">
        <f>3546/V4</f>
        <v>0.3821532492725509</v>
      </c>
      <c r="Z4" s="39"/>
      <c r="AA4" s="40"/>
      <c r="AB4" s="41"/>
      <c r="AC4" s="41"/>
      <c r="AD4" s="40"/>
      <c r="AE4" s="41"/>
      <c r="AF4" s="39"/>
      <c r="AG4" s="40"/>
      <c r="AH4" s="41"/>
      <c r="AI4" s="41"/>
      <c r="AJ4" s="40"/>
      <c r="AK4" s="41"/>
      <c r="AL4" s="39"/>
      <c r="AM4" s="40"/>
      <c r="AN4" s="41"/>
      <c r="AO4" s="41"/>
      <c r="AP4" s="40"/>
      <c r="AQ4" s="41"/>
      <c r="AR4" s="39"/>
      <c r="AS4" s="40"/>
      <c r="AT4" s="41"/>
      <c r="AU4" s="41"/>
      <c r="AV4" s="40"/>
      <c r="AW4" s="41"/>
    </row>
    <row r="5" spans="1:49" x14ac:dyDescent="0.3">
      <c r="A5" s="1" t="s">
        <v>2</v>
      </c>
      <c r="B5" s="48">
        <v>57</v>
      </c>
      <c r="C5" s="49">
        <f>49/B5</f>
        <v>0.85964912280701755</v>
      </c>
      <c r="D5" s="50">
        <v>1690</v>
      </c>
      <c r="E5" s="49">
        <f>1114/D5</f>
        <v>0.65917159763313604</v>
      </c>
      <c r="F5" s="49">
        <f>749/D5</f>
        <v>0.44319526627218936</v>
      </c>
      <c r="G5" s="49">
        <f>957/D5</f>
        <v>0.56627218934911239</v>
      </c>
      <c r="H5" s="48">
        <v>64</v>
      </c>
      <c r="I5" s="49">
        <f>60/H5</f>
        <v>0.9375</v>
      </c>
      <c r="J5" s="50">
        <v>1636</v>
      </c>
      <c r="K5" s="49">
        <f>990/J5</f>
        <v>0.60513447432762835</v>
      </c>
      <c r="L5" s="49">
        <f>562/J5</f>
        <v>0.34352078239608802</v>
      </c>
      <c r="M5" s="49">
        <f>836/J5</f>
        <v>0.51100244498777503</v>
      </c>
      <c r="N5" s="48">
        <v>55</v>
      </c>
      <c r="O5" s="49">
        <f>43/N5</f>
        <v>0.78181818181818186</v>
      </c>
      <c r="P5" s="50">
        <v>1541</v>
      </c>
      <c r="Q5" s="49">
        <f>783/P5</f>
        <v>0.5081116158338741</v>
      </c>
      <c r="R5" s="49">
        <f>491/P5</f>
        <v>0.31862426995457493</v>
      </c>
      <c r="S5" s="49">
        <f>645/P5</f>
        <v>0.41855937702790397</v>
      </c>
      <c r="T5" s="48">
        <v>53</v>
      </c>
      <c r="U5" s="49">
        <f>41/T5</f>
        <v>0.77358490566037741</v>
      </c>
      <c r="V5" s="50">
        <v>1430</v>
      </c>
      <c r="W5" s="49">
        <f>697/V5</f>
        <v>0.48741258741258742</v>
      </c>
      <c r="X5" s="49">
        <f>433/V5</f>
        <v>0.30279720279720279</v>
      </c>
      <c r="Y5" s="49">
        <f>536/V5</f>
        <v>0.3748251748251748</v>
      </c>
      <c r="Z5" s="45"/>
      <c r="AA5" s="46"/>
      <c r="AB5" s="47"/>
      <c r="AC5" s="47"/>
      <c r="AD5" s="46"/>
      <c r="AE5" s="47"/>
      <c r="AF5" s="45"/>
      <c r="AG5" s="46"/>
      <c r="AH5" s="47"/>
      <c r="AI5" s="47"/>
      <c r="AJ5" s="46"/>
      <c r="AK5" s="47"/>
      <c r="AL5" s="45"/>
      <c r="AM5" s="46"/>
      <c r="AN5" s="47"/>
      <c r="AO5" s="47"/>
      <c r="AP5" s="46"/>
      <c r="AQ5" s="47"/>
      <c r="AR5" s="45"/>
      <c r="AS5" s="46"/>
      <c r="AT5" s="47"/>
      <c r="AU5" s="47"/>
      <c r="AV5" s="46"/>
      <c r="AW5" s="47"/>
    </row>
    <row r="6" spans="1:49" s="3" customFormat="1" x14ac:dyDescent="0.3">
      <c r="A6" s="2" t="s">
        <v>3</v>
      </c>
      <c r="B6" s="54">
        <v>424</v>
      </c>
      <c r="C6" s="55">
        <f>375/B6</f>
        <v>0.88443396226415094</v>
      </c>
      <c r="D6" s="56">
        <v>10274</v>
      </c>
      <c r="E6" s="55">
        <f>7637/D6</f>
        <v>0.74333268444617484</v>
      </c>
      <c r="F6" s="55">
        <f>5090/D6</f>
        <v>0.49542534553241191</v>
      </c>
      <c r="G6" s="55">
        <f>6615/D6</f>
        <v>0.64385828304457859</v>
      </c>
      <c r="H6" s="54">
        <v>425</v>
      </c>
      <c r="I6" s="55">
        <f>383/H6</f>
        <v>0.90117647058823525</v>
      </c>
      <c r="J6" s="56">
        <v>10233</v>
      </c>
      <c r="K6" s="55">
        <f>7084/J6</f>
        <v>0.69227010651812759</v>
      </c>
      <c r="L6" s="55">
        <f>4313/J6</f>
        <v>0.42147952702042413</v>
      </c>
      <c r="M6" s="55">
        <f>5991/J6</f>
        <v>0.58545880973321607</v>
      </c>
      <c r="N6" s="54">
        <v>377</v>
      </c>
      <c r="O6" s="55">
        <f>324/N6</f>
        <v>0.85941644562334218</v>
      </c>
      <c r="P6" s="56">
        <v>10060</v>
      </c>
      <c r="Q6" s="55">
        <f>6252/P6</f>
        <v>0.62147117296222665</v>
      </c>
      <c r="R6" s="55">
        <f>4078/P6</f>
        <v>0.40536779324055666</v>
      </c>
      <c r="S6" s="55">
        <f>5398/P6</f>
        <v>0.53658051689860831</v>
      </c>
      <c r="T6" s="54">
        <v>363</v>
      </c>
      <c r="U6" s="55">
        <f>299/T6</f>
        <v>0.82369146005509641</v>
      </c>
      <c r="V6" s="56">
        <v>9557</v>
      </c>
      <c r="W6" s="55">
        <f>5948/V6</f>
        <v>0.62237103693627704</v>
      </c>
      <c r="X6" s="55">
        <f>3896/V6</f>
        <v>0.40765930731401068</v>
      </c>
      <c r="Y6" s="55">
        <f>4751/V6</f>
        <v>0.49712252798995499</v>
      </c>
      <c r="Z6" s="51"/>
      <c r="AA6" s="52"/>
      <c r="AB6" s="53"/>
      <c r="AC6" s="53"/>
      <c r="AD6" s="52"/>
      <c r="AE6" s="53"/>
      <c r="AF6" s="51"/>
      <c r="AG6" s="52"/>
      <c r="AH6" s="53"/>
      <c r="AI6" s="53"/>
      <c r="AJ6" s="52"/>
      <c r="AK6" s="53"/>
      <c r="AL6" s="51"/>
      <c r="AM6" s="52"/>
      <c r="AN6" s="53"/>
      <c r="AO6" s="53"/>
      <c r="AP6" s="52"/>
      <c r="AQ6" s="53"/>
      <c r="AR6" s="51"/>
      <c r="AS6" s="52"/>
      <c r="AT6" s="53"/>
      <c r="AU6" s="53"/>
      <c r="AV6" s="52"/>
      <c r="AW6" s="53"/>
    </row>
    <row r="7" spans="1:49" s="7" customFormat="1" x14ac:dyDescent="0.3">
      <c r="A7" s="6" t="s">
        <v>4</v>
      </c>
      <c r="B7" s="42">
        <v>808</v>
      </c>
      <c r="C7" s="43">
        <f>697/B7</f>
        <v>0.86262376237623761</v>
      </c>
      <c r="D7" s="44">
        <v>18654</v>
      </c>
      <c r="E7" s="43">
        <f>13268/D7</f>
        <v>0.711268360673314</v>
      </c>
      <c r="F7" s="43">
        <f>8710/D7</f>
        <v>0.46692398413208963</v>
      </c>
      <c r="G7" s="43">
        <f>11115/D7</f>
        <v>0.59585075587005465</v>
      </c>
      <c r="H7" s="42">
        <v>799</v>
      </c>
      <c r="I7" s="43">
        <f>706/H7</f>
        <v>0.88360450563204007</v>
      </c>
      <c r="J7" s="44">
        <v>18349</v>
      </c>
      <c r="K7" s="43">
        <f>12267/J7</f>
        <v>0.66853779497520305</v>
      </c>
      <c r="L7" s="43">
        <f>7303/J7</f>
        <v>0.39800534089051176</v>
      </c>
      <c r="M7" s="43">
        <f>10035/J7</f>
        <v>0.54689628862608319</v>
      </c>
      <c r="N7" s="42">
        <v>774</v>
      </c>
      <c r="O7" s="43">
        <f>639/N7</f>
        <v>0.82558139534883723</v>
      </c>
      <c r="P7" s="44">
        <v>17893</v>
      </c>
      <c r="Q7" s="43">
        <f>10705/P7</f>
        <v>0.59827865645783262</v>
      </c>
      <c r="R7" s="43">
        <f>6900/P7</f>
        <v>0.38562566366735596</v>
      </c>
      <c r="S7" s="43">
        <f>8841/P7</f>
        <v>0.49410383949030345</v>
      </c>
      <c r="T7" s="42">
        <v>749</v>
      </c>
      <c r="U7" s="43">
        <f>590/T7</f>
        <v>0.78771695594125501</v>
      </c>
      <c r="V7" s="44">
        <v>16849</v>
      </c>
      <c r="W7" s="43">
        <f>10001/V7</f>
        <v>0.59356638376164761</v>
      </c>
      <c r="X7" s="43">
        <f>6309/V7</f>
        <v>0.37444358715650783</v>
      </c>
      <c r="Y7" s="43">
        <f>7658/V7</f>
        <v>0.4545076859160781</v>
      </c>
      <c r="Z7" s="39"/>
      <c r="AA7" s="40"/>
      <c r="AB7" s="41"/>
      <c r="AC7" s="41"/>
      <c r="AD7" s="40"/>
      <c r="AE7" s="41"/>
      <c r="AF7" s="39"/>
      <c r="AG7" s="40"/>
      <c r="AH7" s="41"/>
      <c r="AI7" s="41"/>
      <c r="AJ7" s="40"/>
      <c r="AK7" s="41"/>
      <c r="AL7" s="39"/>
      <c r="AM7" s="40"/>
      <c r="AN7" s="41"/>
      <c r="AO7" s="41"/>
      <c r="AP7" s="40"/>
      <c r="AQ7" s="41"/>
      <c r="AR7" s="39"/>
      <c r="AS7" s="40"/>
      <c r="AT7" s="41"/>
      <c r="AU7" s="41"/>
      <c r="AV7" s="40"/>
      <c r="AW7" s="41"/>
    </row>
    <row r="8" spans="1:49" s="3" customFormat="1" x14ac:dyDescent="0.3">
      <c r="A8" s="2" t="s">
        <v>5</v>
      </c>
      <c r="B8" s="54">
        <v>171</v>
      </c>
      <c r="C8" s="55">
        <f>152/B8</f>
        <v>0.88888888888888884</v>
      </c>
      <c r="D8" s="56">
        <v>4876</v>
      </c>
      <c r="E8" s="49">
        <f>3421/D8</f>
        <v>0.70159967186218208</v>
      </c>
      <c r="F8" s="55">
        <f>2259/D8</f>
        <v>0.46328958162428219</v>
      </c>
      <c r="G8" s="55">
        <f>2773/D8</f>
        <v>0.5687038556193601</v>
      </c>
      <c r="H8" s="54">
        <v>182</v>
      </c>
      <c r="I8" s="55">
        <f>170/H8</f>
        <v>0.93406593406593408</v>
      </c>
      <c r="J8" s="56">
        <v>4782</v>
      </c>
      <c r="K8" s="49">
        <f>3042/J8</f>
        <v>0.6361355081555834</v>
      </c>
      <c r="L8" s="55">
        <f>1726/J8</f>
        <v>0.36093684650773733</v>
      </c>
      <c r="M8" s="55">
        <f>2381/J8</f>
        <v>0.49790882475951487</v>
      </c>
      <c r="N8" s="54">
        <v>205</v>
      </c>
      <c r="O8" s="55">
        <f>173/N8</f>
        <v>0.84390243902439022</v>
      </c>
      <c r="P8" s="56">
        <v>4617</v>
      </c>
      <c r="Q8" s="49">
        <f>2499/P8</f>
        <v>0.54126055880441848</v>
      </c>
      <c r="R8" s="55">
        <f>1469/P8</f>
        <v>0.31817197314273338</v>
      </c>
      <c r="S8" s="55">
        <f>1897/P8</f>
        <v>0.41087286116525884</v>
      </c>
      <c r="T8" s="54">
        <v>186</v>
      </c>
      <c r="U8" s="55">
        <f>147/T8</f>
        <v>0.79032258064516125</v>
      </c>
      <c r="V8" s="56">
        <v>4352</v>
      </c>
      <c r="W8" s="49">
        <f>2189/V8</f>
        <v>0.50298713235294112</v>
      </c>
      <c r="X8" s="55">
        <f>1317/V8</f>
        <v>0.30261948529411764</v>
      </c>
      <c r="Y8" s="55">
        <f>1576/V8</f>
        <v>0.36213235294117646</v>
      </c>
      <c r="Z8" s="51"/>
      <c r="AA8" s="52"/>
      <c r="AB8" s="53"/>
      <c r="AC8" s="47"/>
      <c r="AD8" s="52"/>
      <c r="AE8" s="53"/>
      <c r="AF8" s="51"/>
      <c r="AG8" s="52"/>
      <c r="AH8" s="53"/>
      <c r="AI8" s="47"/>
      <c r="AJ8" s="52"/>
      <c r="AK8" s="53"/>
      <c r="AL8" s="51"/>
      <c r="AM8" s="52"/>
      <c r="AN8" s="53"/>
      <c r="AO8" s="47"/>
      <c r="AP8" s="52"/>
      <c r="AQ8" s="53"/>
      <c r="AR8" s="51"/>
      <c r="AS8" s="52"/>
      <c r="AT8" s="53"/>
      <c r="AU8" s="47"/>
      <c r="AV8" s="52"/>
      <c r="AW8" s="53"/>
    </row>
    <row r="9" spans="1:49" s="7" customFormat="1" x14ac:dyDescent="0.3">
      <c r="A9" s="6" t="s">
        <v>6</v>
      </c>
      <c r="B9" s="42">
        <f>SUM(54,175)</f>
        <v>229</v>
      </c>
      <c r="C9" s="43">
        <f>SUM(45,147)/B9</f>
        <v>0.83842794759825323</v>
      </c>
      <c r="D9" s="42">
        <f>SUM(13,127,796)</f>
        <v>936</v>
      </c>
      <c r="E9" s="43">
        <f>SUM(9,106,605)/D9</f>
        <v>0.76923076923076927</v>
      </c>
      <c r="F9" s="43">
        <f>SUM(6,75,357)/D9</f>
        <v>0.46794871794871795</v>
      </c>
      <c r="G9" s="43">
        <f>SUM(8,86,438)/D9</f>
        <v>0.56837606837606836</v>
      </c>
      <c r="H9" s="42">
        <f>SUM(2,59,179)</f>
        <v>240</v>
      </c>
      <c r="I9" s="43">
        <f>SUM(2,55,159)/H9</f>
        <v>0.9</v>
      </c>
      <c r="J9" s="42">
        <f>SUM(15,126,861)</f>
        <v>1002</v>
      </c>
      <c r="K9" s="43">
        <f>SUM(10,97,615)/J9</f>
        <v>0.720558882235529</v>
      </c>
      <c r="L9" s="43">
        <f>SUM(5,52,343)/J9</f>
        <v>0.39920159680638723</v>
      </c>
      <c r="M9" s="43">
        <f>SUM(9,69,443)/J9</f>
        <v>0.51996007984031933</v>
      </c>
      <c r="N9" s="42">
        <f>SUM(1,52,203)</f>
        <v>256</v>
      </c>
      <c r="O9" s="43">
        <f>SUM(1,39,152)/N9</f>
        <v>0.75</v>
      </c>
      <c r="P9" s="42">
        <f>SUM(17,123,874)</f>
        <v>1014</v>
      </c>
      <c r="Q9" s="43">
        <f>SUM(7,63,516)/P9</f>
        <v>0.57790927021696248</v>
      </c>
      <c r="R9" s="43">
        <f>SUM(4,39,299)/P9</f>
        <v>0.33727810650887574</v>
      </c>
      <c r="S9" s="43">
        <f>SUM(5,47,355)/P9</f>
        <v>0.40138067061143984</v>
      </c>
      <c r="T9" s="42">
        <f>SUM(1,62,194)</f>
        <v>257</v>
      </c>
      <c r="U9" s="43">
        <f>SUM(1,43,138)/T9</f>
        <v>0.70817120622568097</v>
      </c>
      <c r="V9" s="42">
        <f>SUM(19,124,866)</f>
        <v>1009</v>
      </c>
      <c r="W9" s="43">
        <f>SUM(5,66,518)/V9</f>
        <v>0.5837462834489594</v>
      </c>
      <c r="X9" s="43">
        <f>SUM(3,30,283)/V9</f>
        <v>0.31318136769078297</v>
      </c>
      <c r="Y9" s="43">
        <f>SUM(5,45,331)/V9</f>
        <v>0.37760158572844399</v>
      </c>
      <c r="Z9" s="39"/>
      <c r="AA9" s="40"/>
      <c r="AB9" s="39"/>
      <c r="AC9" s="39"/>
      <c r="AD9" s="40"/>
      <c r="AE9" s="39"/>
      <c r="AF9" s="39"/>
      <c r="AG9" s="40"/>
      <c r="AH9" s="39"/>
      <c r="AI9" s="39"/>
      <c r="AJ9" s="40"/>
      <c r="AK9" s="39"/>
      <c r="AL9" s="39"/>
      <c r="AM9" s="40"/>
      <c r="AN9" s="39"/>
      <c r="AO9" s="39"/>
      <c r="AP9" s="40"/>
      <c r="AQ9" s="39"/>
      <c r="AR9" s="39"/>
      <c r="AS9" s="40"/>
      <c r="AT9" s="39"/>
      <c r="AU9" s="39"/>
      <c r="AV9" s="40"/>
      <c r="AW9" s="39"/>
    </row>
    <row r="10" spans="1:49" x14ac:dyDescent="0.3">
      <c r="A10" s="1" t="s">
        <v>7</v>
      </c>
      <c r="B10" s="48">
        <f>SUM(198,151)</f>
        <v>349</v>
      </c>
      <c r="C10" s="49">
        <f>SUM(167,135)/B10</f>
        <v>0.86532951289398286</v>
      </c>
      <c r="D10" s="48">
        <f>SUM(2098,2264)</f>
        <v>4362</v>
      </c>
      <c r="E10" s="49">
        <f>SUM(1541,1669)/D10</f>
        <v>0.73590096286107287</v>
      </c>
      <c r="F10" s="49">
        <f>SUM(934,1036)/D10</f>
        <v>0.45162769371847777</v>
      </c>
      <c r="G10" s="49">
        <f>SUM(1167,1303)/D10</f>
        <v>0.56625401192113711</v>
      </c>
      <c r="H10" s="48">
        <f>SUM(232,129)</f>
        <v>361</v>
      </c>
      <c r="I10" s="49">
        <f>SUM(200,110)/H10</f>
        <v>0.8587257617728532</v>
      </c>
      <c r="J10" s="48">
        <f>SUM(2103,2078)</f>
        <v>4181</v>
      </c>
      <c r="K10" s="49">
        <f>SUM(1373,1399)/J10</f>
        <v>0.66299928246830897</v>
      </c>
      <c r="L10" s="49">
        <f>SUM(751,769)/J10</f>
        <v>0.36354939009806264</v>
      </c>
      <c r="M10" s="49">
        <f>SUM(1031,1034)/J10</f>
        <v>0.49390098062664434</v>
      </c>
      <c r="N10" s="48">
        <f>SUM(202,137)</f>
        <v>339</v>
      </c>
      <c r="O10" s="49">
        <f>SUM(162,113)/N10</f>
        <v>0.8112094395280236</v>
      </c>
      <c r="P10" s="48">
        <f>SUM(1995,1922)</f>
        <v>3917</v>
      </c>
      <c r="Q10" s="49">
        <f>SUM(1214,1162)/P10</f>
        <v>0.60658667347459794</v>
      </c>
      <c r="R10" s="49">
        <f>SUM(679,656)/P10</f>
        <v>0.34082205769721724</v>
      </c>
      <c r="S10" s="49">
        <f>SUM(851,868)/P10</f>
        <v>0.43885626755169771</v>
      </c>
      <c r="T10" s="48">
        <f>SUM(179,125)</f>
        <v>304</v>
      </c>
      <c r="U10" s="49">
        <f>SUM(143,104)/T10</f>
        <v>0.8125</v>
      </c>
      <c r="V10" s="48">
        <f>SUM(1773,1733)</f>
        <v>3506</v>
      </c>
      <c r="W10" s="49">
        <f>SUM(1105,1060)/V10</f>
        <v>0.61751283513976041</v>
      </c>
      <c r="X10" s="49">
        <f>SUM(633,624)/V10</f>
        <v>0.35852823730747291</v>
      </c>
      <c r="Y10" s="49">
        <f>SUM(768,749)/V10</f>
        <v>0.43268682258984598</v>
      </c>
      <c r="Z10" s="45"/>
      <c r="AA10" s="46"/>
      <c r="AB10" s="47"/>
      <c r="AC10" s="47"/>
      <c r="AD10" s="46"/>
      <c r="AE10" s="47"/>
      <c r="AF10" s="45"/>
      <c r="AG10" s="46"/>
      <c r="AH10" s="47"/>
      <c r="AI10" s="47"/>
      <c r="AJ10" s="46"/>
      <c r="AK10" s="47"/>
      <c r="AL10" s="45"/>
      <c r="AM10" s="46"/>
      <c r="AN10" s="47"/>
      <c r="AO10" s="47"/>
      <c r="AP10" s="46"/>
      <c r="AQ10" s="47"/>
      <c r="AR10" s="45"/>
      <c r="AS10" s="46"/>
      <c r="AT10" s="47"/>
      <c r="AU10" s="47"/>
      <c r="AV10" s="46"/>
      <c r="AW10" s="47"/>
    </row>
    <row r="11" spans="1:49" x14ac:dyDescent="0.3">
      <c r="A11" s="1" t="s">
        <v>8</v>
      </c>
      <c r="B11" s="48">
        <f>SUM(113,77)</f>
        <v>190</v>
      </c>
      <c r="C11" s="49">
        <f>SUM(97,70)/B11</f>
        <v>0.87894736842105259</v>
      </c>
      <c r="D11" s="48">
        <f>SUM(2162,2231)</f>
        <v>4393</v>
      </c>
      <c r="E11" s="49">
        <f>SUM(1581,1528)/D11</f>
        <v>0.7077168222171637</v>
      </c>
      <c r="F11" s="49">
        <f>SUM(972,951)/D11</f>
        <v>0.43774186205326654</v>
      </c>
      <c r="G11" s="49">
        <f>SUM(1286,1262)/D11</f>
        <v>0.58001365809241978</v>
      </c>
      <c r="H11" s="48">
        <f>SUM(90,72)</f>
        <v>162</v>
      </c>
      <c r="I11" s="49">
        <f>SUM(82,70)/H11</f>
        <v>0.93827160493827155</v>
      </c>
      <c r="J11" s="48">
        <f>SUM(2147,2225)</f>
        <v>4372</v>
      </c>
      <c r="K11" s="49">
        <f>SUM(1433,1443)/J11</f>
        <v>0.65782250686184818</v>
      </c>
      <c r="L11" s="49">
        <f>SUM(816,816)/J11</f>
        <v>0.37328453796889294</v>
      </c>
      <c r="M11" s="49">
        <f>SUM(1135,1149)/J11</f>
        <v>0.5224153705397987</v>
      </c>
      <c r="N11" s="48">
        <f>SUM(93,77)</f>
        <v>170</v>
      </c>
      <c r="O11" s="49">
        <f>SUM(81,73)/N11</f>
        <v>0.90588235294117647</v>
      </c>
      <c r="P11" s="48">
        <f>SUM(2105,2240)</f>
        <v>4345</v>
      </c>
      <c r="Q11" s="49">
        <f>SUM(1267,1300)/P11</f>
        <v>0.59079401611047178</v>
      </c>
      <c r="R11" s="49">
        <f>SUM(784,800)/P11</f>
        <v>0.36455696202531646</v>
      </c>
      <c r="S11" s="49">
        <f>SUM(1004,1052)/P11</f>
        <v>0.47318757192174915</v>
      </c>
      <c r="T11" s="48">
        <f>SUM(93,70)</f>
        <v>163</v>
      </c>
      <c r="U11" s="49">
        <f>SUM(72,59)/T11</f>
        <v>0.80368098159509205</v>
      </c>
      <c r="V11" s="48">
        <f>SUM(1973,2293)</f>
        <v>4266</v>
      </c>
      <c r="W11" s="49">
        <f>SUM(1155,1326)/V11</f>
        <v>0.58157524613220812</v>
      </c>
      <c r="X11" s="49">
        <f>SUM(711,813)/V11</f>
        <v>0.35724331926863573</v>
      </c>
      <c r="Y11" s="49">
        <f>SUM(849,988)/V11</f>
        <v>0.43061415846225976</v>
      </c>
      <c r="Z11" s="45"/>
      <c r="AA11" s="46"/>
      <c r="AB11" s="45"/>
      <c r="AC11" s="47"/>
      <c r="AD11" s="46"/>
      <c r="AE11" s="45"/>
      <c r="AF11" s="45"/>
      <c r="AG11" s="46"/>
      <c r="AH11" s="45"/>
      <c r="AI11" s="47"/>
      <c r="AJ11" s="46"/>
      <c r="AK11" s="45"/>
      <c r="AL11" s="45"/>
      <c r="AM11" s="46"/>
      <c r="AN11" s="45"/>
      <c r="AO11" s="47"/>
      <c r="AP11" s="46"/>
      <c r="AQ11" s="45"/>
      <c r="AR11" s="45"/>
      <c r="AS11" s="46"/>
      <c r="AT11" s="45"/>
      <c r="AU11" s="47"/>
      <c r="AV11" s="46"/>
      <c r="AW11" s="45"/>
    </row>
    <row r="12" spans="1:49" x14ac:dyDescent="0.3">
      <c r="A12" s="1" t="s">
        <v>9</v>
      </c>
      <c r="B12" s="48">
        <f>SUM(79,56)</f>
        <v>135</v>
      </c>
      <c r="C12" s="49">
        <f>SUM(70,49)/B12</f>
        <v>0.88148148148148153</v>
      </c>
      <c r="D12" s="48">
        <f>SUM(2907,3630)</f>
        <v>6537</v>
      </c>
      <c r="E12" s="49">
        <f>SUM(2041,2595)/D12</f>
        <v>0.70919381979501295</v>
      </c>
      <c r="F12" s="49">
        <f>SUM(1352,1732)/D12</f>
        <v>0.47177604405690682</v>
      </c>
      <c r="G12" s="49">
        <f>SUM(1690,2208)/D12</f>
        <v>0.59629799602264033</v>
      </c>
      <c r="H12" s="48">
        <f>SUM(67,68)</f>
        <v>135</v>
      </c>
      <c r="I12" s="49">
        <f>SUM(63,62)/H12</f>
        <v>0.92592592592592593</v>
      </c>
      <c r="J12" s="48">
        <f>SUM(3062,3732)</f>
        <v>6794</v>
      </c>
      <c r="K12" s="49">
        <f>SUM(2026,2477)/J12</f>
        <v>0.66279069767441856</v>
      </c>
      <c r="L12" s="49">
        <f>SUM(1190,1487)/J12</f>
        <v>0.39402413894612892</v>
      </c>
      <c r="M12" s="49">
        <f>SUM(1664,2069)/J12</f>
        <v>0.54945540182513986</v>
      </c>
      <c r="N12" s="48">
        <f>SUM(68,65)</f>
        <v>133</v>
      </c>
      <c r="O12" s="49">
        <f>SUM(61,57)/N12</f>
        <v>0.88721804511278191</v>
      </c>
      <c r="P12" s="48">
        <f>SUM(3249,3827)</f>
        <v>7076</v>
      </c>
      <c r="Q12" s="49">
        <f>SUM(1854,2220)/P12</f>
        <v>0.57574901074053142</v>
      </c>
      <c r="R12" s="49">
        <f>SUM(1177,1470)/P12</f>
        <v>0.3740814019219898</v>
      </c>
      <c r="S12" s="49">
        <f>SUM(1536,1893)/P12</f>
        <v>0.48459581684567554</v>
      </c>
      <c r="T12" s="48">
        <f>SUM(74,62)</f>
        <v>136</v>
      </c>
      <c r="U12" s="49">
        <f>SUM(61,53)/T12</f>
        <v>0.83823529411764708</v>
      </c>
      <c r="V12" s="48">
        <f>SUM(3309,3714)</f>
        <v>7023</v>
      </c>
      <c r="W12" s="49">
        <f>SUM(1874,2108)/V12</f>
        <v>0.56699416203901465</v>
      </c>
      <c r="X12" s="49">
        <f>SUM(1164,1357)/V12</f>
        <v>0.35896340595187243</v>
      </c>
      <c r="Y12" s="49">
        <f>SUM(1429,1629)/V12</f>
        <v>0.43542645593051404</v>
      </c>
      <c r="Z12" s="45"/>
      <c r="AA12" s="46"/>
      <c r="AB12" s="47"/>
      <c r="AC12" s="47"/>
      <c r="AD12" s="46"/>
      <c r="AE12" s="47"/>
      <c r="AF12" s="45"/>
      <c r="AG12" s="46"/>
      <c r="AH12" s="47"/>
      <c r="AI12" s="47"/>
      <c r="AJ12" s="46"/>
      <c r="AK12" s="47"/>
      <c r="AL12" s="45"/>
      <c r="AM12" s="46"/>
      <c r="AN12" s="47"/>
      <c r="AO12" s="47"/>
      <c r="AP12" s="46"/>
      <c r="AQ12" s="47"/>
      <c r="AR12" s="45"/>
      <c r="AS12" s="46"/>
      <c r="AT12" s="47"/>
      <c r="AU12" s="47"/>
      <c r="AV12" s="46"/>
      <c r="AW12" s="47"/>
    </row>
    <row r="13" spans="1:49" s="3" customFormat="1" x14ac:dyDescent="0.3">
      <c r="A13" s="2" t="s">
        <v>10</v>
      </c>
      <c r="B13" s="54">
        <f>SUM(63,13)</f>
        <v>76</v>
      </c>
      <c r="C13" s="49">
        <f>SUM(57,12)/B13</f>
        <v>0.90789473684210531</v>
      </c>
      <c r="D13" s="54">
        <f>SUM(5564,1738)</f>
        <v>7302</v>
      </c>
      <c r="E13" s="55">
        <f>SUM(3868,1146)/D13</f>
        <v>0.68666118871542048</v>
      </c>
      <c r="F13" s="49">
        <f>SUM(2705,849)/D13</f>
        <v>0.48671596822788277</v>
      </c>
      <c r="G13" s="55">
        <f>SUM(3391,1049)/D13</f>
        <v>0.60805258833196385</v>
      </c>
      <c r="H13" s="54">
        <f>SUM(66,17)</f>
        <v>83</v>
      </c>
      <c r="I13" s="49">
        <f>SUM(57,16)/H13</f>
        <v>0.87951807228915657</v>
      </c>
      <c r="J13" s="54">
        <f>SUM(5237,1545)</f>
        <v>6782</v>
      </c>
      <c r="K13" s="55">
        <f>SUM(3480,956)/J13</f>
        <v>0.65408434090238865</v>
      </c>
      <c r="L13" s="49">
        <f>SUM(2180,620)/J13</f>
        <v>0.41285756414037156</v>
      </c>
      <c r="M13" s="55">
        <f>SUM(2978,835)/J13</f>
        <v>0.56222353288115601</v>
      </c>
      <c r="N13" s="54">
        <f>SUM(68,13)</f>
        <v>81</v>
      </c>
      <c r="O13" s="49">
        <f>SUM(61,12)/N13</f>
        <v>0.90123456790123457</v>
      </c>
      <c r="P13" s="54">
        <f>SUM(4824,1334)</f>
        <v>6158</v>
      </c>
      <c r="Q13" s="55">
        <f>SUM(2824,727)/P13</f>
        <v>0.5766482624228646</v>
      </c>
      <c r="R13" s="49">
        <f>SUM(1954,507)/P13</f>
        <v>0.39964274114972392</v>
      </c>
      <c r="S13" s="55">
        <f>SUM(2475,652)/P13</f>
        <v>0.50779473855147772</v>
      </c>
      <c r="T13" s="54">
        <f>SUM(59,16)</f>
        <v>75</v>
      </c>
      <c r="U13" s="49">
        <f>SUM(48,15)/T13</f>
        <v>0.84</v>
      </c>
      <c r="V13" s="54">
        <f>SUM(4276,1121)</f>
        <v>5397</v>
      </c>
      <c r="W13" s="55">
        <f>SUM(2405,568)/V13</f>
        <v>0.55086158977209565</v>
      </c>
      <c r="X13" s="49">
        <f>SUM(1594,414)/V13</f>
        <v>0.37205855104687791</v>
      </c>
      <c r="Y13" s="55">
        <f>SUM(1955,486)/V13</f>
        <v>0.45228830831943673</v>
      </c>
      <c r="Z13" s="51"/>
      <c r="AA13" s="46"/>
      <c r="AB13" s="51"/>
      <c r="AC13" s="53"/>
      <c r="AD13" s="46"/>
      <c r="AE13" s="51"/>
      <c r="AF13" s="51"/>
      <c r="AG13" s="46"/>
      <c r="AH13" s="51"/>
      <c r="AI13" s="53"/>
      <c r="AJ13" s="46"/>
      <c r="AK13" s="51"/>
      <c r="AL13" s="51"/>
      <c r="AM13" s="46"/>
      <c r="AN13" s="51"/>
      <c r="AO13" s="53"/>
      <c r="AP13" s="46"/>
      <c r="AQ13" s="51"/>
      <c r="AR13" s="51"/>
      <c r="AS13" s="46"/>
      <c r="AT13" s="51"/>
      <c r="AU13" s="53"/>
      <c r="AV13" s="46"/>
      <c r="AW13" s="51"/>
    </row>
    <row r="14" spans="1:49" s="7" customFormat="1" x14ac:dyDescent="0.3">
      <c r="A14" s="6" t="s">
        <v>11</v>
      </c>
      <c r="B14" s="42">
        <v>512</v>
      </c>
      <c r="C14" s="43">
        <f>448/B14</f>
        <v>0.875</v>
      </c>
      <c r="D14" s="44">
        <v>12744</v>
      </c>
      <c r="E14" s="43">
        <f>9677/D14</f>
        <v>0.7593377275580665</v>
      </c>
      <c r="F14" s="43">
        <f>6361/D14</f>
        <v>0.49913684871311992</v>
      </c>
      <c r="G14" s="43">
        <f>8181/D14</f>
        <v>0.64194915254237284</v>
      </c>
      <c r="H14" s="42">
        <v>525</v>
      </c>
      <c r="I14" s="43">
        <f>473/H14</f>
        <v>0.90095238095238095</v>
      </c>
      <c r="J14" s="44">
        <v>12586</v>
      </c>
      <c r="K14" s="43">
        <f>8975/J14</f>
        <v>0.71309391387255683</v>
      </c>
      <c r="L14" s="43">
        <f>5337/J14</f>
        <v>0.42404258700143016</v>
      </c>
      <c r="M14" s="44">
        <v>0.59</v>
      </c>
      <c r="N14" s="42">
        <v>544</v>
      </c>
      <c r="O14" s="43">
        <f>459/N14</f>
        <v>0.84375</v>
      </c>
      <c r="P14" s="44">
        <v>12783</v>
      </c>
      <c r="Q14" s="43">
        <f>8457/P14</f>
        <v>0.66158178831260273</v>
      </c>
      <c r="R14" s="43">
        <f>5501/P14</f>
        <v>0.4303371665493233</v>
      </c>
      <c r="S14" s="43">
        <f>7067/P14</f>
        <v>0.55284362043338808</v>
      </c>
      <c r="T14" s="42">
        <v>542</v>
      </c>
      <c r="U14" s="43">
        <f>428/T14</f>
        <v>0.78966789667896675</v>
      </c>
      <c r="V14" s="44">
        <v>11985</v>
      </c>
      <c r="W14" s="43">
        <f>7893/V14</f>
        <v>0.65857321652065082</v>
      </c>
      <c r="X14" s="43">
        <f>5063/V14</f>
        <v>0.42244472256987903</v>
      </c>
      <c r="Y14" s="43">
        <f>6181/V14</f>
        <v>0.51572799332498953</v>
      </c>
      <c r="Z14" s="39"/>
      <c r="AA14" s="41"/>
      <c r="AB14" s="41"/>
      <c r="AC14" s="41"/>
      <c r="AD14" s="41"/>
      <c r="AE14" s="41"/>
      <c r="AF14" s="39"/>
      <c r="AG14" s="41"/>
      <c r="AH14" s="41"/>
      <c r="AI14" s="41"/>
      <c r="AJ14" s="41"/>
      <c r="AK14" s="41"/>
      <c r="AL14" s="39"/>
      <c r="AM14" s="41"/>
      <c r="AN14" s="41"/>
      <c r="AO14" s="41"/>
      <c r="AP14" s="41"/>
      <c r="AQ14" s="41"/>
      <c r="AR14" s="39"/>
      <c r="AS14" s="41"/>
      <c r="AT14" s="41"/>
      <c r="AU14" s="41"/>
      <c r="AV14" s="41"/>
      <c r="AW14" s="41"/>
    </row>
    <row r="15" spans="1:49" x14ac:dyDescent="0.3">
      <c r="A15" s="1" t="s">
        <v>12</v>
      </c>
      <c r="B15" s="48">
        <f>SUM(68,48)</f>
        <v>116</v>
      </c>
      <c r="C15" s="49">
        <f>SUM(51,41)/B15</f>
        <v>0.7931034482758621</v>
      </c>
      <c r="D15" s="50">
        <f>SUM(758,581)</f>
        <v>1339</v>
      </c>
      <c r="E15" s="49">
        <f>SUM(469,403)/D15</f>
        <v>0.65123226288274827</v>
      </c>
      <c r="F15" s="49">
        <f>SUM(305,264)/D15</f>
        <v>0.42494398805078415</v>
      </c>
      <c r="G15" s="49">
        <f>SUM(374,305)/D15</f>
        <v>0.50709484690067219</v>
      </c>
      <c r="H15" s="48">
        <f>SUM(50,42)</f>
        <v>92</v>
      </c>
      <c r="I15" s="49">
        <f>SUM(43,39)/H15</f>
        <v>0.89130434782608692</v>
      </c>
      <c r="J15" s="50">
        <f>SUM(722,544)</f>
        <v>1266</v>
      </c>
      <c r="K15" s="49">
        <f>SUM(411,329)/J15</f>
        <v>0.58451816745655605</v>
      </c>
      <c r="L15" s="49">
        <f>SUM(244,178)/J15</f>
        <v>0.33333333333333331</v>
      </c>
      <c r="M15" s="50">
        <v>0.44</v>
      </c>
      <c r="N15" s="48">
        <f>SUM(24,31)</f>
        <v>55</v>
      </c>
      <c r="O15" s="49">
        <f>SUM(20,26)/N15</f>
        <v>0.83636363636363631</v>
      </c>
      <c r="P15" s="50">
        <f>SUM(601,518)</f>
        <v>1119</v>
      </c>
      <c r="Q15" s="49">
        <f>SUM(228,270)/P15</f>
        <v>0.44504021447721182</v>
      </c>
      <c r="R15" s="49">
        <f>SUM(136,169)/P15</f>
        <v>0.27256478999106343</v>
      </c>
      <c r="S15" s="49">
        <f>SUM(152,195)/P15</f>
        <v>0.31009830205540662</v>
      </c>
      <c r="T15" s="48">
        <f>SUM(18,26)</f>
        <v>44</v>
      </c>
      <c r="U15" s="49">
        <f>SUM(18,21)/T15</f>
        <v>0.88636363636363635</v>
      </c>
      <c r="V15" s="50">
        <f>SUM(580,491)</f>
        <v>1071</v>
      </c>
      <c r="W15" s="49">
        <f>SUM(212,241)/V15</f>
        <v>0.42296918767507002</v>
      </c>
      <c r="X15" s="49">
        <f>SUM(126,141)/V15</f>
        <v>0.24929971988795518</v>
      </c>
      <c r="Y15" s="49">
        <f>SUM(136,166)/V15</f>
        <v>0.28197945845004668</v>
      </c>
      <c r="Z15" s="45"/>
      <c r="AA15" s="46"/>
      <c r="AB15" s="47"/>
      <c r="AC15" s="47"/>
      <c r="AD15" s="46"/>
      <c r="AE15" s="47"/>
      <c r="AF15" s="45"/>
      <c r="AG15" s="46"/>
      <c r="AH15" s="47"/>
      <c r="AI15" s="47"/>
      <c r="AJ15" s="46"/>
      <c r="AK15" s="47"/>
      <c r="AL15" s="45"/>
      <c r="AM15" s="46"/>
      <c r="AN15" s="47"/>
      <c r="AO15" s="47"/>
      <c r="AP15" s="46"/>
      <c r="AQ15" s="47"/>
      <c r="AR15" s="45"/>
      <c r="AS15" s="46"/>
      <c r="AT15" s="47"/>
      <c r="AU15" s="47"/>
      <c r="AV15" s="46"/>
      <c r="AW15" s="47"/>
    </row>
    <row r="16" spans="1:49" x14ac:dyDescent="0.3">
      <c r="A16" s="1" t="s">
        <v>13</v>
      </c>
      <c r="B16" s="48">
        <v>35</v>
      </c>
      <c r="C16" s="49">
        <f>33/B16</f>
        <v>0.94285714285714284</v>
      </c>
      <c r="D16" s="50">
        <v>957</v>
      </c>
      <c r="E16" s="49">
        <f>686/D16</f>
        <v>0.7168234064785789</v>
      </c>
      <c r="F16" s="49">
        <f>453/D16</f>
        <v>0.47335423197492166</v>
      </c>
      <c r="G16" s="49">
        <f>549/D16</f>
        <v>0.57366771159874608</v>
      </c>
      <c r="H16" s="48">
        <v>37</v>
      </c>
      <c r="I16" s="49">
        <f>36/H16</f>
        <v>0.97297297297297303</v>
      </c>
      <c r="J16" s="50">
        <v>942</v>
      </c>
      <c r="K16" s="49">
        <f>653/J16</f>
        <v>0.69320594479830144</v>
      </c>
      <c r="L16" s="49">
        <f>397/J16</f>
        <v>0.42144373673036095</v>
      </c>
      <c r="M16" s="50">
        <v>0.56000000000000005</v>
      </c>
      <c r="N16" s="48">
        <v>40</v>
      </c>
      <c r="O16" s="49">
        <f>33/N16</f>
        <v>0.82499999999999996</v>
      </c>
      <c r="P16" s="50">
        <v>993</v>
      </c>
      <c r="Q16" s="49">
        <f>637/P16</f>
        <v>0.64149043303121855</v>
      </c>
      <c r="R16" s="49">
        <f>426/P16</f>
        <v>0.42900302114803623</v>
      </c>
      <c r="S16" s="49">
        <f>533/P16</f>
        <v>0.53675730110775433</v>
      </c>
      <c r="T16" s="48">
        <v>24</v>
      </c>
      <c r="U16" s="49">
        <f>19/T16</f>
        <v>0.79166666666666663</v>
      </c>
      <c r="V16" s="50">
        <v>932</v>
      </c>
      <c r="W16" s="49">
        <f>604/V16</f>
        <v>0.64806866952789699</v>
      </c>
      <c r="X16" s="49">
        <f>391/V16</f>
        <v>0.41952789699570814</v>
      </c>
      <c r="Y16" s="49">
        <f>475/V16</f>
        <v>0.50965665236051505</v>
      </c>
      <c r="Z16" s="45"/>
      <c r="AA16" s="46"/>
      <c r="AB16" s="47"/>
      <c r="AC16" s="47"/>
      <c r="AD16" s="46"/>
      <c r="AE16" s="47"/>
      <c r="AF16" s="45"/>
      <c r="AG16" s="46"/>
      <c r="AH16" s="47"/>
      <c r="AI16" s="47"/>
      <c r="AJ16" s="46"/>
      <c r="AK16" s="47"/>
      <c r="AL16" s="45"/>
      <c r="AM16" s="46"/>
      <c r="AN16" s="47"/>
      <c r="AO16" s="47"/>
      <c r="AP16" s="46"/>
      <c r="AQ16" s="47"/>
      <c r="AR16" s="45"/>
      <c r="AS16" s="46"/>
      <c r="AT16" s="47"/>
      <c r="AU16" s="47"/>
      <c r="AV16" s="46"/>
      <c r="AW16" s="47"/>
    </row>
    <row r="17" spans="1:50" s="3" customFormat="1" x14ac:dyDescent="0.3">
      <c r="A17" s="2" t="s">
        <v>14</v>
      </c>
      <c r="B17" s="54">
        <f>SUM(26,113)</f>
        <v>139</v>
      </c>
      <c r="C17" s="55">
        <f>SUM(22,104)/B17</f>
        <v>0.90647482014388492</v>
      </c>
      <c r="D17" s="56">
        <f>SUM(1142,3764)</f>
        <v>4906</v>
      </c>
      <c r="E17" s="55">
        <f>SUM(792,2805)/D17</f>
        <v>0.73318385650224216</v>
      </c>
      <c r="F17" s="55">
        <f>SUM(533,1857)/D17</f>
        <v>0.48715858132898493</v>
      </c>
      <c r="G17" s="55">
        <f>SUM(654,2300)/D17</f>
        <v>0.60211985324092943</v>
      </c>
      <c r="H17" s="54">
        <f>SUM(20,131)</f>
        <v>151</v>
      </c>
      <c r="I17" s="55">
        <f>SUM(17,123)/H17</f>
        <v>0.92715231788079466</v>
      </c>
      <c r="J17" s="56">
        <f>SUM(1135,3710)</f>
        <v>4845</v>
      </c>
      <c r="K17" s="55">
        <f>SUM(761,2530)/J17</f>
        <v>0.67925696594427243</v>
      </c>
      <c r="L17" s="55">
        <f>SUM(457,1455)/J17</f>
        <v>0.39463364293085657</v>
      </c>
      <c r="M17" s="56">
        <v>0.54</v>
      </c>
      <c r="N17" s="54">
        <f>SUM(26,160)</f>
        <v>186</v>
      </c>
      <c r="O17" s="55">
        <f>SUM(18,137)/N17</f>
        <v>0.83333333333333337</v>
      </c>
      <c r="P17" s="56">
        <f>SUM(871,3572)</f>
        <v>4443</v>
      </c>
      <c r="Q17" s="55">
        <f>SUM(443,2052)/P17</f>
        <v>0.56155750618951161</v>
      </c>
      <c r="R17" s="55">
        <f>SUM(271,1231)/P17</f>
        <v>0.33805986945757371</v>
      </c>
      <c r="S17" s="55">
        <f>SUM(533,1619)/P17</f>
        <v>0.48435741616025207</v>
      </c>
      <c r="T17" s="54">
        <f>SUM(24,144)</f>
        <v>168</v>
      </c>
      <c r="U17" s="55">
        <f>SUM(20,116)/T17</f>
        <v>0.80952380952380953</v>
      </c>
      <c r="V17" s="56">
        <f>SUM(840,3361)</f>
        <v>4201</v>
      </c>
      <c r="W17" s="55">
        <f>SUM(402,1840)/V17</f>
        <v>0.53368245655796243</v>
      </c>
      <c r="X17" s="55">
        <f>SUM(230,1117)/V17</f>
        <v>0.32063794334682216</v>
      </c>
      <c r="Y17" s="55">
        <f>SUM(281,1350)/V17</f>
        <v>0.38824089502499404</v>
      </c>
      <c r="Z17" s="51"/>
      <c r="AA17" s="53"/>
      <c r="AB17" s="53"/>
      <c r="AC17" s="53"/>
      <c r="AD17" s="53"/>
      <c r="AE17" s="53"/>
      <c r="AF17" s="51"/>
      <c r="AG17" s="53"/>
      <c r="AH17" s="53"/>
      <c r="AI17" s="53"/>
      <c r="AJ17" s="53"/>
      <c r="AK17" s="53"/>
      <c r="AL17" s="51"/>
      <c r="AM17" s="53"/>
      <c r="AN17" s="53"/>
      <c r="AO17" s="53"/>
      <c r="AP17" s="53"/>
      <c r="AQ17" s="53"/>
      <c r="AR17" s="51"/>
      <c r="AS17" s="53"/>
      <c r="AT17" s="53"/>
      <c r="AU17" s="53"/>
      <c r="AV17" s="53"/>
      <c r="AW17" s="53"/>
    </row>
    <row r="18" spans="1:50" x14ac:dyDescent="0.3">
      <c r="A18" s="1" t="s">
        <v>20</v>
      </c>
      <c r="B18" s="50"/>
      <c r="C18" s="50">
        <v>3</v>
      </c>
      <c r="D18" s="50"/>
      <c r="E18" s="50"/>
      <c r="F18" s="50"/>
      <c r="G18" s="50"/>
      <c r="H18" s="50"/>
      <c r="I18" s="50">
        <v>3</v>
      </c>
      <c r="J18" s="50"/>
      <c r="K18" s="50"/>
      <c r="L18" s="50"/>
      <c r="M18" s="50"/>
      <c r="N18" s="50"/>
      <c r="O18" s="50">
        <v>3</v>
      </c>
      <c r="P18" s="50"/>
      <c r="Q18" s="50"/>
      <c r="R18" s="50"/>
      <c r="S18" s="50"/>
      <c r="T18" s="50"/>
      <c r="U18" s="50">
        <v>3</v>
      </c>
      <c r="V18" s="50"/>
      <c r="W18" s="50"/>
      <c r="X18" s="50"/>
      <c r="Y18" s="50"/>
      <c r="Z18" s="47"/>
      <c r="AA18" s="47">
        <v>3</v>
      </c>
      <c r="AB18" s="47"/>
      <c r="AC18" s="47"/>
      <c r="AD18" s="47"/>
      <c r="AE18" s="47"/>
      <c r="AF18" s="47"/>
      <c r="AG18" s="47">
        <v>3</v>
      </c>
      <c r="AH18" s="47"/>
      <c r="AI18" s="47"/>
      <c r="AJ18" s="47"/>
      <c r="AK18" s="47"/>
      <c r="AL18" s="47"/>
      <c r="AM18" s="47">
        <v>3</v>
      </c>
      <c r="AN18" s="47"/>
      <c r="AO18" s="47"/>
      <c r="AP18" s="47"/>
      <c r="AQ18" s="47"/>
      <c r="AR18" s="47"/>
      <c r="AS18" s="47">
        <v>3</v>
      </c>
      <c r="AT18" s="47"/>
      <c r="AU18" s="47"/>
      <c r="AV18" s="47"/>
      <c r="AW18" s="47"/>
      <c r="AX18" s="14"/>
    </row>
    <row r="19" spans="1:50" x14ac:dyDescent="0.3">
      <c r="H19" s="12"/>
      <c r="I19" s="13"/>
      <c r="J19" s="12"/>
      <c r="K19" s="13"/>
      <c r="M19" s="12"/>
      <c r="N19" s="12"/>
      <c r="O19" s="13"/>
      <c r="P19" s="12"/>
      <c r="Q19" s="13"/>
      <c r="S19" s="12"/>
      <c r="T19" s="12"/>
      <c r="U19" s="13"/>
      <c r="V19" s="12"/>
      <c r="W19" s="13"/>
      <c r="Y19" s="12"/>
      <c r="Z19" s="12"/>
      <c r="AA19" s="13"/>
      <c r="AB19" s="12"/>
      <c r="AC19" s="13"/>
      <c r="AE19" s="12"/>
    </row>
    <row r="20" spans="1:50" x14ac:dyDescent="0.3">
      <c r="B20" s="47" t="s">
        <v>69</v>
      </c>
      <c r="C20" s="47"/>
      <c r="D20" s="47"/>
      <c r="E20" s="47"/>
      <c r="F20" s="47"/>
      <c r="G20" s="47"/>
      <c r="H20" s="47"/>
      <c r="I20" s="13"/>
      <c r="J20" s="12"/>
      <c r="M20" s="12"/>
      <c r="N20" s="12"/>
      <c r="O20" s="13"/>
      <c r="S20" s="12"/>
      <c r="Y20" s="12"/>
      <c r="AE20" s="12"/>
    </row>
    <row r="21" spans="1:50" x14ac:dyDescent="0.3">
      <c r="B21" s="50" t="s">
        <v>45</v>
      </c>
      <c r="M21" s="15"/>
      <c r="S21" s="15"/>
      <c r="Y21" s="15"/>
      <c r="AE21" s="15"/>
    </row>
    <row r="22" spans="1:50" x14ac:dyDescent="0.3">
      <c r="M22" s="12"/>
      <c r="S22" s="12"/>
      <c r="Y22" s="12"/>
      <c r="AE22" s="12"/>
    </row>
    <row r="23" spans="1:50" x14ac:dyDescent="0.3">
      <c r="M23" s="15"/>
      <c r="S23" s="15"/>
      <c r="Y23" s="15"/>
      <c r="AE23" s="15"/>
    </row>
    <row r="24" spans="1:50" x14ac:dyDescent="0.3">
      <c r="M24" s="15"/>
      <c r="S24" s="15"/>
      <c r="Y24" s="15"/>
      <c r="AE24" s="15"/>
    </row>
    <row r="26" spans="1:50" x14ac:dyDescent="0.3">
      <c r="M26" s="12"/>
      <c r="S26" s="12"/>
      <c r="Y26" s="12"/>
      <c r="AE26" s="12"/>
    </row>
    <row r="27" spans="1:50" x14ac:dyDescent="0.3">
      <c r="M27" s="12"/>
      <c r="S27" s="12"/>
      <c r="Y27" s="12"/>
      <c r="AE27" s="12"/>
    </row>
    <row r="28" spans="1:50" x14ac:dyDescent="0.3">
      <c r="M28" s="12"/>
      <c r="S28" s="12"/>
      <c r="Y28" s="12"/>
      <c r="AE28" s="12"/>
    </row>
    <row r="29" spans="1:50" x14ac:dyDescent="0.3">
      <c r="M29" s="12"/>
      <c r="S29" s="12"/>
      <c r="Y29" s="12"/>
      <c r="AE29" s="12"/>
    </row>
    <row r="30" spans="1:50" x14ac:dyDescent="0.3">
      <c r="F30" t="s">
        <v>23</v>
      </c>
      <c r="M30" s="12"/>
      <c r="S30" s="12"/>
      <c r="Y30" s="12"/>
      <c r="AE30" s="12"/>
    </row>
    <row r="31" spans="1:50" x14ac:dyDescent="0.3">
      <c r="M31" s="12"/>
      <c r="S31" s="12"/>
      <c r="Y31" s="12"/>
      <c r="AE31" s="12"/>
    </row>
    <row r="32" spans="1:50" x14ac:dyDescent="0.3">
      <c r="M32" s="12"/>
      <c r="S32" s="12"/>
      <c r="Y32" s="12"/>
      <c r="AE32" s="12"/>
    </row>
    <row r="33" spans="13:31" x14ac:dyDescent="0.3">
      <c r="M33" s="12"/>
      <c r="S33" s="12"/>
      <c r="Y33" s="12"/>
      <c r="AE33" s="1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zoomScale="120" zoomScaleNormal="120" workbookViewId="0">
      <pane xSplit="1" ySplit="1" topLeftCell="B2" activePane="bottomRight" state="frozen"/>
      <selection pane="topRight" activeCell="B1" sqref="B1"/>
      <selection pane="bottomLeft" activeCell="A2" sqref="A2"/>
      <selection pane="bottomRight" activeCell="A2" sqref="A2"/>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47">
        <v>239</v>
      </c>
      <c r="C2" s="45">
        <f>152/B2</f>
        <v>0.63598326359832635</v>
      </c>
      <c r="D2" s="47">
        <v>5102</v>
      </c>
      <c r="E2" s="45">
        <f>2371/D2</f>
        <v>0.46471971775774207</v>
      </c>
      <c r="F2" s="45">
        <f>1309/D2</f>
        <v>0.25656605252842024</v>
      </c>
      <c r="G2" s="45">
        <f>1412/D2</f>
        <v>0.27675421403371225</v>
      </c>
    </row>
    <row r="3" spans="1:7" x14ac:dyDescent="0.3">
      <c r="A3" s="1">
        <v>2016</v>
      </c>
      <c r="B3" s="47">
        <v>229</v>
      </c>
      <c r="C3" s="45">
        <f>169/B3</f>
        <v>0.73799126637554591</v>
      </c>
      <c r="D3" s="47">
        <v>5249</v>
      </c>
      <c r="E3" s="45">
        <f>2855/D3</f>
        <v>0.54391312630977329</v>
      </c>
      <c r="F3" s="45">
        <f>1892/D3</f>
        <v>0.36044960944941895</v>
      </c>
      <c r="G3" s="45">
        <f>2276/D3</f>
        <v>0.43360640121927985</v>
      </c>
    </row>
    <row r="4" spans="1:7" x14ac:dyDescent="0.3">
      <c r="A4" s="1">
        <v>2017</v>
      </c>
      <c r="B4" s="47">
        <v>193</v>
      </c>
      <c r="C4" s="45">
        <f>171/B4</f>
        <v>0.88601036269430056</v>
      </c>
      <c r="D4" s="47">
        <v>5414</v>
      </c>
      <c r="E4" s="45">
        <f>3631/D4</f>
        <v>0.67066863686738087</v>
      </c>
      <c r="F4" s="45">
        <f>2102/D4</f>
        <v>0.38825267824159587</v>
      </c>
      <c r="G4" s="45">
        <f>3145/D4</f>
        <v>0.58090136682674542</v>
      </c>
    </row>
    <row r="5" spans="1:7" x14ac:dyDescent="0.3">
      <c r="A5" s="1">
        <v>2018</v>
      </c>
      <c r="B5" s="47">
        <v>175</v>
      </c>
      <c r="C5" s="45">
        <f>156/B5</f>
        <v>0.89142857142857146</v>
      </c>
      <c r="D5" s="47">
        <v>5530</v>
      </c>
      <c r="E5" s="45">
        <f>3947/D5</f>
        <v>0.71374321880650993</v>
      </c>
      <c r="F5" s="45">
        <f>2711/D5</f>
        <v>0.49023508137432187</v>
      </c>
      <c r="G5" s="45">
        <f>3477/D5</f>
        <v>0.62875226039783005</v>
      </c>
    </row>
    <row r="6" spans="1:7" x14ac:dyDescent="0.3">
      <c r="A6" s="1">
        <v>2015</v>
      </c>
      <c r="B6" s="48">
        <v>935</v>
      </c>
      <c r="C6" s="49">
        <f>737/B6</f>
        <v>0.78823529411764703</v>
      </c>
      <c r="D6" s="50">
        <v>21201</v>
      </c>
      <c r="E6" s="49">
        <f>12190/D6</f>
        <v>0.57497287863780011</v>
      </c>
      <c r="F6" s="49">
        <f>7626/D6</f>
        <v>0.35970001415027592</v>
      </c>
      <c r="G6" s="58">
        <f>9234/D6</f>
        <v>0.43554549313711616</v>
      </c>
    </row>
    <row r="7" spans="1:7" x14ac:dyDescent="0.3">
      <c r="A7" s="1">
        <v>2016</v>
      </c>
      <c r="B7" s="48">
        <v>979</v>
      </c>
      <c r="C7" s="49">
        <f>812/B7</f>
        <v>0.82941777323799792</v>
      </c>
      <c r="D7" s="50">
        <v>22510</v>
      </c>
      <c r="E7" s="49">
        <f>13154/D7</f>
        <v>0.58436250555308755</v>
      </c>
      <c r="F7" s="49">
        <f>8369/D7</f>
        <v>0.37179031541537094</v>
      </c>
      <c r="G7" s="58">
        <f>10738/D7</f>
        <v>0.4770324300310973</v>
      </c>
    </row>
    <row r="8" spans="1:7" x14ac:dyDescent="0.3">
      <c r="A8" s="1">
        <v>2017</v>
      </c>
      <c r="B8" s="48">
        <v>981</v>
      </c>
      <c r="C8" s="49">
        <f>876/B8</f>
        <v>0.89296636085626913</v>
      </c>
      <c r="D8" s="50">
        <v>23131</v>
      </c>
      <c r="E8" s="49">
        <f>15309/D8</f>
        <v>0.66183909039816691</v>
      </c>
      <c r="F8" s="49">
        <f>9029/D8</f>
        <v>0.39034196532791493</v>
      </c>
      <c r="G8" s="58">
        <f>12416/D8</f>
        <v>0.53676883835545375</v>
      </c>
    </row>
    <row r="9" spans="1:7" x14ac:dyDescent="0.3">
      <c r="A9" s="1">
        <v>2018</v>
      </c>
      <c r="B9" s="48">
        <v>979</v>
      </c>
      <c r="C9" s="49">
        <f>849/B9</f>
        <v>0.86721144024514807</v>
      </c>
      <c r="D9" s="50">
        <v>23530</v>
      </c>
      <c r="E9" s="49">
        <f>16689/D9</f>
        <v>0.70926476838079044</v>
      </c>
      <c r="F9" s="49">
        <f>10969/D9</f>
        <v>0.46617084572885675</v>
      </c>
      <c r="G9" s="58">
        <f>13888/D9</f>
        <v>0.59022524436889079</v>
      </c>
    </row>
    <row r="11" spans="1:7" x14ac:dyDescent="0.3">
      <c r="B11" s="47" t="s">
        <v>70</v>
      </c>
      <c r="C11" s="47"/>
      <c r="D11" s="47"/>
    </row>
    <row r="12" spans="1:7" x14ac:dyDescent="0.3">
      <c r="B12" s="50" t="s">
        <v>45</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zoomScale="120" zoomScaleNormal="120" workbookViewId="0">
      <selection activeCell="C1" sqref="C1"/>
    </sheetView>
  </sheetViews>
  <sheetFormatPr defaultColWidth="8.77734375" defaultRowHeight="14.4" x14ac:dyDescent="0.3"/>
  <cols>
    <col min="1" max="1" width="25.33203125" customWidth="1"/>
  </cols>
  <sheetData>
    <row r="1" spans="1:11" x14ac:dyDescent="0.3">
      <c r="A1" t="s">
        <v>24</v>
      </c>
      <c r="C1" t="s">
        <v>71</v>
      </c>
    </row>
    <row r="2" spans="1:11" x14ac:dyDescent="0.3">
      <c r="J2" s="9"/>
      <c r="K2" s="9"/>
    </row>
    <row r="4" spans="1:11" x14ac:dyDescent="0.3">
      <c r="A4" s="11" t="s">
        <v>64</v>
      </c>
      <c r="B4" s="12">
        <v>1235072</v>
      </c>
    </row>
    <row r="5" spans="1:11" x14ac:dyDescent="0.3">
      <c r="B5" s="30"/>
    </row>
    <row r="6" spans="1:11" x14ac:dyDescent="0.3">
      <c r="A6" t="s">
        <v>44</v>
      </c>
    </row>
    <row r="8" spans="1:11" x14ac:dyDescent="0.3">
      <c r="A8" t="s">
        <v>65</v>
      </c>
      <c r="B8" s="12">
        <v>309833</v>
      </c>
    </row>
    <row r="9" spans="1:11" x14ac:dyDescent="0.3">
      <c r="A9" t="s">
        <v>66</v>
      </c>
      <c r="B9" s="12">
        <v>230149</v>
      </c>
      <c r="D9" s="9"/>
      <c r="E9" s="9"/>
      <c r="F9" s="9"/>
    </row>
    <row r="10" spans="1:11" x14ac:dyDescent="0.3">
      <c r="A10" t="s">
        <v>67</v>
      </c>
      <c r="B10" s="31">
        <v>179746</v>
      </c>
    </row>
    <row r="11" spans="1:11" x14ac:dyDescent="0.3">
      <c r="A11" t="s">
        <v>68</v>
      </c>
      <c r="B11" s="31">
        <v>93649</v>
      </c>
    </row>
    <row r="13" spans="1:11" x14ac:dyDescent="0.3">
      <c r="A13" s="10"/>
      <c r="B13" s="31"/>
    </row>
    <row r="14" spans="1:11" x14ac:dyDescent="0.3">
      <c r="A14" s="10"/>
      <c r="B14" s="31"/>
    </row>
    <row r="15" spans="1:11" x14ac:dyDescent="0.3">
      <c r="A15" t="s">
        <v>46</v>
      </c>
      <c r="B15" s="16"/>
    </row>
    <row r="16" spans="1:11" x14ac:dyDescent="0.3">
      <c r="A16" t="s">
        <v>47</v>
      </c>
    </row>
    <row r="17" spans="2:2" x14ac:dyDescent="0.3">
      <c r="B17" t="s">
        <v>48</v>
      </c>
    </row>
    <row r="18" spans="2:2" x14ac:dyDescent="0.3">
      <c r="B18" t="s">
        <v>49</v>
      </c>
    </row>
    <row r="19" spans="2:2" x14ac:dyDescent="0.3">
      <c r="B19" s="1" t="s">
        <v>50</v>
      </c>
    </row>
    <row r="20" spans="2:2" x14ac:dyDescent="0.3">
      <c r="B20" t="s">
        <v>51</v>
      </c>
    </row>
    <row r="21" spans="2:2" x14ac:dyDescent="0.3">
      <c r="B21" t="s">
        <v>52</v>
      </c>
    </row>
    <row r="22" spans="2:2" x14ac:dyDescent="0.3">
      <c r="B22" t="s">
        <v>53</v>
      </c>
    </row>
    <row r="23" spans="2:2" x14ac:dyDescent="0.3">
      <c r="B23" t="s">
        <v>54</v>
      </c>
    </row>
    <row r="24" spans="2:2" x14ac:dyDescent="0.3">
      <c r="B24" s="57" t="s">
        <v>55</v>
      </c>
    </row>
    <row r="25" spans="2:2" x14ac:dyDescent="0.3">
      <c r="B25" t="s">
        <v>56</v>
      </c>
    </row>
    <row r="26" spans="2:2" x14ac:dyDescent="0.3">
      <c r="B26" t="s">
        <v>57</v>
      </c>
    </row>
    <row r="27" spans="2:2" x14ac:dyDescent="0.3">
      <c r="B27" s="57" t="s">
        <v>58</v>
      </c>
    </row>
    <row r="29" spans="2:2" x14ac:dyDescent="0.3">
      <c r="B29" s="8" t="s">
        <v>59</v>
      </c>
    </row>
    <row r="30" spans="2:2" x14ac:dyDescent="0.3">
      <c r="B30" s="8" t="s">
        <v>60</v>
      </c>
    </row>
    <row r="31" spans="2:2" x14ac:dyDescent="0.3">
      <c r="B31" s="8" t="s">
        <v>61</v>
      </c>
    </row>
    <row r="32" spans="2:2" x14ac:dyDescent="0.3">
      <c r="B32" s="8" t="s">
        <v>62</v>
      </c>
    </row>
    <row r="33" spans="2:2" x14ac:dyDescent="0.3">
      <c r="B33" s="8" t="s">
        <v>63</v>
      </c>
    </row>
    <row r="39" spans="2:2" x14ac:dyDescent="0.3">
      <c r="B39" s="8"/>
    </row>
  </sheetData>
  <hyperlinks>
    <hyperlink ref="B29" r:id="rId1"/>
    <hyperlink ref="B31" r:id="rId2"/>
    <hyperlink ref="B32" r:id="rId3"/>
    <hyperlink ref="B30" r:id="rId4"/>
    <hyperlink ref="B33"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19" t="s">
        <v>28</v>
      </c>
      <c r="B1" s="20" t="s">
        <v>29</v>
      </c>
      <c r="C1" s="21" t="s">
        <v>35</v>
      </c>
    </row>
    <row r="2" spans="1:3" x14ac:dyDescent="0.3">
      <c r="A2" s="19" t="s">
        <v>31</v>
      </c>
      <c r="B2" s="22" t="s">
        <v>27</v>
      </c>
      <c r="C2" s="23"/>
    </row>
    <row r="3" spans="1:3" ht="43.2" x14ac:dyDescent="0.3">
      <c r="A3" s="24" t="s">
        <v>30</v>
      </c>
      <c r="B3" s="18" t="s">
        <v>36</v>
      </c>
      <c r="C3" s="25" t="s">
        <v>37</v>
      </c>
    </row>
    <row r="4" spans="1:3" x14ac:dyDescent="0.3">
      <c r="A4" s="26" t="s">
        <v>32</v>
      </c>
      <c r="B4" s="22" t="s">
        <v>26</v>
      </c>
      <c r="C4" s="23"/>
    </row>
    <row r="5" spans="1:3" ht="28.8" x14ac:dyDescent="0.3">
      <c r="A5" s="26" t="s">
        <v>33</v>
      </c>
      <c r="B5" s="17" t="s">
        <v>34</v>
      </c>
      <c r="C5" s="27" t="s">
        <v>38</v>
      </c>
    </row>
    <row r="6" spans="1:3" x14ac:dyDescent="0.3">
      <c r="A6" s="26" t="s">
        <v>39</v>
      </c>
      <c r="B6" s="17" t="s">
        <v>40</v>
      </c>
      <c r="C6" s="27" t="s">
        <v>38</v>
      </c>
    </row>
    <row r="7" spans="1:3" x14ac:dyDescent="0.3">
      <c r="A7" s="26" t="s">
        <v>41</v>
      </c>
      <c r="B7" s="18" t="s">
        <v>42</v>
      </c>
      <c r="C7" s="28" t="s">
        <v>38</v>
      </c>
    </row>
    <row r="8" spans="1:3" x14ac:dyDescent="0.3">
      <c r="A8" s="29" t="s">
        <v>43</v>
      </c>
    </row>
    <row r="9" spans="1:3" x14ac:dyDescent="0.3">
      <c r="B9" s="16"/>
    </row>
    <row r="10" spans="1:3" x14ac:dyDescent="0.3">
      <c r="A10" s="1" t="s">
        <v>23</v>
      </c>
      <c r="B10" s="16"/>
    </row>
    <row r="11" spans="1:3" x14ac:dyDescent="0.3">
      <c r="B11" s="16"/>
    </row>
    <row r="12" spans="1:3" x14ac:dyDescent="0.3">
      <c r="B12" s="16"/>
    </row>
    <row r="13" spans="1:3" x14ac:dyDescent="0.3">
      <c r="B13" s="16"/>
    </row>
    <row r="14" spans="1:3" x14ac:dyDescent="0.3">
      <c r="B14" s="16"/>
    </row>
    <row r="15" spans="1:3" x14ac:dyDescent="0.3">
      <c r="B15" s="16"/>
    </row>
    <row r="16" spans="1:3" x14ac:dyDescent="0.3">
      <c r="B16" s="16"/>
    </row>
    <row r="17" spans="2:2" x14ac:dyDescent="0.3">
      <c r="B17" s="16"/>
    </row>
    <row r="18" spans="2:2" x14ac:dyDescent="0.3">
      <c r="B18" s="16"/>
    </row>
    <row r="19" spans="2:2" x14ac:dyDescent="0.3">
      <c r="B19" s="16"/>
    </row>
    <row r="20" spans="2:2" x14ac:dyDescent="0.3">
      <c r="B20" s="16"/>
    </row>
    <row r="21" spans="2:2" x14ac:dyDescent="0.3">
      <c r="B21" s="16"/>
    </row>
    <row r="22" spans="2:2" x14ac:dyDescent="0.3">
      <c r="B22" s="16"/>
    </row>
    <row r="23" spans="2:2" x14ac:dyDescent="0.3">
      <c r="B23" s="16"/>
    </row>
    <row r="24" spans="2:2" x14ac:dyDescent="0.3">
      <c r="B24" s="16"/>
    </row>
    <row r="25" spans="2:2" x14ac:dyDescent="0.3">
      <c r="B25" s="16"/>
    </row>
    <row r="26" spans="2:2" x14ac:dyDescent="0.3">
      <c r="B26" s="16"/>
    </row>
    <row r="27" spans="2:2" x14ac:dyDescent="0.3">
      <c r="B2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2020-05-23T13:38:33Z</dcterms:created>
  <dcterms:modified xsi:type="dcterms:W3CDTF">2020-10-06T05:11:19Z</dcterms:modified>
</cp:coreProperties>
</file>