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24" yWindow="456" windowWidth="28776" windowHeight="15936"/>
  </bookViews>
  <sheets>
    <sheet name="Stratified_Data_v2" sheetId="6" r:id="rId1"/>
    <sheet name="Stratified_Data_v1" sheetId="1" r:id="rId2"/>
    <sheet name="Total_Data" sheetId="4" r:id="rId3"/>
    <sheet name="Comments" sheetId="2" r:id="rId4"/>
    <sheet name="Indicator definitions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6" l="1"/>
  <c r="AD3" i="6"/>
  <c r="AC3" i="6"/>
  <c r="AA3" i="6"/>
  <c r="W3" i="6"/>
  <c r="Y13" i="6"/>
  <c r="Y9" i="6"/>
  <c r="V13" i="6"/>
  <c r="V9" i="6"/>
  <c r="Q3" i="6"/>
  <c r="S13" i="6"/>
  <c r="S9" i="6"/>
  <c r="P13" i="6"/>
  <c r="P9" i="6"/>
  <c r="J9" i="6"/>
  <c r="J13" i="6"/>
  <c r="K3" i="6"/>
  <c r="D9" i="6"/>
  <c r="D13" i="6"/>
  <c r="E3" i="6"/>
  <c r="I9" i="6"/>
  <c r="I6" i="6"/>
  <c r="I8" i="6"/>
  <c r="M13" i="6"/>
  <c r="M9" i="6"/>
  <c r="G13" i="6"/>
  <c r="G9" i="6"/>
  <c r="O9" i="1"/>
  <c r="Z5" i="1"/>
  <c r="Z4" i="1"/>
  <c r="Z6" i="1"/>
  <c r="Z8" i="1"/>
  <c r="Z7" i="1"/>
  <c r="Z13" i="1"/>
  <c r="Z12" i="1"/>
  <c r="Z11" i="1"/>
  <c r="Z10" i="1"/>
  <c r="Z9" i="1"/>
  <c r="L8" i="1"/>
  <c r="U3" i="1"/>
  <c r="T3" i="1"/>
  <c r="S3" i="1"/>
  <c r="Q3" i="1"/>
  <c r="G17" i="1"/>
  <c r="G16" i="1"/>
  <c r="G15" i="1"/>
  <c r="G14" i="1"/>
  <c r="C17" i="1"/>
  <c r="C16" i="1"/>
  <c r="C15" i="1"/>
  <c r="C14" i="1"/>
  <c r="F6" i="1"/>
  <c r="F5" i="1"/>
  <c r="F4" i="1"/>
  <c r="F8" i="1"/>
  <c r="F7" i="1"/>
  <c r="F13" i="1"/>
  <c r="F12" i="1"/>
  <c r="F11" i="1"/>
  <c r="F10" i="1"/>
  <c r="F9" i="1"/>
  <c r="F17" i="1"/>
  <c r="F14" i="1"/>
  <c r="I3" i="1"/>
  <c r="H3" i="1"/>
  <c r="B8" i="1"/>
  <c r="B7" i="1"/>
  <c r="B6" i="1"/>
  <c r="B5" i="1"/>
  <c r="B4" i="1"/>
  <c r="B13" i="1"/>
  <c r="B12" i="1"/>
  <c r="B11" i="1"/>
  <c r="B10" i="1"/>
  <c r="B9" i="1"/>
  <c r="B17" i="1"/>
  <c r="B14" i="1"/>
  <c r="B3" i="1"/>
  <c r="E3" i="1"/>
  <c r="D3" i="1"/>
</calcChain>
</file>

<file path=xl/sharedStrings.xml><?xml version="1.0" encoding="utf-8"?>
<sst xmlns="http://schemas.openxmlformats.org/spreadsheetml/2006/main" count="166" uniqueCount="78">
  <si>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</si>
  <si>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</si>
  <si>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</si>
  <si>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</si>
  <si>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</si>
  <si>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</si>
  <si>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</si>
  <si>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</si>
  <si>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</si>
  <si>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</si>
  <si>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</si>
  <si>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</si>
  <si>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</si>
  <si>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</si>
  <si>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</si>
  <si>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</si>
  <si>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</si>
  <si>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</si>
  <si>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</si>
  <si>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</si>
  <si>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</si>
  <si>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</si>
  <si>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</si>
  <si>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</si>
  <si>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</si>
  <si>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</si>
  <si>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</si>
  <si>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</si>
  <si>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</si>
  <si>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</si>
  <si>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</si>
  <si>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</si>
  <si>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</si>
  <si>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</si>
  <si>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</si>
  <si>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</si>
  <si>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</si>
  <si>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</si>
  <si>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</si>
  <si>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</si>
  <si>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</si>
  <si>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</si>
  <si>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</si>
  <si>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</si>
  <si>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</si>
  <si>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Marion County </t>
  </si>
  <si>
    <t>Hamilton County</t>
  </si>
  <si>
    <t>Hendricks County</t>
  </si>
  <si>
    <t>Johnson County</t>
  </si>
  <si>
    <t>Madison County</t>
  </si>
  <si>
    <t>Hancock County</t>
  </si>
  <si>
    <t>Morgan County</t>
  </si>
  <si>
    <t>Boone County</t>
  </si>
  <si>
    <t>Shelby County</t>
  </si>
  <si>
    <t>Putnam County</t>
  </si>
  <si>
    <t>Brown County</t>
  </si>
  <si>
    <t>Other counties in MSA</t>
  </si>
  <si>
    <t>Marion County is home to 41% of all PLWH in Indiana.</t>
  </si>
  <si>
    <t>The Indianapolis TGA includes Marion and the surrounding counties: Boone, Brown, Hamilton, Hancock, Hendricks, Johnson, Morgan, Putnam, and Shelby</t>
  </si>
  <si>
    <t>The 5,890 PLWH in the TGA in Indiana represent 46% of all PLWH in Indiana.</t>
  </si>
  <si>
    <t>(So Marion and TGA are very similar)</t>
  </si>
  <si>
    <t>https://www.in.gov/isdh/23266.htm</t>
  </si>
  <si>
    <t>in.gov/isdh/files/2019%20Needs%20Assessment%20for%20People%20Living%20with%20HIV%20Final%20Report.pdf</t>
  </si>
  <si>
    <t xml:space="preserve">2019 Needs Assessment </t>
  </si>
  <si>
    <t>https://www.in.gov/isdh/files/Care%20Continum2019.pdf</t>
  </si>
  <si>
    <t xml:space="preserve">2018 Continuum - Indiana </t>
  </si>
  <si>
    <t>Indiana data</t>
  </si>
  <si>
    <t>https://www.in.gov/isdh/files/At%20A%20Glance2019.pdf</t>
  </si>
  <si>
    <t>https://www.in.gov/isdh/files/Continuum%20of%20HIV%20Care.pdf</t>
  </si>
  <si>
    <t>2017 Continuum - Indiana</t>
  </si>
  <si>
    <t>https://www.in.gov/isdh/files/Final%20STATE%20OF%20INDIANA%20INTEGRATED%20PREVENTION%20AND%20CARE%20PLAN%202016(a).pdf</t>
  </si>
  <si>
    <t>2016 Integrated Plan</t>
  </si>
  <si>
    <t>Indianapolis TGA</t>
  </si>
  <si>
    <t>Totals from epi reports</t>
  </si>
  <si>
    <t>http://www.ryanwhiteindytga.org/Resources</t>
  </si>
  <si>
    <t>*assumed that engaged was number with VL measured (sum of ages) / prevalent</t>
  </si>
  <si>
    <t>NOT USING THIS DATA SINCE WE ONLY HAVE TWO YEARS DIAGNOSED</t>
  </si>
  <si>
    <t>NOT GOING TO USE 2019 data - prevalence drops and suppression drops - I think they probably have delayed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</si>
</sst>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0" fontId="0" fillId="0" borderId="0" xfId="0" applyFill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10" fontId="0" fillId="0" borderId="0" xfId="0" applyNumberFormat="1"/>
    <xf numFmtId="3" fontId="0" fillId="0" borderId="0" xfId="0" applyNumberFormat="1" applyFill="1"/>
    <xf numFmtId="10" fontId="0" fillId="0" borderId="0" xfId="0" applyNumberFormat="1" applyFill="1"/>
    <xf numFmtId="0" fontId="1" fillId="2" borderId="0" xfId="0" applyFont="1" applyFill="1"/>
    <xf numFmtId="0" fontId="0" fillId="2" borderId="2" xfId="0" applyFill="1" applyBorder="1"/>
    <xf numFmtId="164" fontId="0" fillId="2" borderId="2" xfId="0" applyNumberFormat="1" applyFill="1" applyBorder="1"/>
    <xf numFmtId="1" fontId="0" fillId="2" borderId="3" xfId="0" applyNumberFormat="1" applyFill="1" applyBorder="1"/>
    <xf numFmtId="0" fontId="0" fillId="2" borderId="3" xfId="0" applyFill="1" applyBorder="1"/>
    <xf numFmtId="1" fontId="0" fillId="2" borderId="0" xfId="0" applyNumberFormat="1" applyFill="1" applyBorder="1"/>
    <xf numFmtId="0" fontId="0" fillId="2" borderId="0" xfId="0" applyFill="1" applyBorder="1"/>
    <xf numFmtId="1" fontId="0" fillId="2" borderId="1" xfId="0" applyNumberFormat="1" applyFill="1" applyBorder="1"/>
    <xf numFmtId="0" fontId="0" fillId="2" borderId="1" xfId="0" applyFill="1" applyBorder="1"/>
    <xf numFmtId="2" fontId="0" fillId="2" borderId="3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2" xfId="0" applyFill="1" applyBorder="1"/>
    <xf numFmtId="164" fontId="0" fillId="3" borderId="2" xfId="0" applyNumberFormat="1" applyFill="1" applyBorder="1"/>
    <xf numFmtId="1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 applyBorder="1"/>
    <xf numFmtId="0" fontId="0" fillId="3" borderId="0" xfId="0" applyFill="1" applyBorder="1"/>
    <xf numFmtId="1" fontId="0" fillId="3" borderId="1" xfId="0" applyNumberFormat="1" applyFill="1" applyBorder="1"/>
    <xf numFmtId="0" fontId="0" fillId="3" borderId="1" xfId="0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164" fontId="0" fillId="3" borderId="3" xfId="0" applyNumberFormat="1" applyFill="1" applyBorder="1"/>
    <xf numFmtId="164" fontId="0" fillId="3" borderId="0" xfId="0" applyNumberFormat="1" applyFill="1" applyBorder="1"/>
    <xf numFmtId="164" fontId="0" fillId="3" borderId="1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/isdh/files/At%20A%20Glance2019.pdf" TargetMode="External"/><Relationship Id="rId2" Type="http://schemas.openxmlformats.org/officeDocument/2006/relationships/hyperlink" Target="https://www.in.gov/isdh/files/Care%20Continum2019.pdf" TargetMode="External"/><Relationship Id="rId1" Type="http://schemas.openxmlformats.org/officeDocument/2006/relationships/hyperlink" Target="https://www.in.gov/isdh/23266.htm" TargetMode="External"/><Relationship Id="rId5" Type="http://schemas.openxmlformats.org/officeDocument/2006/relationships/hyperlink" Target="https://www.in.gov/isdh/files/Final%20STATE%20OF%20INDIANA%20INTEGRATED%20PREVENTION%20AND%20CARE%20PLAN%202016(a).pdf" TargetMode="External"/><Relationship Id="rId4" Type="http://schemas.openxmlformats.org/officeDocument/2006/relationships/hyperlink" Target="https://www.in.gov/isdh/files/Continuum%20of%20HIV%20Car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ColWidth="8.77734375" defaultRowHeight="14.4" x14ac:dyDescent="0.3"/>
  <cols>
    <col min="1" max="1" width="13.33203125" style="1" customWidth="1"/>
  </cols>
  <sheetData>
    <row r="1" spans="1:35" s="1" customFormat="1" x14ac:dyDescent="0.3">
      <c r="A1" s="1" t="s">
        <v>22</v>
      </c>
      <c r="B1" s="52" t="s">
        <v>19</v>
      </c>
      <c r="C1" s="52" t="s">
        <v>18</v>
      </c>
      <c r="D1" s="52" t="s">
        <v>17</v>
      </c>
      <c r="E1" s="52" t="s">
        <v>21</v>
      </c>
      <c r="F1" s="52" t="s">
        <v>26</v>
      </c>
      <c r="G1" s="52" t="s">
        <v>16</v>
      </c>
      <c r="H1" s="52" t="s">
        <v>19</v>
      </c>
      <c r="I1" s="52" t="s">
        <v>18</v>
      </c>
      <c r="J1" s="52" t="s">
        <v>17</v>
      </c>
      <c r="K1" s="52" t="s">
        <v>21</v>
      </c>
      <c r="L1" s="52" t="s">
        <v>26</v>
      </c>
      <c r="M1" s="52" t="s">
        <v>16</v>
      </c>
      <c r="N1" s="52" t="s">
        <v>19</v>
      </c>
      <c r="O1" s="52" t="s">
        <v>18</v>
      </c>
      <c r="P1" s="52" t="s">
        <v>17</v>
      </c>
      <c r="Q1" s="52" t="s">
        <v>21</v>
      </c>
      <c r="R1" s="52" t="s">
        <v>26</v>
      </c>
      <c r="S1" s="52" t="s">
        <v>16</v>
      </c>
      <c r="T1" s="52" t="s">
        <v>19</v>
      </c>
      <c r="U1" s="52" t="s">
        <v>18</v>
      </c>
      <c r="V1" s="52" t="s">
        <v>17</v>
      </c>
      <c r="W1" s="52" t="s">
        <v>21</v>
      </c>
      <c r="X1" s="52" t="s">
        <v>26</v>
      </c>
      <c r="Y1" s="52" t="s">
        <v>16</v>
      </c>
      <c r="Z1" s="52" t="s">
        <v>19</v>
      </c>
      <c r="AA1" s="52" t="s">
        <v>18</v>
      </c>
      <c r="AB1" s="52" t="s">
        <v>17</v>
      </c>
      <c r="AC1" s="52" t="s">
        <v>21</v>
      </c>
      <c r="AD1" s="52" t="s">
        <v>26</v>
      </c>
      <c r="AE1" s="52" t="s">
        <v>16</v>
      </c>
      <c r="AF1" s="52" t="s">
        <v>18</v>
      </c>
      <c r="AG1" s="52" t="s">
        <v>26</v>
      </c>
      <c r="AH1" s="52" t="s">
        <v>16</v>
      </c>
      <c r="AI1" s="52" t="s">
        <v>18</v>
      </c>
    </row>
    <row r="2" spans="1:35" s="1" customFormat="1" x14ac:dyDescent="0.3">
      <c r="A2" s="1" t="s">
        <v>15</v>
      </c>
      <c r="B2" s="52">
        <v>2019</v>
      </c>
      <c r="C2" s="52">
        <v>2019</v>
      </c>
      <c r="D2" s="52">
        <v>2019</v>
      </c>
      <c r="E2" s="52">
        <v>2019</v>
      </c>
      <c r="F2" s="52">
        <v>2019</v>
      </c>
      <c r="G2" s="52">
        <v>2019</v>
      </c>
      <c r="H2" s="52">
        <v>2018</v>
      </c>
      <c r="I2" s="52">
        <v>2018</v>
      </c>
      <c r="J2" s="52">
        <v>2018</v>
      </c>
      <c r="K2" s="52">
        <v>2018</v>
      </c>
      <c r="L2" s="52">
        <v>2018</v>
      </c>
      <c r="M2" s="52">
        <v>2018</v>
      </c>
      <c r="N2" s="52">
        <v>2017</v>
      </c>
      <c r="O2" s="52">
        <v>2017</v>
      </c>
      <c r="P2" s="52">
        <v>2017</v>
      </c>
      <c r="Q2" s="52">
        <v>2017</v>
      </c>
      <c r="R2" s="52">
        <v>2017</v>
      </c>
      <c r="S2" s="52">
        <v>2017</v>
      </c>
      <c r="T2" s="52">
        <v>2016</v>
      </c>
      <c r="U2" s="52">
        <v>2016</v>
      </c>
      <c r="V2" s="52">
        <v>2016</v>
      </c>
      <c r="W2" s="52">
        <v>2016</v>
      </c>
      <c r="X2" s="52">
        <v>2016</v>
      </c>
      <c r="Y2" s="52">
        <v>2016</v>
      </c>
      <c r="Z2" s="52">
        <v>2015</v>
      </c>
      <c r="AA2" s="52">
        <v>2015</v>
      </c>
      <c r="AB2" s="52">
        <v>2015</v>
      </c>
      <c r="AC2" s="52">
        <v>2015</v>
      </c>
      <c r="AD2" s="52">
        <v>2015</v>
      </c>
      <c r="AE2" s="52">
        <v>2015</v>
      </c>
      <c r="AF2" s="52">
        <v>2014</v>
      </c>
      <c r="AG2" s="52">
        <v>2014</v>
      </c>
      <c r="AH2" s="52">
        <v>2014</v>
      </c>
      <c r="AI2" s="52">
        <v>2013</v>
      </c>
    </row>
    <row r="3" spans="1:35" s="5" customFormat="1" x14ac:dyDescent="0.3">
      <c r="A3" s="4" t="s">
        <v>0</v>
      </c>
      <c r="B3" s="53">
        <v>271</v>
      </c>
      <c r="C3" s="53">
        <v>0.64600000000000002</v>
      </c>
      <c r="D3" s="53">
        <v>5745</v>
      </c>
      <c r="E3" s="53">
        <f>(SUM(D9:D13)+29+37)/D3</f>
        <v>0.6557006092254134</v>
      </c>
      <c r="F3" s="54">
        <v>0.432</v>
      </c>
      <c r="G3" s="54">
        <v>0.57599999999999996</v>
      </c>
      <c r="H3" s="53">
        <v>243</v>
      </c>
      <c r="I3" s="53">
        <v>0.81100000000000005</v>
      </c>
      <c r="J3" s="53">
        <v>6196</v>
      </c>
      <c r="K3" s="53">
        <f>(SUM(J9:J13)+28+25)/J3</f>
        <v>0.72982569399612651</v>
      </c>
      <c r="L3" s="54">
        <v>0.51400000000000001</v>
      </c>
      <c r="M3" s="54">
        <v>0.61699999999999999</v>
      </c>
      <c r="N3" s="53">
        <v>283</v>
      </c>
      <c r="O3" s="64">
        <v>0.62</v>
      </c>
      <c r="P3" s="53">
        <v>6047</v>
      </c>
      <c r="Q3" s="54">
        <f>(SUM(P9:P13)+25+37)/P3</f>
        <v>0.7302794774268232</v>
      </c>
      <c r="R3" s="54">
        <v>0.53500000000000003</v>
      </c>
      <c r="S3" s="54">
        <v>0.62</v>
      </c>
      <c r="T3" s="53">
        <v>239</v>
      </c>
      <c r="U3" s="53">
        <v>0.83699999999999997</v>
      </c>
      <c r="V3" s="53">
        <v>5907</v>
      </c>
      <c r="W3" s="54">
        <f>(SUM(V9:V13)+25+58)/V3</f>
        <v>0.72337904181479595</v>
      </c>
      <c r="X3" s="54">
        <v>0.53600000000000003</v>
      </c>
      <c r="Y3" s="54">
        <v>0.629</v>
      </c>
      <c r="Z3" s="53">
        <v>225</v>
      </c>
      <c r="AA3" s="53">
        <f>189/Z3</f>
        <v>0.84</v>
      </c>
      <c r="AB3" s="53">
        <v>5674</v>
      </c>
      <c r="AC3" s="54">
        <f>4088/AB3</f>
        <v>0.72047937962636588</v>
      </c>
      <c r="AD3" s="54">
        <f>2802/AB3</f>
        <v>0.49383151216073318</v>
      </c>
      <c r="AE3" s="54">
        <f>3378/AB3</f>
        <v>0.59534719774409584</v>
      </c>
      <c r="AF3" s="53">
        <v>0.78900000000000003</v>
      </c>
      <c r="AG3" s="54">
        <v>0.439</v>
      </c>
      <c r="AH3" s="54">
        <v>0.54</v>
      </c>
      <c r="AI3" s="53">
        <v>0.79200000000000004</v>
      </c>
    </row>
    <row r="4" spans="1:35" s="7" customFormat="1" x14ac:dyDescent="0.3">
      <c r="A4" s="6" t="s">
        <v>1</v>
      </c>
      <c r="B4" s="55"/>
      <c r="C4" s="55"/>
      <c r="D4" s="56">
        <v>1583</v>
      </c>
      <c r="E4" s="56"/>
      <c r="F4" s="55"/>
      <c r="G4" s="56">
        <v>0.5</v>
      </c>
      <c r="H4" s="55"/>
      <c r="I4" s="55"/>
      <c r="J4" s="56">
        <v>2021</v>
      </c>
      <c r="K4" s="56"/>
      <c r="L4" s="65"/>
      <c r="M4" s="65">
        <v>0.57299999999999995</v>
      </c>
      <c r="N4" s="55"/>
      <c r="O4" s="61"/>
      <c r="P4" s="56">
        <v>1970</v>
      </c>
      <c r="Q4" s="56"/>
      <c r="R4" s="55"/>
      <c r="S4" s="61">
        <v>0.57299999999999995</v>
      </c>
      <c r="T4" s="56"/>
      <c r="U4" s="56"/>
      <c r="V4" s="56">
        <v>1839</v>
      </c>
      <c r="W4" s="56"/>
      <c r="X4" s="56"/>
      <c r="Y4" s="56">
        <v>0.59099999999999997</v>
      </c>
      <c r="Z4" s="56"/>
      <c r="AA4" s="56"/>
      <c r="AB4" s="56"/>
      <c r="AC4" s="56"/>
      <c r="AD4" s="56"/>
      <c r="AE4" s="56"/>
      <c r="AF4" s="56">
        <v>0.68</v>
      </c>
      <c r="AG4" s="56"/>
      <c r="AH4" s="56"/>
      <c r="AI4" s="56"/>
    </row>
    <row r="5" spans="1:35" s="9" customFormat="1" x14ac:dyDescent="0.3">
      <c r="A5" s="8" t="s">
        <v>2</v>
      </c>
      <c r="B5" s="57"/>
      <c r="C5" s="57"/>
      <c r="D5" s="58">
        <v>256</v>
      </c>
      <c r="E5" s="58"/>
      <c r="F5" s="57"/>
      <c r="G5" s="58">
        <v>0.39700000000000002</v>
      </c>
      <c r="H5" s="57"/>
      <c r="I5" s="57"/>
      <c r="J5" s="58">
        <v>371</v>
      </c>
      <c r="K5" s="58"/>
      <c r="L5" s="66"/>
      <c r="M5" s="66">
        <v>0.60199999999999998</v>
      </c>
      <c r="N5" s="57"/>
      <c r="O5" s="62"/>
      <c r="P5" s="58">
        <v>338</v>
      </c>
      <c r="Q5" s="58"/>
      <c r="R5" s="57"/>
      <c r="S5" s="62">
        <v>0.65900000000000003</v>
      </c>
      <c r="T5" s="58"/>
      <c r="U5" s="58"/>
      <c r="V5" s="58">
        <v>320</v>
      </c>
      <c r="W5" s="58"/>
      <c r="X5" s="58"/>
      <c r="Y5" s="58">
        <v>0.60099999999999998</v>
      </c>
      <c r="Z5" s="58"/>
      <c r="AA5" s="58"/>
      <c r="AB5" s="58"/>
      <c r="AC5" s="58"/>
      <c r="AD5" s="58"/>
      <c r="AE5" s="58"/>
      <c r="AF5" s="58">
        <v>0.77800000000000002</v>
      </c>
      <c r="AG5" s="58"/>
      <c r="AH5" s="58"/>
      <c r="AI5" s="58"/>
    </row>
    <row r="6" spans="1:35" s="3" customFormat="1" x14ac:dyDescent="0.3">
      <c r="A6" s="2" t="s">
        <v>3</v>
      </c>
      <c r="B6" s="59"/>
      <c r="C6" s="59"/>
      <c r="D6" s="60">
        <v>1689</v>
      </c>
      <c r="E6" s="60"/>
      <c r="F6" s="59"/>
      <c r="G6" s="60">
        <v>0.69899999999999995</v>
      </c>
      <c r="H6" s="59"/>
      <c r="I6" s="59">
        <f>SUM(J4:J6)</f>
        <v>4238</v>
      </c>
      <c r="J6" s="60">
        <v>1846</v>
      </c>
      <c r="K6" s="60"/>
      <c r="L6" s="67"/>
      <c r="M6" s="67">
        <v>0.66500000000000004</v>
      </c>
      <c r="N6" s="59"/>
      <c r="O6" s="63"/>
      <c r="P6" s="60">
        <v>1834</v>
      </c>
      <c r="Q6" s="60"/>
      <c r="R6" s="59"/>
      <c r="S6" s="63">
        <v>0.56899999999999995</v>
      </c>
      <c r="T6" s="60"/>
      <c r="U6" s="60"/>
      <c r="V6" s="60">
        <v>1873</v>
      </c>
      <c r="W6" s="60"/>
      <c r="X6" s="60"/>
      <c r="Y6" s="60">
        <v>0.66200000000000003</v>
      </c>
      <c r="Z6" s="60"/>
      <c r="AA6" s="60"/>
      <c r="AB6" s="60"/>
      <c r="AC6" s="60"/>
      <c r="AD6" s="60"/>
      <c r="AE6" s="60"/>
      <c r="AF6" s="60">
        <v>0.87</v>
      </c>
      <c r="AG6" s="60"/>
      <c r="AH6" s="60"/>
      <c r="AI6" s="60"/>
    </row>
    <row r="7" spans="1:35" s="7" customFormat="1" x14ac:dyDescent="0.3">
      <c r="A7" s="6" t="s">
        <v>4</v>
      </c>
      <c r="B7" s="55"/>
      <c r="C7" s="55"/>
      <c r="D7" s="56">
        <v>2977</v>
      </c>
      <c r="E7" s="56"/>
      <c r="F7" s="55"/>
      <c r="G7" s="56">
        <v>0.58799999999999997</v>
      </c>
      <c r="H7" s="55"/>
      <c r="I7" s="55"/>
      <c r="J7" s="56">
        <v>3516</v>
      </c>
      <c r="K7" s="56"/>
      <c r="L7" s="65"/>
      <c r="M7" s="65">
        <v>0.61299999999999999</v>
      </c>
      <c r="N7" s="55"/>
      <c r="O7" s="61"/>
      <c r="P7" s="56">
        <v>3458</v>
      </c>
      <c r="Q7" s="56"/>
      <c r="R7" s="55"/>
      <c r="S7" s="61">
        <v>0.61299999999999999</v>
      </c>
      <c r="T7" s="56"/>
      <c r="U7" s="56"/>
      <c r="V7" s="56">
        <v>3382</v>
      </c>
      <c r="W7" s="56"/>
      <c r="X7" s="56"/>
      <c r="Y7" s="56">
        <v>0.625</v>
      </c>
      <c r="Z7" s="56"/>
      <c r="AA7" s="56"/>
      <c r="AB7" s="56"/>
      <c r="AC7" s="56"/>
      <c r="AD7" s="56"/>
      <c r="AE7" s="56"/>
      <c r="AF7" s="56"/>
      <c r="AG7" s="56"/>
      <c r="AH7" s="56"/>
      <c r="AI7" s="56"/>
    </row>
    <row r="8" spans="1:35" s="3" customFormat="1" x14ac:dyDescent="0.3">
      <c r="A8" s="2" t="s">
        <v>5</v>
      </c>
      <c r="B8" s="59"/>
      <c r="C8" s="59"/>
      <c r="D8" s="60">
        <v>738</v>
      </c>
      <c r="E8" s="60"/>
      <c r="F8" s="59"/>
      <c r="G8" s="60">
        <v>0.53300000000000003</v>
      </c>
      <c r="H8" s="59"/>
      <c r="I8" s="59">
        <f>SUM(J7:J8)</f>
        <v>4456</v>
      </c>
      <c r="J8" s="60">
        <v>940</v>
      </c>
      <c r="K8" s="60"/>
      <c r="L8" s="67"/>
      <c r="M8" s="67">
        <v>0.63100000000000001</v>
      </c>
      <c r="N8" s="59"/>
      <c r="O8" s="63"/>
      <c r="P8" s="60">
        <v>896</v>
      </c>
      <c r="Q8" s="60"/>
      <c r="R8" s="59"/>
      <c r="S8" s="63">
        <v>0.62</v>
      </c>
      <c r="T8" s="60"/>
      <c r="U8" s="60"/>
      <c r="V8" s="60">
        <v>860</v>
      </c>
      <c r="W8" s="60"/>
      <c r="X8" s="60"/>
      <c r="Y8" s="60">
        <v>0.63</v>
      </c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35" s="7" customFormat="1" x14ac:dyDescent="0.3">
      <c r="A9" s="6" t="s">
        <v>6</v>
      </c>
      <c r="B9" s="55"/>
      <c r="C9" s="55"/>
      <c r="D9" s="61">
        <f>25+99</f>
        <v>124</v>
      </c>
      <c r="E9" s="61"/>
      <c r="F9" s="55"/>
      <c r="G9" s="61">
        <f>(0.5*25+0.404*99)/D9</f>
        <v>0.42335483870967744</v>
      </c>
      <c r="H9" s="55"/>
      <c r="I9" s="55">
        <f>SUM(J9:J13)</f>
        <v>4469</v>
      </c>
      <c r="J9" s="61">
        <f>34+150</f>
        <v>184</v>
      </c>
      <c r="K9" s="61"/>
      <c r="L9" s="65"/>
      <c r="M9" s="61">
        <f>(0.553*34+0.475*150)/J9</f>
        <v>0.48941304347826092</v>
      </c>
      <c r="N9" s="55"/>
      <c r="O9" s="61"/>
      <c r="P9" s="61">
        <f>33+158</f>
        <v>191</v>
      </c>
      <c r="Q9" s="61"/>
      <c r="R9" s="55"/>
      <c r="S9" s="61">
        <f>(0.553*33+0.475*158)/P9</f>
        <v>0.48847643979057598</v>
      </c>
      <c r="T9" s="56"/>
      <c r="U9" s="56"/>
      <c r="V9" s="56">
        <f>34+145</f>
        <v>179</v>
      </c>
      <c r="W9" s="56"/>
      <c r="X9" s="56"/>
      <c r="Y9" s="56">
        <f>(0.676*34+0.535*145)/V9</f>
        <v>0.56178212290502794</v>
      </c>
      <c r="Z9" s="56"/>
      <c r="AA9" s="56"/>
      <c r="AB9" s="56"/>
      <c r="AC9" s="56"/>
      <c r="AD9" s="56"/>
      <c r="AE9" s="56"/>
      <c r="AF9" s="56"/>
      <c r="AG9" s="56"/>
      <c r="AH9" s="56"/>
      <c r="AI9" s="56"/>
    </row>
    <row r="10" spans="1:35" s="9" customFormat="1" x14ac:dyDescent="0.3">
      <c r="A10" s="8" t="s">
        <v>7</v>
      </c>
      <c r="B10" s="57"/>
      <c r="C10" s="57"/>
      <c r="D10" s="58">
        <v>699</v>
      </c>
      <c r="E10" s="58"/>
      <c r="F10" s="57"/>
      <c r="G10" s="58">
        <v>0.46600000000000003</v>
      </c>
      <c r="H10" s="57"/>
      <c r="I10" s="57"/>
      <c r="J10" s="58">
        <v>865</v>
      </c>
      <c r="K10" s="58"/>
      <c r="L10" s="66"/>
      <c r="M10" s="58">
        <v>0.55500000000000005</v>
      </c>
      <c r="N10" s="57"/>
      <c r="O10" s="62"/>
      <c r="P10" s="58">
        <v>861</v>
      </c>
      <c r="Q10" s="58"/>
      <c r="R10" s="57"/>
      <c r="S10" s="62">
        <v>0.55500000000000005</v>
      </c>
      <c r="T10" s="58"/>
      <c r="U10" s="58"/>
      <c r="V10" s="58">
        <v>792</v>
      </c>
      <c r="W10" s="58"/>
      <c r="X10" s="58"/>
      <c r="Y10" s="58">
        <v>0.57799999999999996</v>
      </c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s="9" customFormat="1" x14ac:dyDescent="0.3">
      <c r="A11" s="8" t="s">
        <v>8</v>
      </c>
      <c r="B11" s="57"/>
      <c r="C11" s="57"/>
      <c r="D11" s="62">
        <v>756</v>
      </c>
      <c r="E11" s="62"/>
      <c r="F11" s="57"/>
      <c r="G11" s="62">
        <v>0.54100000000000004</v>
      </c>
      <c r="H11" s="57"/>
      <c r="I11" s="57"/>
      <c r="J11" s="62">
        <v>940</v>
      </c>
      <c r="K11" s="62"/>
      <c r="L11" s="66"/>
      <c r="M11" s="62">
        <v>0.61599999999999999</v>
      </c>
      <c r="N11" s="57"/>
      <c r="O11" s="62"/>
      <c r="P11" s="62">
        <v>916</v>
      </c>
      <c r="Q11" s="62"/>
      <c r="R11" s="57"/>
      <c r="S11" s="62">
        <v>0.61599999999999999</v>
      </c>
      <c r="T11" s="58"/>
      <c r="U11" s="58"/>
      <c r="V11" s="58">
        <v>865</v>
      </c>
      <c r="W11" s="58"/>
      <c r="X11" s="58"/>
      <c r="Y11" s="58">
        <v>0.627</v>
      </c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s="9" customFormat="1" x14ac:dyDescent="0.3">
      <c r="A12" s="8" t="s">
        <v>9</v>
      </c>
      <c r="B12" s="57"/>
      <c r="C12" s="57"/>
      <c r="D12" s="58">
        <v>961</v>
      </c>
      <c r="E12" s="58"/>
      <c r="F12" s="57"/>
      <c r="G12" s="58">
        <v>0.60399999999999998</v>
      </c>
      <c r="H12" s="57"/>
      <c r="I12" s="57"/>
      <c r="J12" s="58">
        <v>1216</v>
      </c>
      <c r="K12" s="58"/>
      <c r="L12" s="66"/>
      <c r="M12" s="58">
        <v>0.61399999999999999</v>
      </c>
      <c r="N12" s="57"/>
      <c r="O12" s="62"/>
      <c r="P12" s="58">
        <v>1237</v>
      </c>
      <c r="Q12" s="58"/>
      <c r="R12" s="57"/>
      <c r="S12" s="58">
        <v>0.61399999999999999</v>
      </c>
      <c r="T12" s="58"/>
      <c r="U12" s="58"/>
      <c r="V12" s="58">
        <v>1299</v>
      </c>
      <c r="W12" s="58"/>
      <c r="X12" s="58"/>
      <c r="Y12" s="58">
        <v>0.63400000000000001</v>
      </c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s="3" customFormat="1" x14ac:dyDescent="0.3">
      <c r="A13" s="2" t="s">
        <v>10</v>
      </c>
      <c r="B13" s="59"/>
      <c r="C13" s="59"/>
      <c r="D13" s="63">
        <f>878+283</f>
        <v>1161</v>
      </c>
      <c r="E13" s="62"/>
      <c r="F13" s="57"/>
      <c r="G13" s="63">
        <f>(0.669*878+0.68*283)/D13</f>
        <v>0.67168130921619307</v>
      </c>
      <c r="H13" s="57"/>
      <c r="I13" s="57"/>
      <c r="J13" s="63">
        <f>965+299</f>
        <v>1264</v>
      </c>
      <c r="K13" s="62"/>
      <c r="L13" s="66"/>
      <c r="M13" s="63">
        <f>(0.684*965+0.69*299)/J13</f>
        <v>0.6854193037974684</v>
      </c>
      <c r="N13" s="57"/>
      <c r="O13" s="62"/>
      <c r="P13" s="63">
        <f>896+253</f>
        <v>1149</v>
      </c>
      <c r="Q13" s="62"/>
      <c r="R13" s="57"/>
      <c r="S13" s="63">
        <f>(0.684*896+0.69*253)/P13</f>
        <v>0.68532114882506523</v>
      </c>
      <c r="T13" s="60"/>
      <c r="U13" s="60"/>
      <c r="V13" s="60">
        <f>827+228</f>
        <v>1055</v>
      </c>
      <c r="W13" s="60"/>
      <c r="X13" s="60"/>
      <c r="Y13" s="60">
        <f>(0.671*827+0.692*228)/V13</f>
        <v>0.67553838862559246</v>
      </c>
      <c r="Z13" s="60"/>
      <c r="AA13" s="60"/>
      <c r="AB13" s="60"/>
      <c r="AC13" s="60"/>
      <c r="AD13" s="60"/>
      <c r="AE13" s="60"/>
      <c r="AF13" s="60"/>
      <c r="AG13" s="60"/>
      <c r="AH13" s="60"/>
      <c r="AI13" s="60"/>
    </row>
    <row r="14" spans="1:35" s="7" customFormat="1" x14ac:dyDescent="0.3">
      <c r="A14" s="6" t="s">
        <v>11</v>
      </c>
      <c r="B14" s="55"/>
      <c r="C14" s="55"/>
      <c r="D14" s="56"/>
      <c r="E14" s="56"/>
      <c r="F14" s="56"/>
      <c r="G14" s="56"/>
      <c r="H14" s="55"/>
      <c r="I14" s="55"/>
      <c r="J14" s="56"/>
      <c r="K14" s="56"/>
      <c r="L14" s="65"/>
      <c r="M14" s="56"/>
      <c r="N14" s="55"/>
      <c r="O14" s="61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</row>
    <row r="15" spans="1:35" s="9" customFormat="1" x14ac:dyDescent="0.3">
      <c r="A15" s="8" t="s">
        <v>12</v>
      </c>
      <c r="B15" s="57"/>
      <c r="C15" s="57"/>
      <c r="D15" s="58"/>
      <c r="E15" s="58"/>
      <c r="F15" s="57"/>
      <c r="G15" s="58"/>
      <c r="H15" s="57"/>
      <c r="I15" s="57"/>
      <c r="J15" s="58"/>
      <c r="K15" s="58"/>
      <c r="L15" s="66"/>
      <c r="M15" s="58"/>
      <c r="N15" s="57"/>
      <c r="O15" s="62"/>
      <c r="P15" s="58"/>
      <c r="Q15" s="58"/>
      <c r="R15" s="57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s="9" customFormat="1" x14ac:dyDescent="0.3">
      <c r="A16" s="8" t="s">
        <v>13</v>
      </c>
      <c r="B16" s="57"/>
      <c r="C16" s="57"/>
      <c r="D16" s="58"/>
      <c r="E16" s="58"/>
      <c r="F16" s="57"/>
      <c r="G16" s="58"/>
      <c r="H16" s="57"/>
      <c r="I16" s="57"/>
      <c r="J16" s="58"/>
      <c r="K16" s="58"/>
      <c r="L16" s="66"/>
      <c r="M16" s="58"/>
      <c r="N16" s="57"/>
      <c r="O16" s="62"/>
      <c r="P16" s="58"/>
      <c r="Q16" s="58"/>
      <c r="R16" s="57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s="3" customFormat="1" x14ac:dyDescent="0.3">
      <c r="A17" s="2" t="s">
        <v>14</v>
      </c>
      <c r="B17" s="59"/>
      <c r="C17" s="59"/>
      <c r="D17" s="60"/>
      <c r="E17" s="60"/>
      <c r="F17" s="60"/>
      <c r="G17" s="60"/>
      <c r="H17" s="59"/>
      <c r="I17" s="59"/>
      <c r="J17" s="60"/>
      <c r="K17" s="60"/>
      <c r="L17" s="67"/>
      <c r="M17" s="60"/>
      <c r="N17" s="59"/>
      <c r="O17" s="63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35" x14ac:dyDescent="0.3">
      <c r="A18" s="1" t="s">
        <v>20</v>
      </c>
      <c r="B18" s="13"/>
      <c r="C18" s="13">
        <v>3</v>
      </c>
      <c r="D18" s="13"/>
      <c r="E18" s="13"/>
      <c r="H18" s="13"/>
      <c r="I18" s="13">
        <v>3</v>
      </c>
      <c r="J18" s="13"/>
      <c r="K18" s="13"/>
      <c r="N18" s="13"/>
      <c r="O18" s="13">
        <v>3</v>
      </c>
      <c r="P18" s="13"/>
      <c r="Q18" s="13"/>
      <c r="T18" s="18"/>
      <c r="U18" s="13">
        <v>3</v>
      </c>
      <c r="V18" s="18"/>
      <c r="W18" s="17"/>
      <c r="X18" s="17"/>
      <c r="Y18" s="17"/>
      <c r="AA18">
        <v>3</v>
      </c>
      <c r="AF18">
        <v>3</v>
      </c>
      <c r="AI18">
        <v>3</v>
      </c>
    </row>
    <row r="19" spans="1:35" x14ac:dyDescent="0.3">
      <c r="B19" t="s">
        <v>77</v>
      </c>
      <c r="T19" s="17"/>
      <c r="U19" s="18"/>
      <c r="V19" s="17"/>
      <c r="W19" s="17"/>
      <c r="X19" s="17"/>
      <c r="Y19" s="17"/>
    </row>
    <row r="20" spans="1:35" x14ac:dyDescent="0.3">
      <c r="B20" s="49" t="s">
        <v>66</v>
      </c>
      <c r="C20" s="49"/>
      <c r="D20" s="49"/>
      <c r="E20" s="49"/>
      <c r="F20" s="17"/>
      <c r="G20" s="17"/>
      <c r="L20" s="17"/>
      <c r="M20" s="17"/>
      <c r="R20" s="17"/>
      <c r="S20" s="17"/>
      <c r="T20" s="18"/>
      <c r="U20" s="17"/>
      <c r="V20" s="18"/>
      <c r="W20" s="17"/>
      <c r="X20" s="17"/>
      <c r="Y20" s="17"/>
      <c r="Z20" s="17"/>
    </row>
    <row r="21" spans="1:35" x14ac:dyDescent="0.3">
      <c r="B21" s="50" t="s">
        <v>72</v>
      </c>
      <c r="C21" s="50"/>
      <c r="D21" s="51"/>
      <c r="E21" s="51"/>
      <c r="F21" s="19"/>
      <c r="G21" s="17"/>
      <c r="H21" s="14"/>
      <c r="I21" s="14"/>
      <c r="L21" s="19"/>
      <c r="M21" s="17"/>
      <c r="N21" s="14"/>
      <c r="O21" s="14"/>
      <c r="R21" s="19"/>
      <c r="S21" s="17"/>
      <c r="T21" s="18"/>
      <c r="U21" s="17"/>
      <c r="V21" s="18"/>
      <c r="W21" s="17"/>
      <c r="X21" s="17"/>
      <c r="Y21" s="17"/>
      <c r="Z21" s="17"/>
    </row>
    <row r="22" spans="1:35" x14ac:dyDescent="0.3">
      <c r="B22" s="14"/>
      <c r="C22" s="14"/>
      <c r="F22" s="19"/>
      <c r="G22" s="17"/>
      <c r="H22" s="14"/>
      <c r="I22" s="14"/>
      <c r="L22" s="19"/>
      <c r="M22" s="17"/>
      <c r="N22" s="14"/>
      <c r="O22" s="14"/>
      <c r="R22" s="19"/>
      <c r="S22" s="17"/>
      <c r="T22" s="18"/>
      <c r="U22" s="17"/>
      <c r="V22" s="18"/>
      <c r="W22" s="17"/>
      <c r="X22" s="17"/>
      <c r="Y22" s="17"/>
      <c r="Z22" s="17"/>
    </row>
    <row r="23" spans="1:35" x14ac:dyDescent="0.3">
      <c r="F23" s="17"/>
      <c r="G23" s="17"/>
      <c r="L23" s="17"/>
      <c r="M23" s="17"/>
      <c r="R23" s="17"/>
      <c r="S23" s="17"/>
      <c r="T23" s="18"/>
      <c r="U23" s="17"/>
      <c r="V23" s="18"/>
      <c r="W23" s="17"/>
      <c r="X23" s="17"/>
      <c r="Y23" s="17"/>
      <c r="Z23" s="17"/>
    </row>
    <row r="24" spans="1:35" x14ac:dyDescent="0.3">
      <c r="F24" s="17"/>
      <c r="G24" s="17"/>
      <c r="L24" s="17"/>
      <c r="M24" s="17"/>
      <c r="R24" s="17"/>
      <c r="S24" s="17"/>
      <c r="T24" s="18"/>
      <c r="U24" s="17"/>
      <c r="V24" s="18"/>
      <c r="W24" s="17"/>
      <c r="X24" s="17"/>
      <c r="Y24" s="17"/>
      <c r="Z24" s="17"/>
    </row>
    <row r="25" spans="1:35" x14ac:dyDescent="0.3">
      <c r="F25" s="17"/>
      <c r="G25" s="17"/>
      <c r="L25" s="17"/>
      <c r="M25" s="17"/>
      <c r="R25" s="17"/>
      <c r="S25" s="17"/>
      <c r="T25" s="18"/>
      <c r="U25" s="17"/>
      <c r="V25" s="18"/>
      <c r="W25" s="17"/>
      <c r="X25" s="17"/>
      <c r="Y25" s="17"/>
      <c r="Z25" s="17"/>
    </row>
    <row r="26" spans="1:35" x14ac:dyDescent="0.3">
      <c r="F26" s="17"/>
      <c r="G26" s="17"/>
      <c r="L26" s="17"/>
      <c r="M26" s="17"/>
      <c r="R26" s="17"/>
      <c r="S26" s="17"/>
      <c r="T26" s="18"/>
      <c r="U26" s="17"/>
      <c r="V26" s="18"/>
      <c r="W26" s="17"/>
      <c r="X26" s="17"/>
      <c r="Y26" s="17"/>
      <c r="Z26" s="17"/>
    </row>
    <row r="27" spans="1:35" x14ac:dyDescent="0.3">
      <c r="F27" s="17"/>
      <c r="G27" s="17"/>
      <c r="L27" s="17"/>
      <c r="M27" s="17"/>
      <c r="R27" s="17"/>
      <c r="S27" s="17"/>
      <c r="T27" s="18"/>
      <c r="U27" s="17"/>
      <c r="V27" s="18"/>
      <c r="W27" s="17"/>
      <c r="X27" s="17"/>
      <c r="Y27" s="17"/>
      <c r="Z27" s="17"/>
    </row>
    <row r="28" spans="1:35" x14ac:dyDescent="0.3">
      <c r="F28" s="17"/>
      <c r="G28" s="17"/>
      <c r="L28" s="17"/>
      <c r="M28" s="17"/>
      <c r="R28" s="17"/>
      <c r="S28" s="17"/>
      <c r="T28" s="18"/>
      <c r="U28" s="17"/>
      <c r="V28" s="18"/>
      <c r="W28" s="17"/>
      <c r="X28" s="17"/>
      <c r="Y28" s="17"/>
      <c r="Z28" s="17"/>
    </row>
    <row r="29" spans="1:35" x14ac:dyDescent="0.3">
      <c r="F29" s="17"/>
      <c r="G29" s="17"/>
      <c r="L29" s="17"/>
      <c r="M29" s="17"/>
      <c r="R29" s="17"/>
      <c r="S29" s="17"/>
      <c r="T29" s="18"/>
      <c r="U29" s="17"/>
      <c r="V29" s="18"/>
      <c r="W29" s="17"/>
      <c r="X29" s="17"/>
      <c r="Y29" s="17"/>
      <c r="Z29" s="17"/>
    </row>
    <row r="30" spans="1:35" x14ac:dyDescent="0.3">
      <c r="F30" s="17" t="s">
        <v>24</v>
      </c>
      <c r="G30" s="17"/>
      <c r="L30" s="17" t="s">
        <v>24</v>
      </c>
      <c r="M30" s="17"/>
      <c r="R30" s="17" t="s">
        <v>24</v>
      </c>
      <c r="S30" s="17"/>
      <c r="T30" s="18"/>
      <c r="U30" s="17"/>
      <c r="V30" s="18"/>
      <c r="W30" s="17"/>
      <c r="X30" s="17"/>
      <c r="Y30" s="17"/>
      <c r="Z30" s="17"/>
    </row>
    <row r="31" spans="1:35" x14ac:dyDescent="0.3">
      <c r="F31" s="17"/>
      <c r="G31" s="17"/>
      <c r="L31" s="17"/>
      <c r="M31" s="17"/>
      <c r="R31" s="17"/>
      <c r="S31" s="17"/>
      <c r="T31" s="18"/>
      <c r="U31" s="17"/>
      <c r="V31" s="17"/>
      <c r="W31" s="17"/>
      <c r="X31" s="17"/>
      <c r="Y31" s="17"/>
      <c r="Z31" s="17"/>
    </row>
    <row r="32" spans="1:35" x14ac:dyDescent="0.3">
      <c r="F32" s="17"/>
      <c r="G32" s="17"/>
      <c r="L32" s="17"/>
      <c r="M32" s="17"/>
      <c r="R32" s="17"/>
      <c r="S32" s="17"/>
      <c r="T32" s="18"/>
      <c r="U32" s="17"/>
      <c r="V32" s="17"/>
      <c r="W32" s="17"/>
      <c r="X32" s="17"/>
      <c r="Y32" s="17"/>
      <c r="Z32" s="17"/>
    </row>
    <row r="33" spans="6:26" x14ac:dyDescent="0.3">
      <c r="F33" s="17"/>
      <c r="G33" s="17"/>
      <c r="L33" s="17"/>
      <c r="M33" s="17"/>
      <c r="R33" s="17"/>
      <c r="S33" s="17"/>
      <c r="T33" s="17"/>
      <c r="U33" s="17"/>
      <c r="V33" s="17"/>
      <c r="W33" s="17"/>
      <c r="X33" s="17"/>
      <c r="Y33" s="17"/>
    </row>
    <row r="34" spans="6:26" x14ac:dyDescent="0.3">
      <c r="F34" s="17"/>
      <c r="G34" s="17"/>
      <c r="L34" s="17"/>
      <c r="M34" s="17"/>
      <c r="R34" s="17"/>
      <c r="S34" s="17"/>
      <c r="Z34" s="17"/>
    </row>
    <row r="35" spans="6:26" x14ac:dyDescent="0.3">
      <c r="F35" s="17"/>
      <c r="G35" s="17"/>
      <c r="L35" s="17"/>
      <c r="M35" s="17"/>
      <c r="R35" s="17"/>
      <c r="S35" s="17"/>
      <c r="Z35" s="17"/>
    </row>
    <row r="36" spans="6:26" x14ac:dyDescent="0.3">
      <c r="F36" s="17"/>
      <c r="G36" s="17"/>
      <c r="L36" s="17"/>
      <c r="M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6:26" x14ac:dyDescent="0.3">
      <c r="F37" s="17"/>
      <c r="G37" s="17"/>
      <c r="L37" s="17"/>
      <c r="M37" s="17"/>
      <c r="R37" s="17"/>
      <c r="S37" s="17"/>
      <c r="T37" s="18"/>
      <c r="U37" s="17"/>
      <c r="V37" s="18"/>
      <c r="W37" s="17"/>
      <c r="X37" s="17"/>
      <c r="Y37" s="17"/>
      <c r="Z37" s="17"/>
    </row>
    <row r="38" spans="6:26" x14ac:dyDescent="0.3">
      <c r="F38" s="17"/>
      <c r="G38" s="17"/>
      <c r="L38" s="17"/>
      <c r="M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6:26" x14ac:dyDescent="0.3">
      <c r="F39" s="17"/>
      <c r="G39" s="17"/>
      <c r="L39" s="17"/>
      <c r="M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6:26" x14ac:dyDescent="0.3">
      <c r="F40" s="17"/>
      <c r="G40" s="17"/>
      <c r="L40" s="17"/>
      <c r="M40" s="17"/>
      <c r="R40" s="17"/>
      <c r="S40" s="17"/>
      <c r="T40" s="17"/>
      <c r="U40" s="17"/>
      <c r="V40" s="17"/>
      <c r="W40" s="17"/>
      <c r="X40" s="17"/>
      <c r="Y40" s="17"/>
    </row>
    <row r="41" spans="6:26" x14ac:dyDescent="0.3">
      <c r="F41" s="17"/>
      <c r="G41" s="17"/>
      <c r="L41" s="17"/>
      <c r="M41" s="17"/>
      <c r="R41" s="17"/>
      <c r="S41" s="17"/>
    </row>
    <row r="42" spans="6:26" x14ac:dyDescent="0.3">
      <c r="F42" s="17"/>
      <c r="G42" s="17"/>
      <c r="L42" s="17"/>
      <c r="M42" s="17"/>
      <c r="R42" s="17"/>
      <c r="S42" s="17"/>
      <c r="T42" s="17"/>
      <c r="U42" s="17"/>
      <c r="V42" s="17"/>
    </row>
    <row r="43" spans="6:26" x14ac:dyDescent="0.3">
      <c r="F43" s="17"/>
      <c r="G43" s="17"/>
      <c r="L43" s="17"/>
      <c r="M43" s="17"/>
      <c r="R43" s="17"/>
      <c r="S43" s="17"/>
    </row>
    <row r="44" spans="6:26" x14ac:dyDescent="0.3">
      <c r="F44" s="17"/>
      <c r="G44" s="17"/>
      <c r="L44" s="17"/>
      <c r="M44" s="17"/>
      <c r="R44" s="17"/>
      <c r="S44" s="17"/>
    </row>
    <row r="45" spans="6:26" x14ac:dyDescent="0.3">
      <c r="F45" s="17"/>
      <c r="G45" s="17"/>
      <c r="L45" s="17"/>
      <c r="M45" s="17"/>
      <c r="R45" s="17"/>
      <c r="S45" s="17"/>
      <c r="W45" s="17"/>
      <c r="X45" s="17"/>
      <c r="Y45" s="17"/>
    </row>
    <row r="46" spans="6:26" x14ac:dyDescent="0.3">
      <c r="F46" s="17"/>
      <c r="G46" s="17"/>
      <c r="L46" s="17"/>
      <c r="M46" s="17"/>
      <c r="R46" s="17"/>
      <c r="S46" s="17"/>
      <c r="W46" s="17"/>
      <c r="X46" s="17"/>
      <c r="Y46" s="17"/>
    </row>
    <row r="47" spans="6:26" x14ac:dyDescent="0.3">
      <c r="F47" s="17"/>
      <c r="G47" s="17"/>
      <c r="L47" s="17"/>
      <c r="M47" s="17"/>
      <c r="R47" s="17"/>
      <c r="S47" s="17"/>
      <c r="W47" s="17"/>
      <c r="X47" s="17"/>
      <c r="Y47" s="17"/>
    </row>
    <row r="48" spans="6:26" x14ac:dyDescent="0.3">
      <c r="F48" s="17"/>
      <c r="G48" s="17"/>
      <c r="L48" s="17"/>
      <c r="M48" s="17"/>
      <c r="R48" s="17"/>
      <c r="S48" s="17"/>
      <c r="T48" s="17"/>
      <c r="U48" s="17"/>
      <c r="V48" s="17"/>
      <c r="W48" s="17"/>
      <c r="X48" s="17"/>
      <c r="Y48" s="17"/>
    </row>
    <row r="49" spans="6:25" x14ac:dyDescent="0.3">
      <c r="F49" s="17"/>
      <c r="G49" s="17"/>
      <c r="L49" s="17"/>
      <c r="M49" s="17"/>
      <c r="R49" s="17"/>
      <c r="S49" s="17"/>
      <c r="T49" s="17"/>
      <c r="U49" s="17"/>
      <c r="V49" s="17"/>
      <c r="W49" s="17"/>
      <c r="X49" s="17"/>
      <c r="Y49" s="17"/>
    </row>
    <row r="50" spans="6:25" x14ac:dyDescent="0.3">
      <c r="F50" s="17"/>
      <c r="G50" s="17"/>
      <c r="L50" s="17"/>
      <c r="M50" s="17"/>
      <c r="R50" s="17"/>
      <c r="S50" s="17"/>
      <c r="T50" s="17"/>
      <c r="U50" s="17"/>
      <c r="V50" s="17"/>
      <c r="W50" s="17"/>
      <c r="X50" s="17"/>
      <c r="Y50" s="17"/>
    </row>
    <row r="51" spans="6:25" x14ac:dyDescent="0.3">
      <c r="F51" s="17"/>
      <c r="G51" s="17"/>
      <c r="L51" s="17"/>
      <c r="M51" s="17"/>
      <c r="R51" s="17"/>
      <c r="S51" s="17"/>
      <c r="T51" s="17"/>
      <c r="U51" s="17"/>
      <c r="V51" s="17"/>
      <c r="W51" s="17"/>
      <c r="X51" s="17"/>
      <c r="Y51" s="17"/>
    </row>
    <row r="52" spans="6:25" x14ac:dyDescent="0.3">
      <c r="F52" s="17"/>
      <c r="G52" s="17"/>
      <c r="L52" s="17"/>
      <c r="M52" s="17"/>
      <c r="R52" s="17"/>
      <c r="S52" s="17"/>
      <c r="T52" s="17"/>
      <c r="U52" s="17"/>
      <c r="V52" s="17"/>
      <c r="W52" s="17"/>
      <c r="X52" s="17"/>
      <c r="Y52" s="17"/>
    </row>
    <row r="53" spans="6:25" x14ac:dyDescent="0.3">
      <c r="F53" s="17"/>
      <c r="G53" s="17"/>
      <c r="L53" s="17"/>
      <c r="M53" s="17"/>
      <c r="R53" s="17"/>
      <c r="S53" s="17"/>
      <c r="T53" s="17"/>
      <c r="U53" s="17"/>
      <c r="V53" s="17"/>
      <c r="W53" s="17"/>
      <c r="X53" s="17"/>
      <c r="Y53" s="17"/>
    </row>
    <row r="54" spans="6:25" x14ac:dyDescent="0.3">
      <c r="F54" s="17"/>
      <c r="G54" s="17"/>
      <c r="L54" s="17"/>
      <c r="M54" s="17"/>
      <c r="R54" s="17"/>
      <c r="S54" s="17"/>
      <c r="T54" s="17"/>
      <c r="U54" s="17"/>
      <c r="V54" s="17"/>
      <c r="W54" s="17"/>
      <c r="X54" s="17"/>
      <c r="Y54" s="17"/>
    </row>
    <row r="55" spans="6:25" x14ac:dyDescent="0.3">
      <c r="F55" s="17"/>
      <c r="G55" s="17"/>
      <c r="L55" s="17"/>
      <c r="M55" s="17"/>
      <c r="R55" s="17"/>
      <c r="S55" s="17"/>
      <c r="T55" s="17"/>
      <c r="U55" s="17"/>
      <c r="V55" s="17"/>
      <c r="W55" s="17"/>
      <c r="X55" s="17"/>
      <c r="Y55" s="17"/>
    </row>
    <row r="56" spans="6:25" x14ac:dyDescent="0.3">
      <c r="F56" s="17"/>
      <c r="G56" s="17"/>
      <c r="L56" s="17"/>
      <c r="M56" s="17"/>
      <c r="R56" s="17"/>
      <c r="S56" s="17"/>
      <c r="T56" s="17"/>
      <c r="U56" s="17"/>
      <c r="V56" s="17"/>
      <c r="W56" s="17"/>
      <c r="X56" s="17"/>
      <c r="Y56" s="17"/>
    </row>
    <row r="57" spans="6:25" x14ac:dyDescent="0.3">
      <c r="F57" s="17"/>
      <c r="G57" s="17"/>
      <c r="L57" s="17"/>
      <c r="M57" s="17"/>
      <c r="R57" s="17"/>
      <c r="S57" s="17"/>
      <c r="T57" s="17"/>
      <c r="U57" s="17"/>
      <c r="V57" s="17"/>
      <c r="W57" s="17"/>
      <c r="X57" s="17"/>
      <c r="Y57" s="17"/>
    </row>
    <row r="58" spans="6:25" x14ac:dyDescent="0.3">
      <c r="F58" s="17"/>
      <c r="G58" s="17"/>
      <c r="L58" s="17"/>
      <c r="M58" s="17"/>
      <c r="R58" s="17"/>
      <c r="S58" s="17"/>
      <c r="T58" s="17"/>
      <c r="U58" s="17"/>
      <c r="V58" s="17"/>
      <c r="W58" s="17"/>
      <c r="X58" s="17"/>
      <c r="Y58" s="17"/>
    </row>
    <row r="59" spans="6:25" x14ac:dyDescent="0.3">
      <c r="F59" s="17"/>
      <c r="G59" s="17"/>
      <c r="L59" s="17"/>
      <c r="M59" s="17"/>
      <c r="R59" s="17"/>
      <c r="S59" s="17"/>
      <c r="T59" s="17"/>
      <c r="U59" s="17"/>
      <c r="V59" s="17"/>
      <c r="W59" s="17"/>
      <c r="X59" s="17"/>
      <c r="Y59" s="17"/>
    </row>
    <row r="60" spans="6:25" x14ac:dyDescent="0.3">
      <c r="F60" s="17"/>
      <c r="G60" s="17"/>
      <c r="L60" s="17"/>
      <c r="M60" s="17"/>
      <c r="R60" s="17"/>
      <c r="S60" s="17"/>
      <c r="T60" s="17"/>
      <c r="U60" s="17"/>
      <c r="V60" s="17"/>
      <c r="W60" s="17"/>
      <c r="X60" s="17"/>
      <c r="Y60" s="17"/>
    </row>
    <row r="61" spans="6:25" x14ac:dyDescent="0.3">
      <c r="F61" s="17"/>
      <c r="G61" s="17"/>
      <c r="L61" s="17"/>
      <c r="M61" s="17"/>
      <c r="R61" s="17"/>
      <c r="S61" s="17"/>
      <c r="T61" s="17"/>
      <c r="U61" s="17"/>
      <c r="V61" s="17"/>
      <c r="W61" s="17"/>
      <c r="X61" s="17"/>
      <c r="Y61" s="17"/>
    </row>
    <row r="62" spans="6:25" x14ac:dyDescent="0.3">
      <c r="F62" s="17"/>
      <c r="G62" s="17"/>
      <c r="L62" s="17"/>
      <c r="M62" s="17"/>
      <c r="R62" s="17"/>
      <c r="S62" s="17"/>
      <c r="T62" s="17"/>
      <c r="U62" s="17"/>
      <c r="V62" s="17"/>
      <c r="W62" s="17"/>
      <c r="X62" s="17"/>
      <c r="Y62" s="17"/>
    </row>
    <row r="63" spans="6:25" x14ac:dyDescent="0.3">
      <c r="F63" s="17"/>
      <c r="G63" s="17"/>
      <c r="L63" s="17"/>
      <c r="M63" s="17"/>
      <c r="R63" s="17"/>
      <c r="S63" s="17"/>
      <c r="T63" s="17"/>
      <c r="U63" s="17"/>
      <c r="V63" s="17"/>
      <c r="W63" s="17"/>
      <c r="X63" s="17"/>
      <c r="Y63" s="17"/>
    </row>
    <row r="64" spans="6:25" x14ac:dyDescent="0.3">
      <c r="F64" s="17"/>
      <c r="G64" s="17"/>
      <c r="L64" s="17"/>
      <c r="M64" s="17"/>
      <c r="R64" s="17"/>
      <c r="S64" s="17"/>
      <c r="T64" s="17"/>
      <c r="U64" s="17"/>
      <c r="V64" s="17"/>
      <c r="W64" s="17"/>
      <c r="X64" s="17"/>
      <c r="Y64" s="17"/>
    </row>
    <row r="65" spans="6:25" x14ac:dyDescent="0.3">
      <c r="F65" s="17"/>
      <c r="G65" s="17"/>
      <c r="L65" s="17"/>
      <c r="M65" s="17"/>
      <c r="R65" s="17"/>
      <c r="S65" s="17"/>
      <c r="T65" s="17"/>
      <c r="U65" s="17"/>
      <c r="V65" s="17"/>
      <c r="W65" s="17"/>
      <c r="X65" s="17"/>
      <c r="Y65" s="17"/>
    </row>
    <row r="66" spans="6:25" x14ac:dyDescent="0.3">
      <c r="F66" s="17"/>
      <c r="G66" s="17"/>
      <c r="L66" s="17"/>
      <c r="M66" s="17"/>
      <c r="R66" s="17"/>
      <c r="S66" s="17"/>
      <c r="T66" s="17"/>
      <c r="U66" s="17"/>
      <c r="V66" s="17"/>
      <c r="W66" s="17"/>
      <c r="X66" s="17"/>
      <c r="Y66" s="17"/>
    </row>
    <row r="67" spans="6:25" x14ac:dyDescent="0.3">
      <c r="F67" s="17"/>
      <c r="G67" s="17"/>
      <c r="L67" s="17"/>
      <c r="M67" s="17"/>
      <c r="R67" s="17"/>
      <c r="S67" s="17"/>
      <c r="T67" s="17"/>
      <c r="U67" s="17"/>
      <c r="V67" s="17"/>
      <c r="W67" s="17"/>
      <c r="X67" s="17"/>
      <c r="Y67" s="17"/>
    </row>
    <row r="68" spans="6:25" x14ac:dyDescent="0.3">
      <c r="F68" s="17"/>
      <c r="G68" s="17"/>
      <c r="L68" s="17"/>
      <c r="M68" s="17"/>
      <c r="R68" s="17"/>
      <c r="S68" s="17"/>
      <c r="T68" s="17"/>
      <c r="U68" s="17"/>
      <c r="V68" s="17"/>
      <c r="W68" s="17"/>
      <c r="X68" s="17"/>
      <c r="Y68" s="17"/>
    </row>
    <row r="69" spans="6:25" x14ac:dyDescent="0.3">
      <c r="F69" s="17"/>
      <c r="G69" s="17"/>
      <c r="L69" s="17"/>
      <c r="M69" s="17"/>
      <c r="R69" s="17"/>
      <c r="S69" s="17"/>
      <c r="T69" s="17"/>
      <c r="U69" s="17"/>
      <c r="V69" s="17"/>
      <c r="W69" s="17"/>
      <c r="X69" s="17"/>
      <c r="Y69" s="17"/>
    </row>
    <row r="70" spans="6:25" x14ac:dyDescent="0.3">
      <c r="F70" s="17"/>
      <c r="G70" s="17"/>
      <c r="L70" s="17"/>
      <c r="M70" s="17"/>
      <c r="R70" s="17"/>
      <c r="S70" s="17"/>
      <c r="T70" s="17"/>
      <c r="U70" s="17"/>
      <c r="V70" s="17"/>
      <c r="W70" s="17"/>
      <c r="X70" s="17"/>
      <c r="Y70" s="17"/>
    </row>
    <row r="71" spans="6:25" x14ac:dyDescent="0.3">
      <c r="T71" s="17"/>
      <c r="U71" s="17"/>
      <c r="V71" s="17"/>
      <c r="W71" s="17"/>
      <c r="X71" s="17"/>
      <c r="Y71" s="17"/>
    </row>
    <row r="72" spans="6:25" x14ac:dyDescent="0.3">
      <c r="T72" s="17"/>
      <c r="U72" s="17"/>
      <c r="V72" s="17"/>
    </row>
    <row r="73" spans="6:25" x14ac:dyDescent="0.3">
      <c r="T73" s="17"/>
      <c r="U73" s="17"/>
      <c r="V73" s="17"/>
    </row>
    <row r="74" spans="6:25" x14ac:dyDescent="0.3">
      <c r="T74" s="17"/>
      <c r="U74" s="17"/>
      <c r="V74" s="1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zoomScale="120" zoomScaleNormal="12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P1" sqref="P1:Y6"/>
    </sheetView>
  </sheetViews>
  <sheetFormatPr defaultColWidth="8.77734375" defaultRowHeight="14.4" x14ac:dyDescent="0.3"/>
  <cols>
    <col min="1" max="1" width="13.33203125" style="1" customWidth="1"/>
  </cols>
  <sheetData>
    <row r="1" spans="1:26" s="1" customFormat="1" x14ac:dyDescent="0.3">
      <c r="A1" s="1" t="s">
        <v>22</v>
      </c>
      <c r="B1" s="37" t="s">
        <v>19</v>
      </c>
      <c r="C1" s="37" t="s">
        <v>17</v>
      </c>
      <c r="D1" s="37" t="s">
        <v>26</v>
      </c>
      <c r="E1" s="37" t="s">
        <v>16</v>
      </c>
      <c r="F1" s="37" t="s">
        <v>19</v>
      </c>
      <c r="G1" s="37" t="s">
        <v>17</v>
      </c>
      <c r="H1" s="37" t="s">
        <v>26</v>
      </c>
      <c r="I1" s="37" t="s">
        <v>16</v>
      </c>
      <c r="J1" s="52" t="s">
        <v>19</v>
      </c>
      <c r="K1" s="52" t="s">
        <v>18</v>
      </c>
      <c r="L1" s="52" t="s">
        <v>17</v>
      </c>
      <c r="M1" s="52" t="s">
        <v>21</v>
      </c>
      <c r="N1" s="52" t="s">
        <v>26</v>
      </c>
      <c r="O1" s="52" t="s">
        <v>16</v>
      </c>
      <c r="P1" s="52" t="s">
        <v>19</v>
      </c>
      <c r="Q1" s="52" t="s">
        <v>18</v>
      </c>
      <c r="R1" s="52" t="s">
        <v>17</v>
      </c>
      <c r="S1" s="52" t="s">
        <v>21</v>
      </c>
      <c r="T1" s="52" t="s">
        <v>26</v>
      </c>
      <c r="U1" s="52" t="s">
        <v>16</v>
      </c>
      <c r="V1" s="52" t="s">
        <v>18</v>
      </c>
      <c r="W1" s="52" t="s">
        <v>26</v>
      </c>
      <c r="X1" s="52" t="s">
        <v>16</v>
      </c>
      <c r="Y1" s="52" t="s">
        <v>18</v>
      </c>
      <c r="Z1" s="52" t="s">
        <v>23</v>
      </c>
    </row>
    <row r="2" spans="1:26" s="1" customFormat="1" x14ac:dyDescent="0.3">
      <c r="A2" s="1" t="s">
        <v>15</v>
      </c>
      <c r="B2" s="37">
        <v>2018</v>
      </c>
      <c r="C2" s="37">
        <v>2018</v>
      </c>
      <c r="D2" s="37">
        <v>2018</v>
      </c>
      <c r="E2" s="37">
        <v>2018</v>
      </c>
      <c r="F2" s="37">
        <v>2017</v>
      </c>
      <c r="G2" s="37">
        <v>2017</v>
      </c>
      <c r="H2" s="37">
        <v>2017</v>
      </c>
      <c r="I2" s="37">
        <v>2017</v>
      </c>
      <c r="J2" s="52">
        <v>2018</v>
      </c>
      <c r="K2" s="52">
        <v>2018</v>
      </c>
      <c r="L2" s="52">
        <v>2018</v>
      </c>
      <c r="M2" s="52">
        <v>2018</v>
      </c>
      <c r="N2" s="52">
        <v>2018</v>
      </c>
      <c r="O2" s="52">
        <v>2018</v>
      </c>
      <c r="P2" s="52">
        <v>2015</v>
      </c>
      <c r="Q2" s="52">
        <v>2015</v>
      </c>
      <c r="R2" s="52">
        <v>2015</v>
      </c>
      <c r="S2" s="52">
        <v>2015</v>
      </c>
      <c r="T2" s="52">
        <v>2015</v>
      </c>
      <c r="U2" s="52">
        <v>2015</v>
      </c>
      <c r="V2" s="52">
        <v>2014</v>
      </c>
      <c r="W2" s="52">
        <v>2014</v>
      </c>
      <c r="X2" s="52">
        <v>2014</v>
      </c>
      <c r="Y2" s="52">
        <v>2013</v>
      </c>
      <c r="Z2" s="52">
        <v>2013</v>
      </c>
    </row>
    <row r="3" spans="1:26" s="5" customFormat="1" x14ac:dyDescent="0.3">
      <c r="A3" s="4" t="s">
        <v>0</v>
      </c>
      <c r="B3" s="38">
        <f>419+103</f>
        <v>522</v>
      </c>
      <c r="C3" s="38">
        <v>12708</v>
      </c>
      <c r="D3" s="39">
        <f>8932/C3</f>
        <v>0.7028643374252439</v>
      </c>
      <c r="E3" s="39">
        <f>7601/C3</f>
        <v>0.59812716399118671</v>
      </c>
      <c r="F3" s="38">
        <v>547</v>
      </c>
      <c r="G3" s="38">
        <v>12635</v>
      </c>
      <c r="H3" s="39">
        <f>8668/G3</f>
        <v>0.6860308666402849</v>
      </c>
      <c r="I3" s="39">
        <f>7385/G3</f>
        <v>0.58448753462603875</v>
      </c>
      <c r="J3" s="53">
        <v>243</v>
      </c>
      <c r="K3" s="64">
        <v>0.81</v>
      </c>
      <c r="L3" s="53">
        <v>6149</v>
      </c>
      <c r="M3" s="54">
        <v>0.75</v>
      </c>
      <c r="N3" s="54">
        <v>0.54</v>
      </c>
      <c r="O3" s="54">
        <v>0.61699999999999999</v>
      </c>
      <c r="P3" s="53">
        <v>225</v>
      </c>
      <c r="Q3" s="53">
        <f>189/P3</f>
        <v>0.84</v>
      </c>
      <c r="R3" s="53">
        <v>5674</v>
      </c>
      <c r="S3" s="54">
        <f>4088/R3</f>
        <v>0.72047937962636588</v>
      </c>
      <c r="T3" s="54">
        <f>2802/R3</f>
        <v>0.49383151216073318</v>
      </c>
      <c r="U3" s="54">
        <f>3378/R3</f>
        <v>0.59534719774409584</v>
      </c>
      <c r="V3" s="53">
        <v>0.78900000000000003</v>
      </c>
      <c r="W3" s="54">
        <v>0.439</v>
      </c>
      <c r="X3" s="54">
        <v>0.54</v>
      </c>
      <c r="Y3" s="53">
        <v>0.79200000000000004</v>
      </c>
      <c r="Z3" s="54">
        <v>0.86</v>
      </c>
    </row>
    <row r="4" spans="1:26" s="7" customFormat="1" x14ac:dyDescent="0.3">
      <c r="A4" s="6" t="s">
        <v>1</v>
      </c>
      <c r="B4" s="40">
        <f>SUM(140,53,31,11)</f>
        <v>235</v>
      </c>
      <c r="C4" s="41">
        <v>4881</v>
      </c>
      <c r="D4" s="40"/>
      <c r="E4" s="41"/>
      <c r="F4" s="40">
        <f>SUM(164,49,25,17)</f>
        <v>255</v>
      </c>
      <c r="G4" s="41">
        <v>4795</v>
      </c>
      <c r="H4" s="40"/>
      <c r="I4" s="41"/>
      <c r="J4" s="55"/>
      <c r="K4" s="61"/>
      <c r="L4" s="56">
        <v>2808</v>
      </c>
      <c r="M4" s="56"/>
      <c r="N4" s="55"/>
      <c r="O4" s="61">
        <v>0.57299999999999995</v>
      </c>
      <c r="V4" s="7">
        <v>0.68</v>
      </c>
      <c r="Z4" s="7">
        <f>1-0.15</f>
        <v>0.85</v>
      </c>
    </row>
    <row r="5" spans="1:26" s="9" customFormat="1" x14ac:dyDescent="0.3">
      <c r="A5" s="8" t="s">
        <v>2</v>
      </c>
      <c r="B5" s="42">
        <f>SUM(38,7,10,2)</f>
        <v>57</v>
      </c>
      <c r="C5" s="43">
        <v>1162</v>
      </c>
      <c r="D5" s="42"/>
      <c r="E5" s="43"/>
      <c r="F5" s="42">
        <f>SUM(36,8,15,2)</f>
        <v>61</v>
      </c>
      <c r="G5" s="43">
        <v>1129</v>
      </c>
      <c r="H5" s="42"/>
      <c r="I5" s="43"/>
      <c r="J5" s="57"/>
      <c r="K5" s="62"/>
      <c r="L5" s="58"/>
      <c r="M5" s="58"/>
      <c r="N5" s="57"/>
      <c r="O5" s="62">
        <v>0.60199999999999998</v>
      </c>
      <c r="S5" s="10"/>
      <c r="V5" s="9">
        <v>0.77800000000000002</v>
      </c>
      <c r="Z5" s="9">
        <f>1-0.15</f>
        <v>0.85</v>
      </c>
    </row>
    <row r="6" spans="1:26" s="3" customFormat="1" x14ac:dyDescent="0.3">
      <c r="A6" s="2" t="s">
        <v>3</v>
      </c>
      <c r="B6" s="44">
        <f>SUM(124,39,38,6)</f>
        <v>207</v>
      </c>
      <c r="C6" s="45">
        <v>6042</v>
      </c>
      <c r="D6" s="44"/>
      <c r="E6" s="45"/>
      <c r="F6" s="44">
        <f>SUM(135,30,31,8)</f>
        <v>204</v>
      </c>
      <c r="G6" s="45">
        <v>6121</v>
      </c>
      <c r="H6" s="44"/>
      <c r="I6" s="45"/>
      <c r="J6" s="59"/>
      <c r="K6" s="63"/>
      <c r="L6" s="60">
        <v>2448</v>
      </c>
      <c r="M6" s="60"/>
      <c r="N6" s="59"/>
      <c r="O6" s="63">
        <v>0.66500000000000004</v>
      </c>
      <c r="V6" s="3">
        <v>0.87</v>
      </c>
      <c r="Z6" s="3">
        <f>1-0.119</f>
        <v>0.88100000000000001</v>
      </c>
    </row>
    <row r="7" spans="1:26" s="7" customFormat="1" x14ac:dyDescent="0.3">
      <c r="A7" s="6" t="s">
        <v>4</v>
      </c>
      <c r="B7" s="40">
        <f>SUM(316,84)</f>
        <v>400</v>
      </c>
      <c r="C7" s="41">
        <v>10061</v>
      </c>
      <c r="D7" s="40"/>
      <c r="E7" s="41"/>
      <c r="F7" s="40">
        <f>SUM(355,73)</f>
        <v>428</v>
      </c>
      <c r="G7" s="41">
        <v>10058</v>
      </c>
      <c r="H7" s="40"/>
      <c r="I7" s="41"/>
      <c r="J7" s="55"/>
      <c r="K7" s="61"/>
      <c r="L7" s="56">
        <v>4828</v>
      </c>
      <c r="M7" s="56"/>
      <c r="N7" s="55"/>
      <c r="O7" s="61">
        <v>0.61299999999999999</v>
      </c>
      <c r="Z7" s="7">
        <f>1-0.148</f>
        <v>0.85199999999999998</v>
      </c>
    </row>
    <row r="8" spans="1:26" s="3" customFormat="1" x14ac:dyDescent="0.3">
      <c r="A8" s="2" t="s">
        <v>5</v>
      </c>
      <c r="B8" s="44">
        <f>SUM(103,19)</f>
        <v>122</v>
      </c>
      <c r="C8" s="45">
        <v>2647</v>
      </c>
      <c r="D8" s="44"/>
      <c r="E8" s="45"/>
      <c r="F8" s="44">
        <f>SUM(89,30)</f>
        <v>119</v>
      </c>
      <c r="G8" s="45">
        <v>2577</v>
      </c>
      <c r="H8" s="44"/>
      <c r="I8" s="45"/>
      <c r="J8" s="59"/>
      <c r="K8" s="63"/>
      <c r="L8" s="60">
        <f>L3-L7</f>
        <v>1321</v>
      </c>
      <c r="M8" s="60"/>
      <c r="N8" s="59"/>
      <c r="O8" s="63">
        <v>0.63100000000000001</v>
      </c>
      <c r="Z8" s="3">
        <f>1-0.115</f>
        <v>0.88500000000000001</v>
      </c>
    </row>
    <row r="9" spans="1:26" s="7" customFormat="1" x14ac:dyDescent="0.3">
      <c r="A9" s="6" t="s">
        <v>6</v>
      </c>
      <c r="B9" s="40">
        <f>SUM(33,((187+23)/2))</f>
        <v>138</v>
      </c>
      <c r="C9" s="46"/>
      <c r="D9" s="40"/>
      <c r="E9" s="46"/>
      <c r="F9" s="40">
        <f>SUM(30,1,((195+18)/2))</f>
        <v>137.5</v>
      </c>
      <c r="G9" s="46"/>
      <c r="H9" s="40"/>
      <c r="I9" s="46"/>
      <c r="J9" s="55"/>
      <c r="K9" s="61"/>
      <c r="L9" s="61"/>
      <c r="M9" s="61"/>
      <c r="N9" s="55"/>
      <c r="O9" s="61">
        <f>(0.553+0.475)/2</f>
        <v>0.51400000000000001</v>
      </c>
      <c r="Z9" s="7">
        <f>1-0.513</f>
        <v>0.48699999999999999</v>
      </c>
    </row>
    <row r="10" spans="1:26" s="9" customFormat="1" x14ac:dyDescent="0.3">
      <c r="A10" s="8" t="s">
        <v>7</v>
      </c>
      <c r="B10" s="42">
        <f>SUM(((187+23)/2),(110+26)/2)</f>
        <v>173</v>
      </c>
      <c r="C10" s="43"/>
      <c r="D10" s="42"/>
      <c r="E10" s="43"/>
      <c r="F10" s="42">
        <f>SUM(((195+18)/2),((100+28)/2))</f>
        <v>170.5</v>
      </c>
      <c r="G10" s="43"/>
      <c r="H10" s="42"/>
      <c r="I10" s="43"/>
      <c r="J10" s="57"/>
      <c r="K10" s="62"/>
      <c r="L10" s="58"/>
      <c r="M10" s="58"/>
      <c r="N10" s="57"/>
      <c r="O10" s="62">
        <v>0.55500000000000005</v>
      </c>
      <c r="Z10" s="9">
        <f>1-0.26</f>
        <v>0.74</v>
      </c>
    </row>
    <row r="11" spans="1:26" s="9" customFormat="1" x14ac:dyDescent="0.3">
      <c r="A11" s="8" t="s">
        <v>8</v>
      </c>
      <c r="B11" s="42">
        <f>SUM(((110+26)/2),(47+16)/2)</f>
        <v>99.5</v>
      </c>
      <c r="C11" s="47"/>
      <c r="D11" s="42"/>
      <c r="E11" s="47"/>
      <c r="F11" s="42">
        <f>SUM(((68+23)/2),((100+28)/2))</f>
        <v>109.5</v>
      </c>
      <c r="G11" s="47"/>
      <c r="H11" s="42"/>
      <c r="I11" s="47"/>
      <c r="J11" s="57"/>
      <c r="K11" s="62"/>
      <c r="L11" s="62"/>
      <c r="M11" s="62"/>
      <c r="N11" s="57"/>
      <c r="O11" s="62"/>
      <c r="Z11" s="9">
        <f>1-0.143</f>
        <v>0.85699999999999998</v>
      </c>
    </row>
    <row r="12" spans="1:26" s="9" customFormat="1" x14ac:dyDescent="0.3">
      <c r="A12" s="8" t="s">
        <v>9</v>
      </c>
      <c r="B12" s="42">
        <f>SUM(((47+16)/2),(43+35)/2)</f>
        <v>70.5</v>
      </c>
      <c r="C12" s="43"/>
      <c r="D12" s="42"/>
      <c r="E12" s="43"/>
      <c r="F12" s="42">
        <f>SUM(((68+23)/2),((51+33)/2))</f>
        <v>87.5</v>
      </c>
      <c r="G12" s="43"/>
      <c r="H12" s="42"/>
      <c r="I12" s="43"/>
      <c r="J12" s="57"/>
      <c r="K12" s="62"/>
      <c r="L12" s="58">
        <v>1717</v>
      </c>
      <c r="M12" s="58"/>
      <c r="N12" s="57"/>
      <c r="O12" s="58"/>
      <c r="Z12" s="9">
        <f>1-0.084</f>
        <v>0.91600000000000004</v>
      </c>
    </row>
    <row r="13" spans="1:26" s="3" customFormat="1" x14ac:dyDescent="0.3">
      <c r="A13" s="2" t="s">
        <v>10</v>
      </c>
      <c r="B13" s="44">
        <f>(43+35)/2</f>
        <v>39</v>
      </c>
      <c r="C13" s="48"/>
      <c r="D13" s="42"/>
      <c r="E13" s="48"/>
      <c r="F13" s="42">
        <f>(51+33)/2</f>
        <v>42</v>
      </c>
      <c r="G13" s="48"/>
      <c r="H13" s="42"/>
      <c r="I13" s="48"/>
      <c r="J13" s="57"/>
      <c r="K13" s="62"/>
      <c r="L13" s="63"/>
      <c r="M13" s="62"/>
      <c r="N13" s="57"/>
      <c r="O13" s="63"/>
      <c r="Z13" s="3">
        <f>(870+215)/(870+215+62+12)</f>
        <v>0.93615185504745468</v>
      </c>
    </row>
    <row r="14" spans="1:26" s="7" customFormat="1" x14ac:dyDescent="0.3">
      <c r="A14" s="6" t="s">
        <v>11</v>
      </c>
      <c r="B14" s="40">
        <f>158+27</f>
        <v>185</v>
      </c>
      <c r="C14" s="41">
        <f>SUM(1746,484,3373,198)</f>
        <v>5801</v>
      </c>
      <c r="D14" s="41"/>
      <c r="E14" s="41"/>
      <c r="F14" s="40">
        <f>SUM(198,21)</f>
        <v>219</v>
      </c>
      <c r="G14" s="41">
        <f>SUM(1754,473,3468,184)</f>
        <v>5879</v>
      </c>
      <c r="H14" s="41"/>
      <c r="I14" s="41"/>
      <c r="J14" s="55"/>
      <c r="K14" s="61"/>
      <c r="L14" s="56">
        <v>3444</v>
      </c>
      <c r="M14" s="56"/>
      <c r="N14" s="56"/>
      <c r="O14" s="56"/>
    </row>
    <row r="15" spans="1:26" s="9" customFormat="1" x14ac:dyDescent="0.3">
      <c r="A15" s="8" t="s">
        <v>12</v>
      </c>
      <c r="B15" s="42">
        <v>20</v>
      </c>
      <c r="C15" s="43">
        <f>SUM(130,44,254,18)</f>
        <v>446</v>
      </c>
      <c r="D15" s="42"/>
      <c r="E15" s="43"/>
      <c r="F15" s="42">
        <v>15</v>
      </c>
      <c r="G15" s="43">
        <f>SUM(141,46,250,19)</f>
        <v>456</v>
      </c>
      <c r="H15" s="42"/>
      <c r="I15" s="43"/>
      <c r="J15" s="57"/>
      <c r="K15" s="62"/>
      <c r="L15" s="58">
        <v>612</v>
      </c>
      <c r="M15" s="58"/>
      <c r="N15" s="57"/>
      <c r="O15" s="58"/>
    </row>
    <row r="16" spans="1:26" s="9" customFormat="1" x14ac:dyDescent="0.3">
      <c r="A16" s="8" t="s">
        <v>13</v>
      </c>
      <c r="B16" s="42">
        <v>11</v>
      </c>
      <c r="C16" s="43">
        <f>SUM(115,33,297,19)</f>
        <v>464</v>
      </c>
      <c r="D16" s="42"/>
      <c r="E16" s="43"/>
      <c r="F16" s="42">
        <v>10</v>
      </c>
      <c r="G16" s="43">
        <f>SUM(124,32,309,20)</f>
        <v>485</v>
      </c>
      <c r="H16" s="42"/>
      <c r="I16" s="43"/>
      <c r="J16" s="57"/>
      <c r="K16" s="62"/>
      <c r="L16" s="58"/>
      <c r="M16" s="58"/>
      <c r="N16" s="57"/>
      <c r="O16" s="58"/>
    </row>
    <row r="17" spans="1:22" s="3" customFormat="1" x14ac:dyDescent="0.3">
      <c r="A17" s="2" t="s">
        <v>14</v>
      </c>
      <c r="B17" s="44">
        <f>95+32</f>
        <v>127</v>
      </c>
      <c r="C17" s="45">
        <f>SUM(1363,280,755,189)</f>
        <v>2587</v>
      </c>
      <c r="D17" s="45"/>
      <c r="E17" s="45"/>
      <c r="F17" s="44">
        <f>SUM(93,27)</f>
        <v>120</v>
      </c>
      <c r="G17" s="45">
        <f>SUM(1300,272,747,183)</f>
        <v>2502</v>
      </c>
      <c r="H17" s="45"/>
      <c r="I17" s="45"/>
      <c r="J17" s="59"/>
      <c r="K17" s="63"/>
      <c r="L17" s="60">
        <v>1340</v>
      </c>
      <c r="M17" s="60"/>
      <c r="N17" s="60"/>
      <c r="O17" s="60"/>
    </row>
    <row r="18" spans="1:22" x14ac:dyDescent="0.3">
      <c r="A18" s="1" t="s">
        <v>20</v>
      </c>
      <c r="B18" s="13"/>
      <c r="C18" s="13"/>
      <c r="F18" s="13"/>
      <c r="G18" s="13"/>
      <c r="J18" s="13"/>
      <c r="K18" s="13">
        <v>3</v>
      </c>
      <c r="L18" s="13"/>
      <c r="M18" s="13"/>
      <c r="P18" s="18"/>
      <c r="Q18" s="13">
        <v>3</v>
      </c>
      <c r="R18" s="18"/>
      <c r="S18" s="17"/>
      <c r="T18" s="17"/>
      <c r="U18" s="17"/>
    </row>
    <row r="19" spans="1:22" x14ac:dyDescent="0.3">
      <c r="P19" s="17"/>
      <c r="Q19" s="18"/>
      <c r="R19" s="17"/>
      <c r="S19" s="17"/>
      <c r="T19" s="17"/>
      <c r="U19" s="17"/>
    </row>
    <row r="20" spans="1:22" x14ac:dyDescent="0.3">
      <c r="B20" s="49" t="s">
        <v>66</v>
      </c>
      <c r="C20" s="49"/>
      <c r="D20" s="17"/>
      <c r="E20" s="17"/>
      <c r="H20" s="17"/>
      <c r="I20" s="17"/>
      <c r="N20" s="17"/>
      <c r="O20" s="17"/>
      <c r="P20" s="18"/>
      <c r="Q20" s="17"/>
      <c r="R20" s="18"/>
      <c r="S20" s="17"/>
      <c r="T20" s="17"/>
      <c r="U20" s="17"/>
      <c r="V20" s="17"/>
    </row>
    <row r="21" spans="1:22" x14ac:dyDescent="0.3">
      <c r="B21" s="50" t="s">
        <v>72</v>
      </c>
      <c r="C21" s="51"/>
      <c r="D21" s="19"/>
      <c r="E21" s="17"/>
      <c r="F21" s="14"/>
      <c r="H21" s="19"/>
      <c r="I21" s="17"/>
      <c r="J21" s="14"/>
      <c r="K21" s="14"/>
      <c r="N21" s="19"/>
      <c r="O21" s="17"/>
      <c r="P21" s="18"/>
      <c r="Q21" s="17"/>
      <c r="R21" s="18"/>
      <c r="S21" s="17"/>
      <c r="T21" s="17"/>
      <c r="U21" s="17"/>
      <c r="V21" s="17"/>
    </row>
    <row r="22" spans="1:22" x14ac:dyDescent="0.3">
      <c r="B22" s="14"/>
      <c r="D22" s="19"/>
      <c r="E22" s="17"/>
      <c r="F22" s="14"/>
      <c r="H22" s="19"/>
      <c r="I22" s="17"/>
      <c r="J22" s="14"/>
      <c r="K22" s="14"/>
      <c r="N22" s="19"/>
      <c r="O22" s="17"/>
      <c r="P22" s="18"/>
      <c r="Q22" s="17"/>
      <c r="R22" s="18"/>
      <c r="S22" s="17"/>
      <c r="T22" s="17"/>
      <c r="U22" s="17"/>
      <c r="V22" s="17"/>
    </row>
    <row r="23" spans="1:22" x14ac:dyDescent="0.3">
      <c r="D23" s="17"/>
      <c r="E23" s="17"/>
      <c r="H23" s="17"/>
      <c r="I23" s="17"/>
      <c r="N23" s="17"/>
      <c r="O23" s="17"/>
      <c r="P23" s="18"/>
      <c r="Q23" s="17"/>
      <c r="R23" s="18"/>
      <c r="S23" s="17"/>
      <c r="T23" s="17"/>
      <c r="U23" s="17"/>
      <c r="V23" s="17"/>
    </row>
    <row r="24" spans="1:22" x14ac:dyDescent="0.3">
      <c r="D24" s="17"/>
      <c r="E24" s="17"/>
      <c r="H24" s="17"/>
      <c r="I24" s="17"/>
      <c r="N24" s="17"/>
      <c r="O24" s="17"/>
      <c r="P24" s="18"/>
      <c r="Q24" s="17"/>
      <c r="R24" s="18"/>
      <c r="S24" s="17"/>
      <c r="T24" s="17"/>
      <c r="U24" s="17"/>
      <c r="V24" s="17"/>
    </row>
    <row r="25" spans="1:22" x14ac:dyDescent="0.3">
      <c r="D25" s="17"/>
      <c r="E25" s="17"/>
      <c r="H25" s="17"/>
      <c r="I25" s="17"/>
      <c r="N25" s="17"/>
      <c r="O25" s="17"/>
      <c r="P25" s="18"/>
      <c r="Q25" s="17"/>
      <c r="R25" s="18"/>
      <c r="S25" s="17"/>
      <c r="T25" s="17"/>
      <c r="U25" s="17"/>
      <c r="V25" s="17"/>
    </row>
    <row r="26" spans="1:22" x14ac:dyDescent="0.3">
      <c r="D26" s="17"/>
      <c r="E26" s="17"/>
      <c r="H26" s="17"/>
      <c r="I26" s="17"/>
      <c r="N26" s="17"/>
      <c r="O26" s="17"/>
      <c r="P26" s="18"/>
      <c r="Q26" s="17"/>
      <c r="R26" s="18"/>
      <c r="S26" s="17"/>
      <c r="T26" s="17"/>
      <c r="U26" s="17"/>
      <c r="V26" s="17"/>
    </row>
    <row r="27" spans="1:22" x14ac:dyDescent="0.3">
      <c r="D27" s="17"/>
      <c r="E27" s="17"/>
      <c r="H27" s="17"/>
      <c r="I27" s="17"/>
      <c r="N27" s="17"/>
      <c r="O27" s="17"/>
      <c r="P27" s="18"/>
      <c r="Q27" s="17"/>
      <c r="R27" s="18"/>
      <c r="S27" s="17"/>
      <c r="T27" s="17"/>
      <c r="U27" s="17"/>
      <c r="V27" s="17"/>
    </row>
    <row r="28" spans="1:22" x14ac:dyDescent="0.3">
      <c r="D28" s="17"/>
      <c r="E28" s="17"/>
      <c r="H28" s="17"/>
      <c r="I28" s="17"/>
      <c r="N28" s="17"/>
      <c r="O28" s="17"/>
      <c r="P28" s="18"/>
      <c r="Q28" s="17"/>
      <c r="R28" s="18"/>
      <c r="S28" s="17"/>
      <c r="T28" s="17"/>
      <c r="U28" s="17"/>
      <c r="V28" s="17"/>
    </row>
    <row r="29" spans="1:22" x14ac:dyDescent="0.3">
      <c r="D29" s="17"/>
      <c r="E29" s="17"/>
      <c r="H29" s="17"/>
      <c r="I29" s="17"/>
      <c r="N29" s="17"/>
      <c r="O29" s="17"/>
      <c r="P29" s="18"/>
      <c r="Q29" s="17"/>
      <c r="R29" s="18"/>
      <c r="S29" s="17"/>
      <c r="T29" s="17"/>
      <c r="U29" s="17"/>
      <c r="V29" s="17"/>
    </row>
    <row r="30" spans="1:22" x14ac:dyDescent="0.3">
      <c r="D30" s="17" t="s">
        <v>24</v>
      </c>
      <c r="E30" s="17"/>
      <c r="H30" s="17" t="s">
        <v>24</v>
      </c>
      <c r="I30" s="17"/>
      <c r="N30" s="17" t="s">
        <v>24</v>
      </c>
      <c r="O30" s="17"/>
      <c r="P30" s="18"/>
      <c r="Q30" s="17"/>
      <c r="R30" s="18"/>
      <c r="S30" s="17"/>
      <c r="T30" s="17"/>
      <c r="U30" s="17"/>
      <c r="V30" s="17"/>
    </row>
    <row r="31" spans="1:22" x14ac:dyDescent="0.3">
      <c r="D31" s="17"/>
      <c r="E31" s="17"/>
      <c r="H31" s="17"/>
      <c r="I31" s="17"/>
      <c r="N31" s="17"/>
      <c r="O31" s="17"/>
      <c r="P31" s="18"/>
      <c r="Q31" s="17"/>
      <c r="R31" s="17"/>
      <c r="S31" s="17"/>
      <c r="T31" s="17"/>
      <c r="U31" s="17"/>
      <c r="V31" s="17"/>
    </row>
    <row r="32" spans="1:22" x14ac:dyDescent="0.3">
      <c r="D32" s="17"/>
      <c r="E32" s="17"/>
      <c r="H32" s="17"/>
      <c r="I32" s="17"/>
      <c r="N32" s="17"/>
      <c r="O32" s="17"/>
      <c r="P32" s="18"/>
      <c r="Q32" s="17"/>
      <c r="R32" s="17"/>
      <c r="S32" s="17"/>
      <c r="T32" s="17"/>
      <c r="U32" s="17"/>
      <c r="V32" s="17"/>
    </row>
    <row r="33" spans="4:22" x14ac:dyDescent="0.3">
      <c r="D33" s="17"/>
      <c r="E33" s="17"/>
      <c r="H33" s="17"/>
      <c r="I33" s="17"/>
      <c r="N33" s="17"/>
      <c r="O33" s="17"/>
      <c r="P33" s="17"/>
      <c r="Q33" s="17"/>
      <c r="R33" s="17"/>
      <c r="S33" s="17"/>
      <c r="T33" s="17"/>
      <c r="U33" s="17"/>
    </row>
    <row r="34" spans="4:22" x14ac:dyDescent="0.3">
      <c r="D34" s="17"/>
      <c r="E34" s="17"/>
      <c r="H34" s="17"/>
      <c r="I34" s="17"/>
      <c r="N34" s="17"/>
      <c r="O34" s="17"/>
      <c r="V34" s="17"/>
    </row>
    <row r="35" spans="4:22" x14ac:dyDescent="0.3">
      <c r="D35" s="17"/>
      <c r="E35" s="17"/>
      <c r="H35" s="17"/>
      <c r="I35" s="17"/>
      <c r="N35" s="17"/>
      <c r="O35" s="17"/>
      <c r="V35" s="17"/>
    </row>
    <row r="36" spans="4:22" x14ac:dyDescent="0.3">
      <c r="D36" s="17"/>
      <c r="E36" s="17"/>
      <c r="H36" s="17"/>
      <c r="I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4:22" x14ac:dyDescent="0.3">
      <c r="D37" s="17"/>
      <c r="E37" s="17"/>
      <c r="H37" s="17"/>
      <c r="I37" s="17"/>
      <c r="N37" s="17"/>
      <c r="O37" s="17"/>
      <c r="P37" s="18"/>
      <c r="Q37" s="17"/>
      <c r="R37" s="18"/>
      <c r="S37" s="17"/>
      <c r="T37" s="17"/>
      <c r="U37" s="17"/>
      <c r="V37" s="17"/>
    </row>
    <row r="38" spans="4:22" x14ac:dyDescent="0.3">
      <c r="D38" s="17"/>
      <c r="E38" s="17"/>
      <c r="H38" s="17"/>
      <c r="I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4:22" x14ac:dyDescent="0.3">
      <c r="D39" s="17"/>
      <c r="E39" s="17"/>
      <c r="H39" s="17"/>
      <c r="I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4:22" x14ac:dyDescent="0.3">
      <c r="D40" s="17"/>
      <c r="E40" s="17"/>
      <c r="H40" s="17"/>
      <c r="I40" s="17"/>
      <c r="N40" s="17"/>
      <c r="O40" s="17"/>
      <c r="P40" s="17"/>
      <c r="Q40" s="17"/>
      <c r="R40" s="17"/>
      <c r="S40" s="17"/>
      <c r="T40" s="17"/>
      <c r="U40" s="17"/>
    </row>
    <row r="41" spans="4:22" x14ac:dyDescent="0.3">
      <c r="D41" s="17"/>
      <c r="E41" s="17"/>
      <c r="H41" s="17"/>
      <c r="I41" s="17"/>
      <c r="N41" s="17"/>
      <c r="O41" s="17"/>
    </row>
    <row r="42" spans="4:22" x14ac:dyDescent="0.3">
      <c r="D42" s="17"/>
      <c r="E42" s="17"/>
      <c r="H42" s="17"/>
      <c r="I42" s="17"/>
      <c r="N42" s="17"/>
      <c r="O42" s="17"/>
      <c r="P42" s="17"/>
      <c r="Q42" s="17"/>
      <c r="R42" s="17"/>
    </row>
    <row r="43" spans="4:22" x14ac:dyDescent="0.3">
      <c r="D43" s="17"/>
      <c r="E43" s="17"/>
      <c r="H43" s="17"/>
      <c r="I43" s="17"/>
      <c r="N43" s="17"/>
      <c r="O43" s="17"/>
    </row>
    <row r="44" spans="4:22" x14ac:dyDescent="0.3">
      <c r="D44" s="17"/>
      <c r="E44" s="17"/>
      <c r="H44" s="17"/>
      <c r="I44" s="17"/>
      <c r="N44" s="17"/>
      <c r="O44" s="17"/>
    </row>
    <row r="45" spans="4:22" x14ac:dyDescent="0.3">
      <c r="D45" s="17"/>
      <c r="E45" s="17"/>
      <c r="H45" s="17"/>
      <c r="I45" s="17"/>
      <c r="N45" s="17"/>
      <c r="O45" s="17"/>
      <c r="S45" s="17"/>
      <c r="T45" s="17"/>
      <c r="U45" s="17"/>
    </row>
    <row r="46" spans="4:22" x14ac:dyDescent="0.3">
      <c r="D46" s="17"/>
      <c r="E46" s="17"/>
      <c r="H46" s="17"/>
      <c r="I46" s="17"/>
      <c r="N46" s="17"/>
      <c r="O46" s="17"/>
      <c r="S46" s="17"/>
      <c r="T46" s="17"/>
      <c r="U46" s="17"/>
    </row>
    <row r="47" spans="4:22" x14ac:dyDescent="0.3">
      <c r="D47" s="17"/>
      <c r="E47" s="17"/>
      <c r="H47" s="17"/>
      <c r="I47" s="17"/>
      <c r="N47" s="17"/>
      <c r="O47" s="17"/>
      <c r="S47" s="17"/>
      <c r="T47" s="17"/>
      <c r="U47" s="17"/>
    </row>
    <row r="48" spans="4:22" x14ac:dyDescent="0.3">
      <c r="D48" s="17"/>
      <c r="E48" s="17"/>
      <c r="H48" s="17"/>
      <c r="I48" s="17"/>
      <c r="N48" s="17"/>
      <c r="O48" s="17"/>
      <c r="P48" s="17"/>
      <c r="Q48" s="17"/>
      <c r="R48" s="17"/>
      <c r="S48" s="17"/>
      <c r="T48" s="17"/>
      <c r="U48" s="17"/>
    </row>
    <row r="49" spans="4:21" x14ac:dyDescent="0.3">
      <c r="D49" s="17"/>
      <c r="E49" s="17"/>
      <c r="H49" s="17"/>
      <c r="I49" s="17"/>
      <c r="N49" s="17"/>
      <c r="O49" s="17"/>
      <c r="P49" s="17"/>
      <c r="Q49" s="17"/>
      <c r="R49" s="17"/>
      <c r="S49" s="17"/>
      <c r="T49" s="17"/>
      <c r="U49" s="17"/>
    </row>
    <row r="50" spans="4:21" x14ac:dyDescent="0.3">
      <c r="D50" s="17"/>
      <c r="E50" s="17"/>
      <c r="H50" s="17"/>
      <c r="I50" s="17"/>
      <c r="N50" s="17"/>
      <c r="O50" s="17"/>
      <c r="P50" s="17"/>
      <c r="Q50" s="17"/>
      <c r="R50" s="17"/>
      <c r="S50" s="17"/>
      <c r="T50" s="17"/>
      <c r="U50" s="17"/>
    </row>
    <row r="51" spans="4:21" x14ac:dyDescent="0.3">
      <c r="D51" s="17"/>
      <c r="E51" s="17"/>
      <c r="H51" s="17"/>
      <c r="I51" s="17"/>
      <c r="N51" s="17"/>
      <c r="O51" s="17"/>
      <c r="P51" s="17"/>
      <c r="Q51" s="17"/>
      <c r="R51" s="17"/>
      <c r="S51" s="17"/>
      <c r="T51" s="17"/>
      <c r="U51" s="17"/>
    </row>
    <row r="52" spans="4:21" x14ac:dyDescent="0.3">
      <c r="D52" s="17"/>
      <c r="E52" s="17"/>
      <c r="H52" s="17"/>
      <c r="I52" s="17"/>
      <c r="N52" s="17"/>
      <c r="O52" s="17"/>
      <c r="P52" s="17"/>
      <c r="Q52" s="17"/>
      <c r="R52" s="17"/>
      <c r="S52" s="17"/>
      <c r="T52" s="17"/>
      <c r="U52" s="17"/>
    </row>
    <row r="53" spans="4:21" x14ac:dyDescent="0.3">
      <c r="D53" s="17"/>
      <c r="E53" s="17"/>
      <c r="H53" s="17"/>
      <c r="I53" s="17"/>
      <c r="N53" s="17"/>
      <c r="O53" s="17"/>
      <c r="P53" s="17"/>
      <c r="Q53" s="17"/>
      <c r="R53" s="17"/>
      <c r="S53" s="17"/>
      <c r="T53" s="17"/>
      <c r="U53" s="17"/>
    </row>
    <row r="54" spans="4:21" x14ac:dyDescent="0.3">
      <c r="D54" s="17"/>
      <c r="E54" s="17"/>
      <c r="H54" s="17"/>
      <c r="I54" s="17"/>
      <c r="N54" s="17"/>
      <c r="O54" s="17"/>
      <c r="P54" s="17"/>
      <c r="Q54" s="17"/>
      <c r="R54" s="17"/>
      <c r="S54" s="17"/>
      <c r="T54" s="17"/>
      <c r="U54" s="17"/>
    </row>
    <row r="55" spans="4:21" x14ac:dyDescent="0.3">
      <c r="D55" s="17"/>
      <c r="E55" s="17"/>
      <c r="H55" s="17"/>
      <c r="I55" s="17"/>
      <c r="N55" s="17"/>
      <c r="O55" s="17"/>
      <c r="P55" s="17"/>
      <c r="Q55" s="17"/>
      <c r="R55" s="17"/>
      <c r="S55" s="17"/>
      <c r="T55" s="17"/>
      <c r="U55" s="17"/>
    </row>
    <row r="56" spans="4:21" x14ac:dyDescent="0.3">
      <c r="D56" s="17"/>
      <c r="E56" s="17"/>
      <c r="H56" s="17"/>
      <c r="I56" s="17"/>
      <c r="N56" s="17"/>
      <c r="O56" s="17"/>
      <c r="P56" s="17"/>
      <c r="Q56" s="17"/>
      <c r="R56" s="17"/>
      <c r="S56" s="17"/>
      <c r="T56" s="17"/>
      <c r="U56" s="17"/>
    </row>
    <row r="57" spans="4:21" x14ac:dyDescent="0.3">
      <c r="D57" s="17"/>
      <c r="E57" s="17"/>
      <c r="H57" s="17"/>
      <c r="I57" s="17"/>
      <c r="N57" s="17"/>
      <c r="O57" s="17"/>
      <c r="P57" s="17"/>
      <c r="Q57" s="17"/>
      <c r="R57" s="17"/>
      <c r="S57" s="17"/>
      <c r="T57" s="17"/>
      <c r="U57" s="17"/>
    </row>
    <row r="58" spans="4:21" x14ac:dyDescent="0.3">
      <c r="D58" s="17"/>
      <c r="E58" s="17"/>
      <c r="H58" s="17"/>
      <c r="I58" s="17"/>
      <c r="N58" s="17"/>
      <c r="O58" s="17"/>
      <c r="P58" s="17"/>
      <c r="Q58" s="17"/>
      <c r="R58" s="17"/>
      <c r="S58" s="17"/>
      <c r="T58" s="17"/>
      <c r="U58" s="17"/>
    </row>
    <row r="59" spans="4:21" x14ac:dyDescent="0.3">
      <c r="D59" s="17"/>
      <c r="E59" s="17"/>
      <c r="H59" s="17"/>
      <c r="I59" s="17"/>
      <c r="N59" s="17"/>
      <c r="O59" s="17"/>
      <c r="P59" s="17"/>
      <c r="Q59" s="17"/>
      <c r="R59" s="17"/>
      <c r="S59" s="17"/>
      <c r="T59" s="17"/>
      <c r="U59" s="17"/>
    </row>
    <row r="60" spans="4:21" x14ac:dyDescent="0.3">
      <c r="D60" s="17"/>
      <c r="E60" s="17"/>
      <c r="H60" s="17"/>
      <c r="I60" s="17"/>
      <c r="N60" s="17"/>
      <c r="O60" s="17"/>
      <c r="P60" s="17"/>
      <c r="Q60" s="17"/>
      <c r="R60" s="17"/>
      <c r="S60" s="17"/>
      <c r="T60" s="17"/>
      <c r="U60" s="17"/>
    </row>
    <row r="61" spans="4:21" x14ac:dyDescent="0.3">
      <c r="D61" s="17"/>
      <c r="E61" s="17"/>
      <c r="H61" s="17"/>
      <c r="I61" s="17"/>
      <c r="N61" s="17"/>
      <c r="O61" s="17"/>
      <c r="P61" s="17"/>
      <c r="Q61" s="17"/>
      <c r="R61" s="17"/>
      <c r="S61" s="17"/>
      <c r="T61" s="17"/>
      <c r="U61" s="17"/>
    </row>
    <row r="62" spans="4:21" x14ac:dyDescent="0.3">
      <c r="D62" s="17"/>
      <c r="E62" s="17"/>
      <c r="H62" s="17"/>
      <c r="I62" s="17"/>
      <c r="N62" s="17"/>
      <c r="O62" s="17"/>
      <c r="P62" s="17"/>
      <c r="Q62" s="17"/>
      <c r="R62" s="17"/>
      <c r="S62" s="17"/>
      <c r="T62" s="17"/>
      <c r="U62" s="17"/>
    </row>
    <row r="63" spans="4:21" x14ac:dyDescent="0.3">
      <c r="D63" s="17"/>
      <c r="E63" s="17"/>
      <c r="H63" s="17"/>
      <c r="I63" s="17"/>
      <c r="N63" s="17"/>
      <c r="O63" s="17"/>
      <c r="P63" s="17"/>
      <c r="Q63" s="17"/>
      <c r="R63" s="17"/>
      <c r="S63" s="17"/>
      <c r="T63" s="17"/>
      <c r="U63" s="17"/>
    </row>
    <row r="64" spans="4:21" x14ac:dyDescent="0.3">
      <c r="D64" s="17"/>
      <c r="E64" s="17"/>
      <c r="H64" s="17"/>
      <c r="I64" s="17"/>
      <c r="N64" s="17"/>
      <c r="O64" s="17"/>
      <c r="P64" s="17"/>
      <c r="Q64" s="17"/>
      <c r="R64" s="17"/>
      <c r="S64" s="17"/>
      <c r="T64" s="17"/>
      <c r="U64" s="17"/>
    </row>
    <row r="65" spans="4:21" x14ac:dyDescent="0.3">
      <c r="D65" s="17"/>
      <c r="E65" s="17"/>
      <c r="H65" s="17"/>
      <c r="I65" s="17"/>
      <c r="N65" s="17"/>
      <c r="O65" s="17"/>
      <c r="P65" s="17"/>
      <c r="Q65" s="17"/>
      <c r="R65" s="17"/>
      <c r="S65" s="17"/>
      <c r="T65" s="17"/>
      <c r="U65" s="17"/>
    </row>
    <row r="66" spans="4:21" x14ac:dyDescent="0.3">
      <c r="D66" s="17"/>
      <c r="E66" s="17"/>
      <c r="H66" s="17"/>
      <c r="I66" s="17"/>
      <c r="N66" s="17"/>
      <c r="O66" s="17"/>
      <c r="P66" s="17"/>
      <c r="Q66" s="17"/>
      <c r="R66" s="17"/>
      <c r="S66" s="17"/>
      <c r="T66" s="17"/>
      <c r="U66" s="17"/>
    </row>
    <row r="67" spans="4:21" x14ac:dyDescent="0.3">
      <c r="D67" s="17"/>
      <c r="E67" s="17"/>
      <c r="H67" s="17"/>
      <c r="I67" s="17"/>
      <c r="N67" s="17"/>
      <c r="O67" s="17"/>
      <c r="P67" s="17"/>
      <c r="Q67" s="17"/>
      <c r="R67" s="17"/>
      <c r="S67" s="17"/>
      <c r="T67" s="17"/>
      <c r="U67" s="17"/>
    </row>
    <row r="68" spans="4:21" x14ac:dyDescent="0.3">
      <c r="D68" s="17"/>
      <c r="E68" s="17"/>
      <c r="H68" s="17"/>
      <c r="I68" s="17"/>
      <c r="N68" s="17"/>
      <c r="O68" s="17"/>
      <c r="P68" s="17"/>
      <c r="Q68" s="17"/>
      <c r="R68" s="17"/>
      <c r="S68" s="17"/>
      <c r="T68" s="17"/>
      <c r="U68" s="17"/>
    </row>
    <row r="69" spans="4:21" x14ac:dyDescent="0.3">
      <c r="D69" s="17"/>
      <c r="E69" s="17"/>
      <c r="H69" s="17"/>
      <c r="I69" s="17"/>
      <c r="N69" s="17"/>
      <c r="O69" s="17"/>
      <c r="P69" s="17"/>
      <c r="Q69" s="17"/>
      <c r="R69" s="17"/>
      <c r="S69" s="17"/>
      <c r="T69" s="17"/>
      <c r="U69" s="17"/>
    </row>
    <row r="70" spans="4:21" x14ac:dyDescent="0.3">
      <c r="D70" s="17"/>
      <c r="E70" s="17"/>
      <c r="H70" s="17"/>
      <c r="I70" s="17"/>
      <c r="N70" s="17"/>
      <c r="O70" s="17"/>
      <c r="P70" s="17"/>
      <c r="Q70" s="17"/>
      <c r="R70" s="17"/>
      <c r="S70" s="17"/>
      <c r="T70" s="17"/>
      <c r="U70" s="17"/>
    </row>
    <row r="71" spans="4:21" x14ac:dyDescent="0.3">
      <c r="P71" s="17"/>
      <c r="Q71" s="17"/>
      <c r="R71" s="17"/>
      <c r="S71" s="17"/>
      <c r="T71" s="17"/>
      <c r="U71" s="17"/>
    </row>
    <row r="72" spans="4:21" x14ac:dyDescent="0.3">
      <c r="P72" s="17"/>
      <c r="Q72" s="17"/>
      <c r="R72" s="17"/>
    </row>
    <row r="73" spans="4:21" x14ac:dyDescent="0.3">
      <c r="P73" s="17"/>
      <c r="Q73" s="17"/>
      <c r="R73" s="17"/>
    </row>
    <row r="74" spans="4:21" x14ac:dyDescent="0.3">
      <c r="P74" s="17"/>
      <c r="Q74" s="17"/>
      <c r="R74" s="1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defaultColWidth="8.77734375" defaultRowHeight="14.4" x14ac:dyDescent="0.3"/>
  <cols>
    <col min="1" max="1" width="8.77734375" style="1"/>
  </cols>
  <sheetData>
    <row r="1" spans="1:7" s="1" customFormat="1" x14ac:dyDescent="0.3">
      <c r="A1" s="1" t="s">
        <v>22</v>
      </c>
      <c r="B1" s="1" t="s">
        <v>23</v>
      </c>
      <c r="C1" s="1" t="s">
        <v>19</v>
      </c>
      <c r="D1" s="1" t="s">
        <v>18</v>
      </c>
      <c r="E1" s="1" t="s">
        <v>17</v>
      </c>
      <c r="F1" s="1" t="s">
        <v>21</v>
      </c>
      <c r="G1" s="1" t="s">
        <v>16</v>
      </c>
    </row>
    <row r="2" spans="1:7" x14ac:dyDescent="0.3">
      <c r="A2" s="1">
        <v>2010</v>
      </c>
    </row>
    <row r="3" spans="1:7" x14ac:dyDescent="0.3">
      <c r="A3" s="1">
        <v>2011</v>
      </c>
      <c r="B3" t="s">
        <v>76</v>
      </c>
    </row>
    <row r="4" spans="1:7" x14ac:dyDescent="0.3">
      <c r="A4" s="1">
        <v>2012</v>
      </c>
    </row>
    <row r="5" spans="1:7" x14ac:dyDescent="0.3">
      <c r="A5" s="1">
        <v>2013</v>
      </c>
      <c r="B5">
        <v>0.86</v>
      </c>
    </row>
    <row r="6" spans="1:7" x14ac:dyDescent="0.3">
      <c r="A6" s="1">
        <v>2014</v>
      </c>
      <c r="B6">
        <v>0.86</v>
      </c>
    </row>
    <row r="7" spans="1:7" x14ac:dyDescent="0.3">
      <c r="A7" s="1">
        <v>2015</v>
      </c>
    </row>
    <row r="8" spans="1:7" x14ac:dyDescent="0.3">
      <c r="A8" s="1">
        <v>2016</v>
      </c>
    </row>
    <row r="9" spans="1:7" x14ac:dyDescent="0.3">
      <c r="A9" s="1">
        <v>2017</v>
      </c>
    </row>
    <row r="10" spans="1:7" x14ac:dyDescent="0.3">
      <c r="A10" s="1">
        <v>2018</v>
      </c>
    </row>
    <row r="11" spans="1:7" x14ac:dyDescent="0.3">
      <c r="A11" s="1">
        <v>2019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31" zoomScale="120" zoomScaleNormal="120" workbookViewId="0">
      <selection activeCell="A42" sqref="A42"/>
    </sheetView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25</v>
      </c>
    </row>
    <row r="2" spans="1:12" x14ac:dyDescent="0.3">
      <c r="K2" s="13"/>
      <c r="L2" s="13"/>
    </row>
    <row r="3" spans="1:12" x14ac:dyDescent="0.3">
      <c r="A3" t="s">
        <v>45</v>
      </c>
      <c r="B3" s="16">
        <v>964582</v>
      </c>
    </row>
    <row r="4" spans="1:12" x14ac:dyDescent="0.3">
      <c r="B4" s="11"/>
    </row>
    <row r="5" spans="1:12" x14ac:dyDescent="0.3">
      <c r="A5" s="15" t="s">
        <v>56</v>
      </c>
    </row>
    <row r="6" spans="1:12" x14ac:dyDescent="0.3">
      <c r="A6" t="s">
        <v>46</v>
      </c>
      <c r="B6" s="16">
        <v>338011</v>
      </c>
      <c r="C6" s="16"/>
      <c r="D6" s="34"/>
    </row>
    <row r="7" spans="1:12" x14ac:dyDescent="0.3">
      <c r="A7" t="s">
        <v>47</v>
      </c>
      <c r="B7" s="16">
        <v>170311</v>
      </c>
      <c r="C7" s="16"/>
      <c r="D7" s="34"/>
    </row>
    <row r="8" spans="1:12" x14ac:dyDescent="0.3">
      <c r="A8" t="s">
        <v>48</v>
      </c>
      <c r="B8" s="16">
        <v>158167</v>
      </c>
      <c r="C8" s="35"/>
      <c r="D8" s="36"/>
      <c r="E8" s="13"/>
      <c r="F8" s="13"/>
      <c r="G8" s="13"/>
    </row>
    <row r="9" spans="1:12" x14ac:dyDescent="0.3">
      <c r="A9" t="s">
        <v>49</v>
      </c>
      <c r="B9" s="16">
        <v>129569</v>
      </c>
      <c r="C9" s="16"/>
      <c r="D9" s="34"/>
    </row>
    <row r="10" spans="1:12" x14ac:dyDescent="0.3">
      <c r="A10" t="s">
        <v>50</v>
      </c>
      <c r="B10" s="16">
        <v>78168</v>
      </c>
      <c r="C10" s="16"/>
    </row>
    <row r="11" spans="1:12" x14ac:dyDescent="0.3">
      <c r="A11" t="s">
        <v>51</v>
      </c>
      <c r="B11" s="16">
        <v>70489</v>
      </c>
      <c r="C11" s="16"/>
      <c r="D11" s="34"/>
    </row>
    <row r="12" spans="1:12" x14ac:dyDescent="0.3">
      <c r="A12" t="s">
        <v>52</v>
      </c>
      <c r="B12" s="16">
        <v>67843</v>
      </c>
      <c r="C12" s="16"/>
      <c r="D12" s="34"/>
    </row>
    <row r="13" spans="1:12" x14ac:dyDescent="0.3">
      <c r="A13" t="s">
        <v>53</v>
      </c>
      <c r="B13" s="16">
        <v>44729</v>
      </c>
      <c r="C13" s="16"/>
      <c r="D13" s="34"/>
    </row>
    <row r="14" spans="1:12" x14ac:dyDescent="0.3">
      <c r="A14" t="s">
        <v>54</v>
      </c>
      <c r="B14" s="16">
        <v>37576</v>
      </c>
      <c r="C14" s="16"/>
      <c r="D14" s="34"/>
    </row>
    <row r="15" spans="1:12" x14ac:dyDescent="0.3">
      <c r="A15" t="s">
        <v>55</v>
      </c>
      <c r="B15" s="16">
        <v>15092</v>
      </c>
      <c r="C15" s="16"/>
    </row>
    <row r="16" spans="1:12" x14ac:dyDescent="0.3">
      <c r="A16" t="s">
        <v>0</v>
      </c>
      <c r="B16" s="16">
        <v>2074537</v>
      </c>
      <c r="C16" s="16"/>
    </row>
    <row r="19" spans="1:2" x14ac:dyDescent="0.3">
      <c r="A19" t="s">
        <v>57</v>
      </c>
    </row>
    <row r="20" spans="1:2" x14ac:dyDescent="0.3">
      <c r="A20" t="s">
        <v>58</v>
      </c>
    </row>
    <row r="21" spans="1:2" x14ac:dyDescent="0.3">
      <c r="A21" t="s">
        <v>59</v>
      </c>
    </row>
    <row r="23" spans="1:2" x14ac:dyDescent="0.3">
      <c r="A23" t="s">
        <v>60</v>
      </c>
    </row>
    <row r="26" spans="1:2" x14ac:dyDescent="0.3">
      <c r="B26" s="12" t="s">
        <v>61</v>
      </c>
    </row>
    <row r="27" spans="1:2" x14ac:dyDescent="0.3">
      <c r="A27" t="s">
        <v>63</v>
      </c>
      <c r="B27" t="s">
        <v>62</v>
      </c>
    </row>
    <row r="28" spans="1:2" x14ac:dyDescent="0.3">
      <c r="A28" t="s">
        <v>65</v>
      </c>
      <c r="B28" s="12" t="s">
        <v>64</v>
      </c>
    </row>
    <row r="29" spans="1:2" x14ac:dyDescent="0.3">
      <c r="B29" s="12" t="s">
        <v>67</v>
      </c>
    </row>
    <row r="30" spans="1:2" x14ac:dyDescent="0.3">
      <c r="A30" t="s">
        <v>69</v>
      </c>
      <c r="B30" s="12" t="s">
        <v>68</v>
      </c>
    </row>
    <row r="31" spans="1:2" x14ac:dyDescent="0.3">
      <c r="A31" t="s">
        <v>71</v>
      </c>
      <c r="B31" s="12" t="s">
        <v>70</v>
      </c>
    </row>
    <row r="34" spans="1:2" x14ac:dyDescent="0.3">
      <c r="B34" s="12"/>
    </row>
    <row r="40" spans="1:2" x14ac:dyDescent="0.3">
      <c r="A40" t="s">
        <v>73</v>
      </c>
      <c r="B40" t="s">
        <v>74</v>
      </c>
    </row>
    <row r="41" spans="1:2" x14ac:dyDescent="0.3">
      <c r="A41" t="s">
        <v>75</v>
      </c>
    </row>
  </sheetData>
  <hyperlinks>
    <hyperlink ref="B26" r:id="rId1"/>
    <hyperlink ref="B28" r:id="rId2" display="https://www.in.gov/isdh/files/Care Continum2019.pdf"/>
    <hyperlink ref="B29" r:id="rId3" display="https://www.in.gov/isdh/files/At A Glance2019.pdf"/>
    <hyperlink ref="B30" r:id="rId4" display="https://www.in.gov/isdh/files/Continuum of HIV Care.pdf"/>
    <hyperlink ref="B31" r:id="rId5" display="https://www.in.gov/isdh/files/Final STATE OF INDIANA INTEGRATED PREVENTION AND CARE PLAN 2016(a).pdf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23" t="s">
        <v>29</v>
      </c>
      <c r="B1" s="24" t="s">
        <v>30</v>
      </c>
      <c r="C1" s="25" t="s">
        <v>36</v>
      </c>
    </row>
    <row r="2" spans="1:3" x14ac:dyDescent="0.3">
      <c r="A2" s="23" t="s">
        <v>32</v>
      </c>
      <c r="B2" s="26" t="s">
        <v>28</v>
      </c>
      <c r="C2" s="27"/>
    </row>
    <row r="3" spans="1:3" ht="43.2" x14ac:dyDescent="0.3">
      <c r="A3" s="28" t="s">
        <v>31</v>
      </c>
      <c r="B3" s="22" t="s">
        <v>37</v>
      </c>
      <c r="C3" s="29" t="s">
        <v>38</v>
      </c>
    </row>
    <row r="4" spans="1:3" x14ac:dyDescent="0.3">
      <c r="A4" s="30" t="s">
        <v>33</v>
      </c>
      <c r="B4" s="26" t="s">
        <v>27</v>
      </c>
      <c r="C4" s="27"/>
    </row>
    <row r="5" spans="1:3" ht="28.8" x14ac:dyDescent="0.3">
      <c r="A5" s="30" t="s">
        <v>34</v>
      </c>
      <c r="B5" s="21" t="s">
        <v>35</v>
      </c>
      <c r="C5" s="31" t="s">
        <v>39</v>
      </c>
    </row>
    <row r="6" spans="1:3" x14ac:dyDescent="0.3">
      <c r="A6" s="30" t="s">
        <v>40</v>
      </c>
      <c r="B6" s="21" t="s">
        <v>41</v>
      </c>
      <c r="C6" s="31" t="s">
        <v>39</v>
      </c>
    </row>
    <row r="7" spans="1:3" x14ac:dyDescent="0.3">
      <c r="A7" s="30" t="s">
        <v>42</v>
      </c>
      <c r="B7" s="22" t="s">
        <v>43</v>
      </c>
      <c r="C7" s="32" t="s">
        <v>39</v>
      </c>
    </row>
    <row r="8" spans="1:3" x14ac:dyDescent="0.3">
      <c r="A8" s="33" t="s">
        <v>44</v>
      </c>
    </row>
    <row r="9" spans="1:3" x14ac:dyDescent="0.3">
      <c r="B9" s="20"/>
    </row>
    <row r="10" spans="1:3" x14ac:dyDescent="0.3">
      <c r="A10" s="1" t="s">
        <v>24</v>
      </c>
      <c r="B10" s="20"/>
    </row>
    <row r="11" spans="1:3" x14ac:dyDescent="0.3">
      <c r="B11" s="20"/>
    </row>
    <row r="12" spans="1:3" x14ac:dyDescent="0.3">
      <c r="B12" s="20"/>
    </row>
    <row r="13" spans="1:3" x14ac:dyDescent="0.3">
      <c r="B13" s="20"/>
    </row>
    <row r="14" spans="1:3" x14ac:dyDescent="0.3">
      <c r="B14" s="20"/>
    </row>
    <row r="15" spans="1:3" x14ac:dyDescent="0.3">
      <c r="B15" s="20"/>
    </row>
    <row r="16" spans="1:3" x14ac:dyDescent="0.3">
      <c r="B16" s="20"/>
    </row>
    <row r="17" spans="2:2" x14ac:dyDescent="0.3">
      <c r="B17" s="20"/>
    </row>
    <row r="18" spans="2:2" x14ac:dyDescent="0.3">
      <c r="B18" s="20"/>
    </row>
    <row r="19" spans="2:2" x14ac:dyDescent="0.3">
      <c r="B19" s="20"/>
    </row>
    <row r="20" spans="2:2" x14ac:dyDescent="0.3">
      <c r="B20" s="20"/>
    </row>
    <row r="21" spans="2:2" x14ac:dyDescent="0.3">
      <c r="B21" s="20"/>
    </row>
    <row r="22" spans="2:2" x14ac:dyDescent="0.3">
      <c r="B22" s="20"/>
    </row>
    <row r="23" spans="2:2" x14ac:dyDescent="0.3">
      <c r="B23" s="20"/>
    </row>
    <row r="24" spans="2:2" x14ac:dyDescent="0.3">
      <c r="B24" s="20"/>
    </row>
    <row r="25" spans="2:2" x14ac:dyDescent="0.3">
      <c r="B25" s="20"/>
    </row>
    <row r="26" spans="2:2" x14ac:dyDescent="0.3">
      <c r="B26" s="20"/>
    </row>
    <row r="27" spans="2:2" x14ac:dyDescent="0.3">
      <c r="B2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Stratified_Data_v2</vt:lpstr>
      <vt:lpstr>Stratified_Data_v1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2020-10-05T20:18:21Z</dcterms:modified>
</cp:coreProperties>
</file>