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RA work_summer 2020/EHE/Suppression data/Boston/"/>
    </mc:Choice>
  </mc:AlternateContent>
  <xr:revisionPtr revIDLastSave="0" documentId="13_ncr:1_{56C9512B-116F-6C4F-96FD-492D441BA5CE}" xr6:coauthVersionLast="45" xr6:coauthVersionMax="45" xr10:uidLastSave="{00000000-0000-0000-0000-000000000000}"/>
  <bookViews>
    <workbookView xWindow="19180" yWindow="540" windowWidth="19060" windowHeight="19440" xr2:uid="{00000000-000D-0000-FFFF-FFFF00000000}"/>
  </bookViews>
  <sheets>
    <sheet name="Stratified_Data" sheetId="1" r:id="rId1"/>
    <sheet name="County_State_comparison" sheetId="6" r:id="rId2"/>
    <sheet name="Total_Data" sheetId="4" r:id="rId3"/>
    <sheet name="Comments" sheetId="2" r:id="rId4"/>
    <sheet name="Indicator definitions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5" i="1"/>
  <c r="D4" i="1"/>
  <c r="D6" i="1"/>
  <c r="D8" i="1"/>
  <c r="D7" i="1"/>
  <c r="B13" i="1"/>
  <c r="B12" i="1"/>
  <c r="B11" i="1"/>
  <c r="B10" i="1"/>
  <c r="B9" i="1"/>
  <c r="G12" i="1"/>
  <c r="E9" i="1"/>
  <c r="G9" i="1"/>
  <c r="E13" i="1"/>
  <c r="E12" i="1"/>
  <c r="E11" i="1"/>
  <c r="E10" i="1"/>
  <c r="I13" i="1"/>
  <c r="I12" i="1"/>
  <c r="I11" i="1"/>
  <c r="I10" i="1"/>
  <c r="I9" i="1"/>
  <c r="J17" i="1"/>
  <c r="O3" i="1"/>
  <c r="M8" i="1"/>
  <c r="M7" i="1"/>
  <c r="L7" i="1"/>
  <c r="L8" i="1"/>
  <c r="K7" i="1"/>
  <c r="K8" i="1"/>
  <c r="M3" i="1"/>
  <c r="L3" i="1"/>
  <c r="K3" i="1"/>
  <c r="K13" i="6"/>
  <c r="K12" i="6"/>
  <c r="K11" i="6"/>
  <c r="K10" i="6"/>
  <c r="K9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4" i="6"/>
  <c r="L4" i="6"/>
  <c r="L17" i="6"/>
  <c r="L16" i="6"/>
  <c r="L15" i="6"/>
  <c r="L14" i="6"/>
  <c r="I13" i="6"/>
  <c r="L13" i="6"/>
  <c r="I12" i="6"/>
  <c r="L12" i="6"/>
  <c r="I11" i="6"/>
  <c r="L11" i="6"/>
  <c r="I10" i="6"/>
  <c r="L10" i="6"/>
  <c r="I9" i="6"/>
  <c r="L9" i="6"/>
  <c r="L8" i="6"/>
  <c r="L7" i="6"/>
  <c r="L6" i="6"/>
  <c r="L5" i="6"/>
  <c r="F4" i="6"/>
  <c r="E5" i="6"/>
  <c r="E6" i="6"/>
  <c r="E7" i="6"/>
  <c r="E8" i="6"/>
  <c r="D9" i="6"/>
  <c r="E9" i="6"/>
  <c r="D10" i="6"/>
  <c r="E10" i="6"/>
  <c r="D11" i="6"/>
  <c r="E11" i="6"/>
  <c r="D12" i="6"/>
  <c r="E12" i="6"/>
  <c r="D13" i="6"/>
  <c r="E13" i="6"/>
  <c r="E14" i="6"/>
  <c r="E15" i="6"/>
  <c r="E16" i="6"/>
  <c r="E17" i="6"/>
  <c r="E4" i="6"/>
  <c r="F5" i="6"/>
  <c r="F6" i="6"/>
  <c r="F7" i="6"/>
  <c r="F8" i="6"/>
  <c r="B9" i="6"/>
  <c r="F9" i="6"/>
  <c r="B10" i="6"/>
  <c r="F10" i="6"/>
  <c r="B11" i="6"/>
  <c r="F11" i="6"/>
  <c r="B12" i="6"/>
  <c r="F12" i="6"/>
  <c r="B13" i="6"/>
  <c r="F13" i="6"/>
  <c r="F14" i="6"/>
  <c r="F15" i="6"/>
  <c r="F16" i="6"/>
  <c r="F17" i="6"/>
  <c r="O5" i="6"/>
  <c r="O6" i="6"/>
  <c r="O7" i="6"/>
  <c r="O8" i="6"/>
  <c r="N9" i="6"/>
  <c r="O9" i="6"/>
  <c r="N10" i="6"/>
  <c r="O10" i="6"/>
  <c r="N11" i="6"/>
  <c r="O11" i="6"/>
  <c r="N12" i="6"/>
  <c r="O12" i="6"/>
  <c r="N13" i="6"/>
  <c r="O13" i="6"/>
  <c r="O14" i="6"/>
  <c r="O15" i="6"/>
  <c r="O16" i="6"/>
  <c r="O17" i="6"/>
  <c r="O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4" i="6"/>
  <c r="H7" i="6"/>
  <c r="H5" i="6"/>
  <c r="H6" i="6"/>
  <c r="H8" i="6"/>
  <c r="G9" i="6"/>
  <c r="H9" i="6"/>
  <c r="G10" i="6"/>
  <c r="H10" i="6"/>
  <c r="G11" i="6"/>
  <c r="H11" i="6"/>
  <c r="G12" i="6"/>
  <c r="H12" i="6"/>
  <c r="G13" i="6"/>
  <c r="H13" i="6"/>
  <c r="H14" i="6"/>
  <c r="H15" i="6"/>
  <c r="H16" i="6"/>
  <c r="H17" i="6"/>
  <c r="H4" i="6"/>
  <c r="B14" i="2"/>
</calcChain>
</file>

<file path=xl/sharedStrings.xml><?xml version="1.0" encoding="utf-8"?>
<sst xmlns="http://schemas.openxmlformats.org/spreadsheetml/2006/main" count="120" uniqueCount="68">
  <si>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</si>
  <si>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</si>
  <si>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</si>
  <si>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</si>
  <si>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</si>
  <si>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</si>
  <si>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</si>
  <si>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</si>
  <si>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</si>
  <si>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</si>
  <si>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</si>
  <si>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</si>
  <si>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</si>
  <si>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</si>
  <si>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</si>
  <si>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</si>
  <si>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</si>
  <si>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</si>
  <si>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</si>
  <si>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</si>
  <si>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</si>
  <si>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</si>
  <si>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</si>
  <si>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</si>
  <si>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</si>
  <si>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</si>
  <si>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</si>
  <si>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</si>
  <si>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</si>
  <si>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</si>
  <si>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</si>
  <si>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</si>
  <si>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</si>
  <si>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</si>
  <si>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</si>
  <si>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</si>
  <si>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</si>
  <si>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</si>
  <si>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</si>
  <si>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</si>
  <si>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</si>
  <si>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</si>
  <si>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</si>
  <si>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</si>
  <si>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</si>
  <si>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>Suffolk County (807,252)</t>
  </si>
  <si>
    <t xml:space="preserve">Other counties in MSA: </t>
  </si>
  <si>
    <t>Norfolk (705,388)</t>
  </si>
  <si>
    <t>Plymouth (518,132)</t>
  </si>
  <si>
    <t>Essex (790,638)</t>
  </si>
  <si>
    <t>Middlesex (1,614,714)</t>
  </si>
  <si>
    <t>Rockingham (309,176)</t>
  </si>
  <si>
    <t>Strafford (130,090)</t>
  </si>
  <si>
    <t>MA</t>
  </si>
  <si>
    <t>NH</t>
  </si>
  <si>
    <t>Boston Metro</t>
  </si>
  <si>
    <t>Cambridge Metro</t>
  </si>
  <si>
    <t>Rockingham/Strafford Metro</t>
  </si>
  <si>
    <t>PLHIV 2017</t>
  </si>
  <si>
    <t>MA total</t>
  </si>
  <si>
    <t>https://www.mass.gov/lists/hivaids-epidemiologic-profiles</t>
  </si>
  <si>
    <t>2014-16</t>
  </si>
  <si>
    <t xml:space="preserve">Suffolk county </t>
  </si>
  <si>
    <t xml:space="preserve">Massachussetts </t>
  </si>
  <si>
    <t>2015-17</t>
  </si>
  <si>
    <t>Middlesex county</t>
  </si>
  <si>
    <t>Suffolk &amp; Middlesex combined</t>
  </si>
  <si>
    <t>Massachusetts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</si>
</sst>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0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1" applyFont="1" applyFill="1"/>
    <xf numFmtId="3" fontId="0" fillId="0" borderId="0" xfId="0" applyNumberFormat="1" applyFill="1"/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1" fillId="2" borderId="0" xfId="0" applyFont="1" applyFill="1"/>
    <xf numFmtId="1" fontId="0" fillId="2" borderId="2" xfId="0" applyNumberFormat="1" applyFill="1" applyBorder="1"/>
    <xf numFmtId="1" fontId="0" fillId="2" borderId="3" xfId="0" applyNumberForma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9" fontId="0" fillId="2" borderId="3" xfId="2" applyFont="1" applyFill="1" applyBorder="1"/>
    <xf numFmtId="9" fontId="0" fillId="2" borderId="0" xfId="2" applyFont="1" applyFill="1" applyBorder="1"/>
    <xf numFmtId="9" fontId="0" fillId="2" borderId="1" xfId="2" applyFont="1" applyFill="1" applyBorder="1"/>
    <xf numFmtId="0" fontId="1" fillId="3" borderId="0" xfId="0" applyFont="1" applyFill="1"/>
    <xf numFmtId="0" fontId="0" fillId="3" borderId="2" xfId="0" applyFill="1" applyBorder="1"/>
    <xf numFmtId="0" fontId="0" fillId="3" borderId="3" xfId="0" applyFill="1" applyBorder="1"/>
    <xf numFmtId="9" fontId="0" fillId="3" borderId="3" xfId="2" applyFont="1" applyFill="1" applyBorder="1"/>
    <xf numFmtId="0" fontId="0" fillId="3" borderId="0" xfId="0" applyFill="1" applyBorder="1"/>
    <xf numFmtId="9" fontId="0" fillId="3" borderId="0" xfId="2" applyFont="1" applyFill="1" applyBorder="1"/>
    <xf numFmtId="0" fontId="0" fillId="3" borderId="1" xfId="0" applyFill="1" applyBorder="1"/>
    <xf numFmtId="9" fontId="0" fillId="3" borderId="1" xfId="2" applyFont="1" applyFill="1" applyBorder="1"/>
    <xf numFmtId="2" fontId="0" fillId="3" borderId="3" xfId="0" applyNumberFormat="1" applyFill="1" applyBorder="1"/>
    <xf numFmtId="2" fontId="0" fillId="3" borderId="0" xfId="0" applyNumberFormat="1" applyFill="1" applyBorder="1"/>
    <xf numFmtId="2" fontId="0" fillId="3" borderId="1" xfId="0" applyNumberFormat="1" applyFill="1" applyBorder="1"/>
    <xf numFmtId="1" fontId="0" fillId="3" borderId="2" xfId="0" applyNumberFormat="1" applyFill="1" applyBorder="1"/>
    <xf numFmtId="1" fontId="0" fillId="3" borderId="3" xfId="0" applyNumberFormat="1" applyFill="1" applyBorder="1"/>
    <xf numFmtId="1" fontId="0" fillId="3" borderId="0" xfId="0" applyNumberFormat="1" applyFill="1" applyBorder="1"/>
    <xf numFmtId="1" fontId="0" fillId="3" borderId="1" xfId="0" applyNumberFormat="1" applyFill="1" applyBorder="1"/>
    <xf numFmtId="9" fontId="1" fillId="3" borderId="0" xfId="2" applyFont="1" applyFill="1"/>
    <xf numFmtId="9" fontId="0" fillId="3" borderId="2" xfId="2" applyFont="1" applyFill="1" applyBorder="1"/>
    <xf numFmtId="0" fontId="1" fillId="4" borderId="0" xfId="0" applyFont="1" applyFill="1"/>
    <xf numFmtId="1" fontId="0" fillId="4" borderId="2" xfId="0" applyNumberFormat="1" applyFill="1" applyBorder="1"/>
    <xf numFmtId="9" fontId="0" fillId="4" borderId="3" xfId="2" applyFont="1" applyFill="1" applyBorder="1"/>
    <xf numFmtId="9" fontId="0" fillId="4" borderId="0" xfId="2" applyFont="1" applyFill="1" applyBorder="1"/>
    <xf numFmtId="9" fontId="0" fillId="4" borderId="1" xfId="2" applyFont="1" applyFill="1" applyBorder="1"/>
    <xf numFmtId="0" fontId="0" fillId="4" borderId="0" xfId="0" applyFill="1"/>
    <xf numFmtId="1" fontId="0" fillId="4" borderId="3" xfId="2" applyNumberFormat="1" applyFont="1" applyFill="1" applyBorder="1"/>
    <xf numFmtId="1" fontId="0" fillId="4" borderId="0" xfId="2" applyNumberFormat="1" applyFont="1" applyFill="1" applyBorder="1"/>
    <xf numFmtId="1" fontId="0" fillId="4" borderId="1" xfId="2" applyNumberFormat="1" applyFont="1" applyFill="1" applyBorder="1"/>
    <xf numFmtId="0" fontId="0" fillId="5" borderId="0" xfId="0" applyFill="1"/>
    <xf numFmtId="0" fontId="0" fillId="5" borderId="0" xfId="0" applyFont="1" applyFill="1"/>
    <xf numFmtId="0" fontId="1" fillId="5" borderId="0" xfId="0" applyFont="1" applyFill="1"/>
    <xf numFmtId="1" fontId="0" fillId="5" borderId="2" xfId="0" applyNumberFormat="1" applyFill="1" applyBorder="1"/>
    <xf numFmtId="9" fontId="0" fillId="5" borderId="3" xfId="2" applyFont="1" applyFill="1" applyBorder="1"/>
    <xf numFmtId="9" fontId="0" fillId="5" borderId="0" xfId="2" applyFont="1" applyFill="1" applyBorder="1"/>
    <xf numFmtId="9" fontId="0" fillId="5" borderId="1" xfId="2" applyFont="1" applyFill="1" applyBorder="1"/>
    <xf numFmtId="9" fontId="4" fillId="5" borderId="3" xfId="2" applyFont="1" applyFill="1" applyBorder="1"/>
    <xf numFmtId="9" fontId="4" fillId="3" borderId="3" xfId="2" applyFont="1" applyFill="1" applyBorder="1"/>
    <xf numFmtId="9" fontId="4" fillId="5" borderId="1" xfId="2" applyFont="1" applyFill="1" applyBorder="1"/>
    <xf numFmtId="9" fontId="4" fillId="3" borderId="1" xfId="2" applyFont="1" applyFill="1" applyBorder="1"/>
    <xf numFmtId="9" fontId="4" fillId="5" borderId="0" xfId="2" applyFont="1" applyFill="1" applyBorder="1"/>
    <xf numFmtId="9" fontId="4" fillId="3" borderId="0" xfId="2" applyFont="1" applyFill="1" applyBorder="1"/>
    <xf numFmtId="165" fontId="0" fillId="3" borderId="2" xfId="0" applyNumberFormat="1" applyFill="1" applyBorder="1"/>
    <xf numFmtId="2" fontId="0" fillId="3" borderId="2" xfId="0" applyNumberForma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476249</xdr:colOff>
      <xdr:row>0</xdr:row>
      <xdr:rowOff>0</xdr:rowOff>
    </xdr:from>
    <xdr:to>
      <xdr:col>11</xdr:col>
      <xdr:colOff>554566</xdr:colOff>
      <xdr:row>16</xdr:row>
      <xdr:rowOff>40355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F232E-6CC8-BF43-A359-B3EAA5AA1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1749" y="0"/>
          <a:ext cx="4142317" cy="3088355"/>
        </a:xfrm>
        <a:prstGeom prst="rect">
          <a:avLst/>
        </a:prstGeom>
      </xdr:spPr>
    </xdr:pic>
    <xdr:clientData/>
  </xdr:twoCellAnchor>
  <xdr:twoCellAnchor editAs="oneCell">
    <xdr:from>
      <xdr:col>5</xdr:col>
      <xdr:colOff>487944</xdr:colOff>
      <xdr:row>17</xdr:row>
      <xdr:rowOff>0</xdr:rowOff>
    </xdr:from>
    <xdr:to>
      <xdr:col>12</xdr:col>
      <xdr:colOff>524933</xdr:colOff>
      <xdr:row>36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70C674-E043-6846-AA05-19499924D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3444" y="3238500"/>
          <a:ext cx="4778322" cy="3746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ass.gov/lists/hivaids-epidemiologic-pro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baseColWidth="10" defaultColWidth="8.83203125" defaultRowHeight="15" x14ac:dyDescent="0.2"/>
  <cols>
    <col min="1" max="1" width="13.33203125" style="1" customWidth="1"/>
  </cols>
  <sheetData>
    <row r="1" spans="1:27" s="1" customFormat="1" x14ac:dyDescent="0.2">
      <c r="A1" s="1" t="s">
        <v>22</v>
      </c>
      <c r="B1" s="62" t="s">
        <v>19</v>
      </c>
      <c r="C1" s="62" t="s">
        <v>18</v>
      </c>
      <c r="D1" s="62" t="s">
        <v>17</v>
      </c>
      <c r="E1" s="62" t="s">
        <v>21</v>
      </c>
      <c r="F1" s="62" t="s">
        <v>26</v>
      </c>
      <c r="G1" s="62" t="s">
        <v>16</v>
      </c>
      <c r="H1" s="62" t="s">
        <v>19</v>
      </c>
      <c r="I1" s="62" t="s">
        <v>18</v>
      </c>
      <c r="J1" s="62" t="s">
        <v>17</v>
      </c>
      <c r="K1" s="62" t="s">
        <v>21</v>
      </c>
      <c r="L1" s="62" t="s">
        <v>26</v>
      </c>
      <c r="M1" s="62" t="s">
        <v>16</v>
      </c>
      <c r="N1" s="62" t="s">
        <v>19</v>
      </c>
      <c r="O1" s="62" t="s">
        <v>18</v>
      </c>
    </row>
    <row r="2" spans="1:27" s="1" customFormat="1" x14ac:dyDescent="0.2">
      <c r="A2" s="1" t="s">
        <v>15</v>
      </c>
      <c r="B2" s="62">
        <v>2017</v>
      </c>
      <c r="C2" s="62">
        <v>2017</v>
      </c>
      <c r="D2" s="62">
        <v>2017</v>
      </c>
      <c r="E2" s="62">
        <v>2017</v>
      </c>
      <c r="F2" s="62">
        <v>2017</v>
      </c>
      <c r="G2" s="62">
        <v>2017</v>
      </c>
      <c r="H2" s="62">
        <v>2016</v>
      </c>
      <c r="I2" s="62">
        <v>2016</v>
      </c>
      <c r="J2" s="62">
        <v>2016</v>
      </c>
      <c r="K2" s="62">
        <v>2016</v>
      </c>
      <c r="L2" s="62">
        <v>2016</v>
      </c>
      <c r="M2" s="62">
        <v>2016</v>
      </c>
      <c r="N2" s="62">
        <v>2015</v>
      </c>
      <c r="O2" s="62">
        <v>2015</v>
      </c>
    </row>
    <row r="3" spans="1:27" s="5" customFormat="1" x14ac:dyDescent="0.2">
      <c r="A3" s="4" t="s">
        <v>0</v>
      </c>
      <c r="B3" s="63">
        <v>608</v>
      </c>
      <c r="C3" s="102"/>
      <c r="D3" s="63">
        <v>20736</v>
      </c>
      <c r="E3" s="102">
        <v>0.75</v>
      </c>
      <c r="F3" s="102">
        <v>0.55000000000000004</v>
      </c>
      <c r="G3" s="102">
        <v>0.67</v>
      </c>
      <c r="H3" s="63">
        <v>613</v>
      </c>
      <c r="I3" s="102">
        <v>0.82</v>
      </c>
      <c r="J3" s="63">
        <v>19746</v>
      </c>
      <c r="K3" s="101">
        <f>14681/J3</f>
        <v>0.74349235288159632</v>
      </c>
      <c r="L3" s="101">
        <f>11329/J3</f>
        <v>0.57373645295249676</v>
      </c>
      <c r="M3" s="101">
        <f>12891/J3</f>
        <v>0.65284108173807354</v>
      </c>
      <c r="N3" s="63">
        <v>564</v>
      </c>
      <c r="O3" s="101">
        <f>444/N3</f>
        <v>0.78723404255319152</v>
      </c>
      <c r="P3" s="17"/>
      <c r="Q3" s="17"/>
      <c r="R3" s="17"/>
      <c r="S3" s="17"/>
      <c r="T3" s="17"/>
    </row>
    <row r="4" spans="1:27" s="7" customFormat="1" x14ac:dyDescent="0.2">
      <c r="A4" s="6" t="s">
        <v>1</v>
      </c>
      <c r="B4" s="74">
        <v>166</v>
      </c>
      <c r="C4" s="70"/>
      <c r="D4" s="74">
        <f>0.3*D3</f>
        <v>6220.8</v>
      </c>
      <c r="E4" s="70">
        <v>0.75</v>
      </c>
      <c r="F4" s="70"/>
      <c r="G4" s="70">
        <v>0.66</v>
      </c>
      <c r="H4" s="70"/>
      <c r="I4" s="70">
        <v>0.81</v>
      </c>
      <c r="J4" s="64">
        <v>5829</v>
      </c>
      <c r="K4" s="70">
        <v>0.74</v>
      </c>
      <c r="L4" s="70">
        <v>0.57999999999999996</v>
      </c>
      <c r="M4" s="70">
        <v>0.64</v>
      </c>
      <c r="N4" s="70"/>
      <c r="O4" s="74"/>
      <c r="P4" s="18"/>
      <c r="Q4" s="18"/>
      <c r="R4" s="18"/>
      <c r="S4" s="18"/>
      <c r="T4" s="18"/>
    </row>
    <row r="5" spans="1:27" s="9" customFormat="1" x14ac:dyDescent="0.2">
      <c r="A5" s="8" t="s">
        <v>2</v>
      </c>
      <c r="B5" s="75">
        <v>183</v>
      </c>
      <c r="C5" s="71"/>
      <c r="D5" s="75">
        <f>0.27*D3</f>
        <v>5598.72</v>
      </c>
      <c r="E5" s="71">
        <v>0.72</v>
      </c>
      <c r="F5" s="71"/>
      <c r="G5" s="71">
        <v>0.65</v>
      </c>
      <c r="H5" s="71"/>
      <c r="I5" s="71">
        <v>0.85</v>
      </c>
      <c r="J5" s="66">
        <v>5193</v>
      </c>
      <c r="K5" s="71">
        <v>0.71</v>
      </c>
      <c r="L5" s="71">
        <v>0.56000000000000005</v>
      </c>
      <c r="M5" s="71">
        <v>0.61</v>
      </c>
      <c r="N5" s="71"/>
      <c r="O5" s="75"/>
      <c r="P5" s="10"/>
      <c r="Q5" s="10"/>
      <c r="R5" s="10"/>
      <c r="S5" s="10"/>
      <c r="T5" s="10"/>
      <c r="V5" s="10"/>
      <c r="AA5" s="10"/>
    </row>
    <row r="6" spans="1:27" s="3" customFormat="1" x14ac:dyDescent="0.2">
      <c r="A6" s="2" t="s">
        <v>3</v>
      </c>
      <c r="B6" s="76">
        <v>229</v>
      </c>
      <c r="C6" s="72"/>
      <c r="D6" s="76">
        <f>0.41*D3</f>
        <v>8501.76</v>
      </c>
      <c r="E6" s="72">
        <v>0.76</v>
      </c>
      <c r="F6" s="72"/>
      <c r="G6" s="72">
        <v>0.7</v>
      </c>
      <c r="H6" s="72"/>
      <c r="I6" s="72">
        <v>0.81</v>
      </c>
      <c r="J6" s="68">
        <v>8160</v>
      </c>
      <c r="K6" s="72">
        <v>0.76</v>
      </c>
      <c r="L6" s="72">
        <v>0.56999999999999995</v>
      </c>
      <c r="M6" s="72">
        <v>0.69</v>
      </c>
      <c r="N6" s="72"/>
      <c r="O6" s="76"/>
      <c r="P6" s="23"/>
      <c r="Q6" s="23"/>
      <c r="R6" s="23"/>
      <c r="S6" s="23"/>
      <c r="T6" s="23"/>
    </row>
    <row r="7" spans="1:27" s="7" customFormat="1" x14ac:dyDescent="0.2">
      <c r="A7" s="6" t="s">
        <v>4</v>
      </c>
      <c r="B7" s="74">
        <v>450</v>
      </c>
      <c r="C7" s="70"/>
      <c r="D7" s="74">
        <f>0.7*D3</f>
        <v>14515.199999999999</v>
      </c>
      <c r="E7" s="70">
        <v>0.73</v>
      </c>
      <c r="F7" s="70"/>
      <c r="G7" s="70">
        <v>0.67</v>
      </c>
      <c r="H7" s="70"/>
      <c r="I7" s="70">
        <v>0.81</v>
      </c>
      <c r="J7" s="64">
        <v>14015</v>
      </c>
      <c r="K7" s="70">
        <f>10311/J7</f>
        <v>0.73571173742418838</v>
      </c>
      <c r="L7" s="70">
        <f>7909/J7</f>
        <v>0.56432393863717445</v>
      </c>
      <c r="M7" s="70">
        <f>9177/J7</f>
        <v>0.65479843025330009</v>
      </c>
      <c r="N7" s="70"/>
      <c r="O7" s="74"/>
      <c r="P7" s="18"/>
      <c r="Q7" s="18"/>
      <c r="R7" s="18"/>
      <c r="S7" s="18"/>
      <c r="T7" s="18"/>
    </row>
    <row r="8" spans="1:27" s="3" customFormat="1" x14ac:dyDescent="0.2">
      <c r="A8" s="2" t="s">
        <v>5</v>
      </c>
      <c r="B8" s="76">
        <v>158</v>
      </c>
      <c r="C8" s="72"/>
      <c r="D8" s="76">
        <f>0.29*D3</f>
        <v>6013.44</v>
      </c>
      <c r="E8" s="71">
        <v>0.77</v>
      </c>
      <c r="F8" s="72"/>
      <c r="G8" s="72">
        <v>0.68</v>
      </c>
      <c r="H8" s="72"/>
      <c r="I8" s="72">
        <v>0.84</v>
      </c>
      <c r="J8" s="68">
        <v>5731</v>
      </c>
      <c r="K8" s="71">
        <f>4370/J8</f>
        <v>0.76251963008201007</v>
      </c>
      <c r="L8" s="72">
        <f>3420/J8</f>
        <v>0.59675449310766004</v>
      </c>
      <c r="M8" s="72">
        <f>3714/J8</f>
        <v>0.64805444076077479</v>
      </c>
      <c r="N8" s="72"/>
      <c r="O8" s="76"/>
      <c r="P8" s="10"/>
      <c r="Q8" s="23"/>
      <c r="R8" s="23"/>
      <c r="S8" s="23"/>
      <c r="T8" s="23"/>
      <c r="U8" s="9"/>
    </row>
    <row r="9" spans="1:27" s="7" customFormat="1" x14ac:dyDescent="0.2">
      <c r="A9" s="6" t="s">
        <v>6</v>
      </c>
      <c r="B9" s="74">
        <f>17+(190/2)</f>
        <v>112</v>
      </c>
      <c r="C9" s="70"/>
      <c r="D9" s="74"/>
      <c r="E9" s="70">
        <f>(0.33*0.93)+(0.66*0.79)</f>
        <v>0.82830000000000004</v>
      </c>
      <c r="F9" s="70"/>
      <c r="G9" s="70">
        <f>(0.33*0.82)+(0.66*0.66)</f>
        <v>0.70620000000000005</v>
      </c>
      <c r="H9" s="70"/>
      <c r="I9" s="70">
        <f>AVERAGE(0.88,0.78)</f>
        <v>0.83000000000000007</v>
      </c>
      <c r="J9" s="70"/>
      <c r="K9" s="70"/>
      <c r="L9" s="70"/>
      <c r="M9" s="70"/>
      <c r="N9" s="70"/>
      <c r="O9" s="74"/>
      <c r="P9" s="19"/>
      <c r="Q9" s="20"/>
      <c r="R9" s="19"/>
      <c r="S9" s="19"/>
      <c r="T9" s="18"/>
      <c r="U9" s="15"/>
      <c r="V9" s="13"/>
    </row>
    <row r="10" spans="1:27" s="9" customFormat="1" x14ac:dyDescent="0.2">
      <c r="A10" s="8" t="s">
        <v>7</v>
      </c>
      <c r="B10" s="75">
        <f>(190/2)+(185/2)</f>
        <v>187.5</v>
      </c>
      <c r="C10" s="71"/>
      <c r="D10" s="75"/>
      <c r="E10" s="71">
        <f>AVERAGE(0.79,0.74)</f>
        <v>0.76500000000000001</v>
      </c>
      <c r="F10" s="71"/>
      <c r="G10" s="71">
        <v>0.65</v>
      </c>
      <c r="H10" s="71"/>
      <c r="I10" s="71">
        <f>AVERAGE(0.78,0.83)</f>
        <v>0.80499999999999994</v>
      </c>
      <c r="J10" s="66"/>
      <c r="K10" s="71"/>
      <c r="L10" s="71"/>
      <c r="M10" s="71"/>
      <c r="N10" s="71"/>
      <c r="O10" s="75"/>
      <c r="P10" s="10"/>
      <c r="Q10" s="10"/>
      <c r="R10" s="21"/>
      <c r="S10" s="10"/>
      <c r="T10" s="22"/>
      <c r="U10" s="10"/>
    </row>
    <row r="11" spans="1:27" s="9" customFormat="1" x14ac:dyDescent="0.2">
      <c r="A11" s="8" t="s">
        <v>8</v>
      </c>
      <c r="B11" s="75">
        <f>(185/2)+(114/2)</f>
        <v>149.5</v>
      </c>
      <c r="C11" s="71"/>
      <c r="D11" s="75"/>
      <c r="E11" s="71">
        <f>AVERAGE(0.74,0.73)</f>
        <v>0.73499999999999999</v>
      </c>
      <c r="F11" s="71"/>
      <c r="G11" s="71">
        <v>0.64500000000000002</v>
      </c>
      <c r="H11" s="71"/>
      <c r="I11" s="71">
        <f>AVERAGE(0.83,0.81)</f>
        <v>0.82000000000000006</v>
      </c>
      <c r="J11" s="71"/>
      <c r="K11" s="71"/>
      <c r="L11" s="71"/>
      <c r="M11" s="71"/>
      <c r="N11" s="71"/>
      <c r="O11" s="75"/>
      <c r="P11" s="10"/>
      <c r="Q11" s="10"/>
      <c r="R11" s="21"/>
      <c r="S11" s="21"/>
      <c r="T11" s="22"/>
    </row>
    <row r="12" spans="1:27" s="9" customFormat="1" x14ac:dyDescent="0.2">
      <c r="A12" s="8" t="s">
        <v>9</v>
      </c>
      <c r="B12" s="75">
        <f>(114/2)+(70/2)</f>
        <v>92</v>
      </c>
      <c r="C12" s="71"/>
      <c r="D12" s="75"/>
      <c r="E12" s="71">
        <f>AVERAGE(0.73,0.75)</f>
        <v>0.74</v>
      </c>
      <c r="F12" s="71"/>
      <c r="G12" s="71">
        <f>AVERAGE(0.65,0.69)</f>
        <v>0.66999999999999993</v>
      </c>
      <c r="H12" s="71"/>
      <c r="I12" s="71">
        <f>AVERAGE(0.81,0.84)</f>
        <v>0.82499999999999996</v>
      </c>
      <c r="J12" s="66"/>
      <c r="K12" s="71"/>
      <c r="L12" s="71"/>
      <c r="M12" s="71"/>
      <c r="N12" s="71"/>
      <c r="O12" s="75"/>
      <c r="P12" s="10"/>
      <c r="Q12" s="22"/>
      <c r="R12" s="21"/>
      <c r="S12" s="10"/>
      <c r="T12" s="22"/>
      <c r="V12" s="14"/>
    </row>
    <row r="13" spans="1:27" s="3" customFormat="1" x14ac:dyDescent="0.2">
      <c r="A13" s="2" t="s">
        <v>10</v>
      </c>
      <c r="B13" s="76">
        <f>(70/2)+26+6</f>
        <v>67</v>
      </c>
      <c r="C13" s="71"/>
      <c r="D13" s="76"/>
      <c r="E13" s="72">
        <f>AVERAGE(0.75,0.76)</f>
        <v>0.755</v>
      </c>
      <c r="F13" s="71"/>
      <c r="G13" s="72">
        <v>0.69499999999999995</v>
      </c>
      <c r="H13" s="72"/>
      <c r="I13" s="71">
        <f>AVERAGE(0.84,0.9)</f>
        <v>0.87</v>
      </c>
      <c r="J13" s="72"/>
      <c r="K13" s="72"/>
      <c r="L13" s="71"/>
      <c r="M13" s="72"/>
      <c r="N13" s="72"/>
      <c r="O13" s="75"/>
      <c r="P13" s="23"/>
      <c r="Q13" s="22"/>
      <c r="R13" s="24"/>
      <c r="S13" s="24"/>
      <c r="T13" s="22"/>
    </row>
    <row r="14" spans="1:27" s="7" customFormat="1" x14ac:dyDescent="0.2">
      <c r="A14" s="6" t="s">
        <v>11</v>
      </c>
      <c r="B14" s="74">
        <v>235</v>
      </c>
      <c r="C14" s="70"/>
      <c r="D14" s="74">
        <f>0.39*D3</f>
        <v>8087.04</v>
      </c>
      <c r="E14" s="70">
        <v>0.75</v>
      </c>
      <c r="F14" s="70"/>
      <c r="G14" s="70">
        <v>0.7</v>
      </c>
      <c r="H14" s="70"/>
      <c r="I14" s="70">
        <v>0.81</v>
      </c>
      <c r="J14" s="64">
        <v>7621</v>
      </c>
      <c r="K14" s="70">
        <v>0.76</v>
      </c>
      <c r="L14" s="70">
        <v>0.56999999999999995</v>
      </c>
      <c r="M14" s="70">
        <v>0.69</v>
      </c>
      <c r="N14" s="70"/>
      <c r="O14" s="64"/>
      <c r="P14" s="18"/>
      <c r="Q14" s="18"/>
      <c r="R14" s="18"/>
      <c r="S14" s="18"/>
      <c r="T14" s="18"/>
    </row>
    <row r="15" spans="1:27" s="9" customFormat="1" x14ac:dyDescent="0.2">
      <c r="A15" s="8" t="s">
        <v>12</v>
      </c>
      <c r="B15" s="75">
        <v>105</v>
      </c>
      <c r="C15" s="71"/>
      <c r="D15" s="75">
        <f>0.17*D3</f>
        <v>3525.1200000000003</v>
      </c>
      <c r="E15" s="71">
        <v>0.73</v>
      </c>
      <c r="F15" s="71"/>
      <c r="G15" s="71">
        <v>0.65</v>
      </c>
      <c r="H15" s="71"/>
      <c r="I15" s="71">
        <v>0.82</v>
      </c>
      <c r="J15" s="66">
        <v>3417</v>
      </c>
      <c r="K15" s="71">
        <v>0.73</v>
      </c>
      <c r="L15" s="71">
        <v>0.57999999999999996</v>
      </c>
      <c r="M15" s="71">
        <v>0.62</v>
      </c>
      <c r="N15" s="71"/>
      <c r="O15" s="75"/>
      <c r="P15" s="10"/>
      <c r="Q15" s="10"/>
      <c r="R15" s="10"/>
      <c r="S15" s="10"/>
      <c r="T15" s="10"/>
      <c r="V15" s="10"/>
    </row>
    <row r="16" spans="1:27" s="9" customFormat="1" x14ac:dyDescent="0.2">
      <c r="A16" s="8" t="s">
        <v>13</v>
      </c>
      <c r="B16" s="75">
        <v>22</v>
      </c>
      <c r="C16" s="71"/>
      <c r="D16" s="75">
        <f>0.04*D3</f>
        <v>829.44</v>
      </c>
      <c r="E16" s="71">
        <v>0.73</v>
      </c>
      <c r="F16" s="71"/>
      <c r="G16" s="71">
        <v>0.64</v>
      </c>
      <c r="H16" s="71"/>
      <c r="I16" s="71">
        <v>0.8</v>
      </c>
      <c r="J16" s="66"/>
      <c r="K16" s="71"/>
      <c r="L16" s="71"/>
      <c r="M16" s="71"/>
      <c r="N16" s="71"/>
      <c r="O16" s="75"/>
      <c r="P16" s="10"/>
      <c r="Q16" s="10"/>
      <c r="R16" s="10"/>
      <c r="S16" s="10"/>
      <c r="T16" s="10"/>
      <c r="V16" s="10"/>
    </row>
    <row r="17" spans="1:32" s="3" customFormat="1" x14ac:dyDescent="0.2">
      <c r="A17" s="2" t="s">
        <v>14</v>
      </c>
      <c r="B17" s="76">
        <v>45</v>
      </c>
      <c r="C17" s="72"/>
      <c r="D17" s="76">
        <f>0.14*D3</f>
        <v>2903.0400000000004</v>
      </c>
      <c r="E17" s="72">
        <v>0.76</v>
      </c>
      <c r="F17" s="72"/>
      <c r="G17" s="72">
        <v>0.69</v>
      </c>
      <c r="H17" s="72"/>
      <c r="I17" s="72">
        <v>0.85</v>
      </c>
      <c r="J17" s="68">
        <f>2874+1815</f>
        <v>4689</v>
      </c>
      <c r="K17" s="72">
        <v>0.75</v>
      </c>
      <c r="L17" s="72">
        <v>0.57999999999999996</v>
      </c>
      <c r="M17" s="72">
        <v>0.65</v>
      </c>
      <c r="N17" s="72"/>
      <c r="O17" s="68"/>
      <c r="P17" s="23"/>
      <c r="Q17" s="23"/>
      <c r="R17" s="23"/>
      <c r="S17" s="23"/>
      <c r="T17" s="23"/>
    </row>
    <row r="18" spans="1:32" x14ac:dyDescent="0.2">
      <c r="A18" s="1" t="s">
        <v>20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>
        <v>3</v>
      </c>
      <c r="R18" s="27"/>
      <c r="S18" s="29"/>
      <c r="T18" s="28"/>
      <c r="U18" s="27"/>
      <c r="W18" s="31"/>
      <c r="X18" s="31"/>
      <c r="Y18" s="30"/>
      <c r="Z18" s="31"/>
      <c r="AA18" s="30"/>
      <c r="AB18" s="30"/>
      <c r="AC18" s="30"/>
    </row>
    <row r="19" spans="1:32" x14ac:dyDescent="0.2">
      <c r="P19" s="27"/>
      <c r="Q19" s="28"/>
      <c r="R19" s="30"/>
      <c r="S19" s="27"/>
      <c r="T19" s="34"/>
      <c r="U19" s="33"/>
      <c r="V19" s="31"/>
      <c r="W19" s="31"/>
      <c r="X19" s="30"/>
      <c r="Y19" s="31"/>
      <c r="Z19" s="30"/>
      <c r="AA19" s="30"/>
      <c r="AB19" s="30"/>
      <c r="AC19" s="30"/>
    </row>
    <row r="20" spans="1:32" x14ac:dyDescent="0.2">
      <c r="B20" s="53" t="s">
        <v>67</v>
      </c>
      <c r="C20" s="53"/>
      <c r="F20" s="30"/>
      <c r="G20" s="30"/>
      <c r="I20" t="s">
        <v>24</v>
      </c>
      <c r="L20" s="30"/>
      <c r="M20" s="30"/>
      <c r="O20" t="s">
        <v>24</v>
      </c>
      <c r="P20" s="30"/>
      <c r="Q20" s="30"/>
      <c r="R20" s="30"/>
      <c r="S20" s="27"/>
      <c r="T20" s="34"/>
      <c r="U20" s="33"/>
      <c r="V20" s="31"/>
      <c r="W20" s="30"/>
      <c r="X20" s="31"/>
      <c r="Y20" s="30"/>
      <c r="Z20" s="31"/>
      <c r="AA20" s="30"/>
      <c r="AB20" s="30"/>
      <c r="AC20" s="30"/>
      <c r="AD20" s="30"/>
      <c r="AE20" s="30"/>
      <c r="AF20" s="30"/>
    </row>
    <row r="21" spans="1:32" x14ac:dyDescent="0.2">
      <c r="B21" s="25"/>
      <c r="C21" s="25"/>
      <c r="E21" s="25"/>
      <c r="F21" s="32"/>
      <c r="G21" s="30"/>
      <c r="H21" s="25"/>
      <c r="I21" s="25"/>
      <c r="K21" s="25"/>
      <c r="L21" s="32"/>
      <c r="M21" s="30"/>
      <c r="N21" s="25"/>
      <c r="O21" s="25"/>
      <c r="P21" s="30"/>
      <c r="Q21" s="30"/>
      <c r="R21" s="30"/>
      <c r="S21" s="33"/>
      <c r="T21" s="34"/>
      <c r="U21" s="27"/>
      <c r="V21" s="31"/>
      <c r="W21" s="30"/>
      <c r="X21" s="31"/>
      <c r="Y21" s="30"/>
      <c r="Z21" s="31"/>
      <c r="AA21" s="30"/>
      <c r="AB21" s="30"/>
      <c r="AC21" s="30"/>
      <c r="AE21" s="30"/>
      <c r="AF21" s="30"/>
    </row>
    <row r="22" spans="1:32" x14ac:dyDescent="0.2">
      <c r="B22" s="25"/>
      <c r="C22" s="25"/>
      <c r="E22" s="25"/>
      <c r="F22" s="32"/>
      <c r="G22" s="30"/>
      <c r="H22" s="25"/>
      <c r="I22" s="25"/>
      <c r="K22" s="25"/>
      <c r="L22" s="32"/>
      <c r="M22" s="30"/>
      <c r="N22" s="25"/>
      <c r="O22" s="25"/>
      <c r="P22" s="30"/>
      <c r="Q22" s="30"/>
      <c r="R22" s="30"/>
      <c r="S22" s="27"/>
      <c r="T22" s="34"/>
      <c r="U22" s="33"/>
      <c r="V22" s="31"/>
      <c r="W22" s="30"/>
      <c r="X22" s="31"/>
      <c r="Y22" s="30"/>
      <c r="Z22" s="31"/>
      <c r="AA22" s="30"/>
      <c r="AB22" s="30"/>
      <c r="AC22" s="30"/>
      <c r="AD22" s="30"/>
      <c r="AE22" s="30"/>
      <c r="AF22" s="30"/>
    </row>
    <row r="23" spans="1:32" x14ac:dyDescent="0.2">
      <c r="F23" s="30"/>
      <c r="G23" s="30"/>
      <c r="L23" s="30"/>
      <c r="M23" s="30"/>
      <c r="P23" s="30"/>
      <c r="Q23" s="30"/>
      <c r="R23" s="30"/>
      <c r="S23" s="33"/>
      <c r="T23" s="34"/>
      <c r="U23" s="27"/>
      <c r="V23" s="31"/>
      <c r="W23" s="30"/>
      <c r="X23" s="31"/>
      <c r="Y23" s="30"/>
      <c r="Z23" s="31"/>
      <c r="AA23" s="30"/>
      <c r="AB23" s="30"/>
      <c r="AC23" s="30"/>
      <c r="AD23" s="30"/>
      <c r="AE23" s="30"/>
      <c r="AF23" s="30"/>
    </row>
    <row r="24" spans="1:32" x14ac:dyDescent="0.2">
      <c r="F24" s="30"/>
      <c r="G24" s="30"/>
      <c r="L24" s="30"/>
      <c r="M24" s="30"/>
      <c r="P24" s="30"/>
      <c r="Q24" s="30"/>
      <c r="R24" s="30"/>
      <c r="S24" s="33"/>
      <c r="T24" s="34"/>
      <c r="U24" s="27"/>
      <c r="V24" s="31"/>
      <c r="W24" s="30"/>
      <c r="X24" s="31"/>
      <c r="Y24" s="30"/>
      <c r="Z24" s="31"/>
      <c r="AA24" s="30"/>
      <c r="AB24" s="30"/>
      <c r="AC24" s="30"/>
      <c r="AD24" s="30"/>
      <c r="AE24" s="30"/>
      <c r="AF24" s="30"/>
    </row>
    <row r="25" spans="1:32" x14ac:dyDescent="0.2">
      <c r="F25" s="30"/>
      <c r="G25" s="30"/>
      <c r="L25" s="30"/>
      <c r="M25" s="30"/>
      <c r="P25" s="30"/>
      <c r="Q25" s="30"/>
      <c r="R25" s="30"/>
      <c r="S25" s="30"/>
      <c r="T25" s="34"/>
      <c r="U25" s="31"/>
      <c r="V25" s="31"/>
      <c r="W25" s="30"/>
      <c r="X25" s="31"/>
      <c r="Y25" s="30"/>
      <c r="Z25" s="31"/>
      <c r="AA25" s="30"/>
      <c r="AB25" s="30"/>
      <c r="AC25" s="30"/>
      <c r="AD25" s="30"/>
      <c r="AE25" s="30"/>
      <c r="AF25" s="30"/>
    </row>
    <row r="26" spans="1:32" x14ac:dyDescent="0.2">
      <c r="F26" s="30"/>
      <c r="G26" s="30"/>
      <c r="L26" s="30"/>
      <c r="M26" s="30"/>
      <c r="P26" s="30"/>
      <c r="Q26" s="30"/>
      <c r="R26" s="30"/>
      <c r="S26" s="27"/>
      <c r="T26" s="34"/>
      <c r="U26" s="27"/>
      <c r="V26" s="31"/>
      <c r="W26" s="30"/>
      <c r="X26" s="31"/>
      <c r="Y26" s="30"/>
      <c r="Z26" s="31"/>
      <c r="AA26" s="30"/>
      <c r="AB26" s="30"/>
      <c r="AC26" s="30"/>
      <c r="AD26" s="30"/>
      <c r="AE26" s="30"/>
      <c r="AF26" s="30"/>
    </row>
    <row r="27" spans="1:32" x14ac:dyDescent="0.2">
      <c r="F27" s="30"/>
      <c r="G27" s="30"/>
      <c r="L27" s="30"/>
      <c r="M27" s="30"/>
      <c r="P27" s="30"/>
      <c r="Q27" s="30"/>
      <c r="R27" s="30"/>
      <c r="S27" s="27"/>
      <c r="T27" s="34"/>
      <c r="U27" s="27"/>
      <c r="V27" s="31"/>
      <c r="W27" s="30"/>
      <c r="X27" s="31"/>
      <c r="Y27" s="30"/>
      <c r="Z27" s="31"/>
      <c r="AA27" s="30"/>
      <c r="AB27" s="30"/>
      <c r="AC27" s="30"/>
      <c r="AD27" s="30"/>
      <c r="AE27" s="30"/>
      <c r="AF27" s="30"/>
    </row>
    <row r="28" spans="1:32" x14ac:dyDescent="0.2">
      <c r="F28" s="30"/>
      <c r="G28" s="30"/>
      <c r="L28" s="30"/>
      <c r="M28" s="30"/>
      <c r="P28" s="30"/>
      <c r="Q28" s="30"/>
      <c r="R28" s="30"/>
      <c r="S28" s="27"/>
      <c r="T28" s="34"/>
      <c r="U28" s="33"/>
      <c r="V28" s="31"/>
      <c r="W28" s="30"/>
      <c r="X28" s="31"/>
      <c r="Y28" s="30"/>
      <c r="Z28" s="31"/>
      <c r="AA28" s="30"/>
      <c r="AB28" s="30"/>
      <c r="AC28" s="30"/>
      <c r="AD28" s="30"/>
      <c r="AE28" s="30"/>
      <c r="AF28" s="30"/>
    </row>
    <row r="29" spans="1:32" x14ac:dyDescent="0.2">
      <c r="F29" s="30"/>
      <c r="G29" s="30"/>
      <c r="L29" s="30"/>
      <c r="M29" s="30"/>
      <c r="P29" s="30"/>
      <c r="Q29" s="30"/>
      <c r="R29" s="30"/>
      <c r="S29" s="27"/>
      <c r="T29" s="34"/>
      <c r="U29" s="33"/>
      <c r="V29" s="31"/>
      <c r="W29" s="30"/>
      <c r="X29" s="31"/>
      <c r="Y29" s="30"/>
      <c r="Z29" s="31"/>
      <c r="AA29" s="30"/>
      <c r="AB29" s="30"/>
      <c r="AC29" s="30"/>
      <c r="AD29" s="30"/>
      <c r="AE29" s="30"/>
      <c r="AF29" s="30"/>
    </row>
    <row r="30" spans="1:32" x14ac:dyDescent="0.2">
      <c r="F30" s="30" t="s">
        <v>24</v>
      </c>
      <c r="G30" s="30"/>
      <c r="L30" s="30" t="s">
        <v>24</v>
      </c>
      <c r="M30" s="30"/>
      <c r="P30" s="30"/>
      <c r="Q30" s="30"/>
      <c r="R30" s="30"/>
      <c r="S30" s="27"/>
      <c r="T30" s="34"/>
      <c r="U30" s="27"/>
      <c r="V30" s="31"/>
      <c r="W30" s="30"/>
      <c r="X30" s="31"/>
      <c r="Y30" s="30"/>
      <c r="Z30" s="31"/>
      <c r="AA30" s="30"/>
      <c r="AB30" s="30"/>
      <c r="AC30" s="30"/>
      <c r="AD30" s="30"/>
      <c r="AE30" s="30"/>
      <c r="AF30" s="30"/>
    </row>
    <row r="31" spans="1:32" x14ac:dyDescent="0.2">
      <c r="F31" s="30"/>
      <c r="G31" s="30"/>
      <c r="L31" s="30"/>
      <c r="M31" s="30"/>
      <c r="P31" s="30"/>
      <c r="Q31" s="30"/>
      <c r="R31" s="30"/>
      <c r="S31" s="27"/>
      <c r="T31" s="34"/>
      <c r="U31" s="27"/>
      <c r="V31" s="31"/>
      <c r="W31" s="30"/>
      <c r="X31" s="31"/>
      <c r="Y31" s="30"/>
      <c r="Z31" s="30"/>
      <c r="AA31" s="30"/>
      <c r="AB31" s="30"/>
      <c r="AC31" s="30"/>
      <c r="AD31" s="30"/>
      <c r="AE31" s="30"/>
      <c r="AF31" s="30"/>
    </row>
    <row r="32" spans="1:32" x14ac:dyDescent="0.2">
      <c r="F32" s="30"/>
      <c r="G32" s="30"/>
      <c r="L32" s="30"/>
      <c r="M32" s="30"/>
      <c r="P32" s="30"/>
      <c r="Q32" s="30"/>
      <c r="R32" s="30"/>
      <c r="S32" s="27"/>
      <c r="T32" s="34"/>
      <c r="U32" s="27"/>
      <c r="V32" s="31"/>
      <c r="W32" s="30"/>
      <c r="X32" s="31"/>
      <c r="Y32" s="30"/>
      <c r="Z32" s="30"/>
      <c r="AA32" s="30"/>
      <c r="AB32" s="30"/>
      <c r="AC32" s="30"/>
      <c r="AD32" s="30"/>
      <c r="AE32" s="30"/>
      <c r="AF32" s="30"/>
    </row>
    <row r="33" spans="6:32" x14ac:dyDescent="0.2">
      <c r="F33" s="30"/>
      <c r="G33" s="30"/>
      <c r="L33" s="30"/>
      <c r="M33" s="30"/>
      <c r="P33" s="30"/>
      <c r="Q33" s="30"/>
      <c r="R33" s="30"/>
      <c r="S33" s="27"/>
      <c r="T33" s="34"/>
      <c r="U33" s="27"/>
      <c r="V33" s="30"/>
      <c r="W33" s="30"/>
      <c r="X33" s="30"/>
      <c r="Y33" s="30"/>
      <c r="Z33" s="30"/>
      <c r="AA33" s="30"/>
      <c r="AB33" s="30"/>
      <c r="AC33" s="30"/>
      <c r="AF33" s="30"/>
    </row>
    <row r="34" spans="6:32" x14ac:dyDescent="0.2">
      <c r="F34" s="30"/>
      <c r="G34" s="30"/>
      <c r="L34" s="30"/>
      <c r="M34" s="30"/>
      <c r="P34" s="30"/>
      <c r="Q34" s="30"/>
      <c r="AD34" s="30"/>
      <c r="AE34" s="30"/>
      <c r="AF34" s="30"/>
    </row>
    <row r="35" spans="6:32" x14ac:dyDescent="0.2">
      <c r="F35" s="30"/>
      <c r="G35" s="30"/>
      <c r="L35" s="30"/>
      <c r="M35" s="30"/>
      <c r="P35" s="30"/>
      <c r="Q35" s="30"/>
      <c r="AD35" s="30"/>
      <c r="AE35" s="30"/>
      <c r="AF35" s="30"/>
    </row>
    <row r="36" spans="6:32" x14ac:dyDescent="0.2">
      <c r="F36" s="30"/>
      <c r="G36" s="30"/>
      <c r="L36" s="30"/>
      <c r="M36" s="30"/>
      <c r="P36" s="30"/>
      <c r="Q36" s="30"/>
      <c r="R36" s="30"/>
      <c r="S36" s="30"/>
      <c r="T36" s="34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</row>
    <row r="37" spans="6:32" x14ac:dyDescent="0.2">
      <c r="F37" s="30"/>
      <c r="G37" s="30"/>
      <c r="L37" s="30"/>
      <c r="M37" s="30"/>
      <c r="P37" s="30"/>
      <c r="Q37" s="30"/>
      <c r="V37" s="31"/>
      <c r="W37" s="30"/>
      <c r="X37" s="31"/>
      <c r="Y37" s="30"/>
      <c r="Z37" s="31"/>
      <c r="AA37" s="30"/>
      <c r="AB37" s="30"/>
      <c r="AC37" s="30"/>
      <c r="AD37" s="30"/>
      <c r="AE37" s="30"/>
      <c r="AF37" s="30"/>
    </row>
    <row r="38" spans="6:32" x14ac:dyDescent="0.2">
      <c r="F38" s="30"/>
      <c r="G38" s="30"/>
      <c r="L38" s="30"/>
      <c r="M38" s="30"/>
      <c r="P38" s="30"/>
      <c r="Q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</row>
    <row r="39" spans="6:32" x14ac:dyDescent="0.2">
      <c r="F39" s="30"/>
      <c r="G39" s="30"/>
      <c r="L39" s="30"/>
      <c r="M39" s="30"/>
      <c r="P39" s="30"/>
      <c r="Q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</row>
    <row r="40" spans="6:32" x14ac:dyDescent="0.2">
      <c r="F40" s="30"/>
      <c r="G40" s="30"/>
      <c r="L40" s="30"/>
      <c r="M40" s="30"/>
      <c r="P40" s="30"/>
      <c r="Q40" s="30"/>
      <c r="V40" s="30"/>
      <c r="W40" s="30"/>
      <c r="X40" s="30"/>
      <c r="Y40" s="30"/>
      <c r="Z40" s="30"/>
      <c r="AA40" s="30"/>
      <c r="AB40" s="30"/>
      <c r="AC40" s="30"/>
      <c r="AD40" s="30"/>
    </row>
    <row r="41" spans="6:32" x14ac:dyDescent="0.2">
      <c r="F41" s="30"/>
      <c r="G41" s="30"/>
      <c r="L41" s="30"/>
      <c r="M41" s="30"/>
      <c r="P41" s="30"/>
      <c r="Q41" s="30"/>
      <c r="R41" s="30"/>
      <c r="S41" s="30"/>
      <c r="T41" s="30"/>
      <c r="U41" s="30"/>
      <c r="AD41" s="30"/>
    </row>
    <row r="42" spans="6:32" x14ac:dyDescent="0.2">
      <c r="F42" s="30"/>
      <c r="G42" s="30"/>
      <c r="L42" s="30"/>
      <c r="M42" s="30"/>
      <c r="P42" s="30"/>
      <c r="Q42" s="30"/>
      <c r="V42" s="30"/>
      <c r="W42" s="30"/>
      <c r="X42" s="30"/>
      <c r="Y42" s="30"/>
      <c r="Z42" s="30"/>
      <c r="AD42" s="30"/>
    </row>
    <row r="43" spans="6:32" x14ac:dyDescent="0.2">
      <c r="F43" s="30"/>
      <c r="G43" s="30"/>
      <c r="L43" s="30"/>
      <c r="M43" s="30"/>
      <c r="P43" s="30"/>
      <c r="Q43" s="30"/>
      <c r="AD43" s="30"/>
    </row>
    <row r="44" spans="6:32" x14ac:dyDescent="0.2">
      <c r="F44" s="30"/>
      <c r="G44" s="30"/>
      <c r="L44" s="30"/>
      <c r="M44" s="30"/>
      <c r="P44" s="30"/>
      <c r="Q44" s="30"/>
      <c r="AD44" s="30"/>
    </row>
    <row r="45" spans="6:32" x14ac:dyDescent="0.2">
      <c r="F45" s="30"/>
      <c r="G45" s="30"/>
      <c r="L45" s="30"/>
      <c r="M45" s="30"/>
      <c r="P45" s="30"/>
      <c r="Q45" s="30"/>
      <c r="AA45" s="30"/>
      <c r="AB45" s="30"/>
      <c r="AC45" s="30"/>
      <c r="AD45" s="30"/>
    </row>
    <row r="46" spans="6:32" x14ac:dyDescent="0.2">
      <c r="F46" s="30"/>
      <c r="G46" s="30"/>
      <c r="L46" s="30"/>
      <c r="M46" s="30"/>
      <c r="P46" s="30"/>
      <c r="Q46" s="30"/>
      <c r="AA46" s="30"/>
      <c r="AB46" s="30"/>
      <c r="AC46" s="30"/>
      <c r="AD46" s="30"/>
    </row>
    <row r="47" spans="6:32" x14ac:dyDescent="0.2">
      <c r="F47" s="30"/>
      <c r="G47" s="30"/>
      <c r="L47" s="30"/>
      <c r="M47" s="30"/>
      <c r="P47" s="30"/>
      <c r="Q47" s="30"/>
      <c r="R47" s="30"/>
      <c r="S47" s="30"/>
      <c r="T47" s="30"/>
      <c r="U47" s="30"/>
      <c r="AA47" s="30"/>
      <c r="AB47" s="30"/>
      <c r="AC47" s="30"/>
      <c r="AD47" s="30"/>
    </row>
    <row r="48" spans="6:32" x14ac:dyDescent="0.2">
      <c r="F48" s="30"/>
      <c r="G48" s="30"/>
      <c r="L48" s="30"/>
      <c r="M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 spans="6:30" x14ac:dyDescent="0.2">
      <c r="F49" s="30"/>
      <c r="G49" s="30"/>
      <c r="L49" s="30"/>
      <c r="M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 spans="6:30" x14ac:dyDescent="0.2">
      <c r="F50" s="30"/>
      <c r="G50" s="30"/>
      <c r="L50" s="30"/>
      <c r="M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 spans="6:30" x14ac:dyDescent="0.2">
      <c r="F51" s="30"/>
      <c r="G51" s="30"/>
      <c r="L51" s="30"/>
      <c r="M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 spans="6:30" x14ac:dyDescent="0.2">
      <c r="F52" s="30"/>
      <c r="G52" s="30"/>
      <c r="L52" s="30"/>
      <c r="M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 spans="6:30" x14ac:dyDescent="0.2">
      <c r="F53" s="30"/>
      <c r="G53" s="30"/>
      <c r="L53" s="30"/>
      <c r="M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 spans="6:30" x14ac:dyDescent="0.2">
      <c r="F54" s="30"/>
      <c r="G54" s="30"/>
      <c r="L54" s="30"/>
      <c r="M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 spans="6:30" x14ac:dyDescent="0.2">
      <c r="F55" s="30"/>
      <c r="G55" s="30"/>
      <c r="L55" s="30"/>
      <c r="M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 spans="6:30" x14ac:dyDescent="0.2">
      <c r="F56" s="30"/>
      <c r="G56" s="30"/>
      <c r="L56" s="30"/>
      <c r="M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 spans="6:30" x14ac:dyDescent="0.2">
      <c r="F57" s="30"/>
      <c r="G57" s="30"/>
      <c r="L57" s="30"/>
      <c r="M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 spans="6:30" x14ac:dyDescent="0.2">
      <c r="F58" s="30"/>
      <c r="G58" s="30"/>
      <c r="L58" s="30"/>
      <c r="M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 spans="6:30" x14ac:dyDescent="0.2">
      <c r="F59" s="30"/>
      <c r="G59" s="30"/>
      <c r="L59" s="30"/>
      <c r="M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 spans="6:30" x14ac:dyDescent="0.2">
      <c r="F60" s="30"/>
      <c r="G60" s="30"/>
      <c r="L60" s="30"/>
      <c r="M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 spans="6:30" x14ac:dyDescent="0.2">
      <c r="F61" s="30"/>
      <c r="G61" s="30"/>
      <c r="L61" s="30"/>
      <c r="M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 spans="6:30" x14ac:dyDescent="0.2">
      <c r="F62" s="30"/>
      <c r="G62" s="30"/>
      <c r="L62" s="30"/>
      <c r="M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 spans="6:30" x14ac:dyDescent="0.2">
      <c r="F63" s="30"/>
      <c r="G63" s="30"/>
      <c r="L63" s="30"/>
      <c r="M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 spans="6:30" x14ac:dyDescent="0.2">
      <c r="F64" s="30"/>
      <c r="G64" s="30"/>
      <c r="L64" s="30"/>
      <c r="M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 spans="6:30" x14ac:dyDescent="0.2">
      <c r="F65" s="30"/>
      <c r="G65" s="30"/>
      <c r="L65" s="30"/>
      <c r="M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 spans="6:30" x14ac:dyDescent="0.2">
      <c r="F66" s="30"/>
      <c r="G66" s="30"/>
      <c r="L66" s="30"/>
      <c r="M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 spans="6:30" x14ac:dyDescent="0.2">
      <c r="F67" s="30"/>
      <c r="G67" s="30"/>
      <c r="L67" s="30"/>
      <c r="M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 spans="6:30" x14ac:dyDescent="0.2">
      <c r="F68" s="30"/>
      <c r="G68" s="30"/>
      <c r="L68" s="30"/>
      <c r="M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 spans="6:30" x14ac:dyDescent="0.2">
      <c r="F69" s="30"/>
      <c r="G69" s="30"/>
      <c r="L69" s="30"/>
      <c r="M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 spans="6:30" x14ac:dyDescent="0.2">
      <c r="F70" s="30"/>
      <c r="G70" s="30"/>
      <c r="L70" s="30"/>
      <c r="M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 spans="6:30" x14ac:dyDescent="0.2"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 spans="6:30" x14ac:dyDescent="0.2">
      <c r="R72" s="30"/>
      <c r="S72" s="30"/>
      <c r="T72" s="30"/>
      <c r="U72" s="30"/>
      <c r="V72" s="30"/>
      <c r="W72" s="30"/>
      <c r="X72" s="30"/>
      <c r="Y72" s="30"/>
      <c r="Z72" s="30"/>
    </row>
    <row r="73" spans="6:30" x14ac:dyDescent="0.2">
      <c r="R73" s="30"/>
      <c r="S73" s="30"/>
      <c r="T73" s="30"/>
      <c r="U73" s="30"/>
      <c r="V73" s="30"/>
      <c r="W73" s="30"/>
      <c r="X73" s="30"/>
      <c r="Y73" s="30"/>
      <c r="Z73" s="30"/>
    </row>
    <row r="74" spans="6:30" x14ac:dyDescent="0.2">
      <c r="V74" s="30"/>
      <c r="W74" s="30"/>
      <c r="X74" s="30"/>
      <c r="Y74" s="30"/>
      <c r="Z74" s="3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E09F-BADD-F94F-8900-C5AEB8246CBC}">
  <dimension ref="A1:AD74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3.33203125" style="1" customWidth="1"/>
    <col min="2" max="2" width="8.83203125" customWidth="1"/>
    <col min="3" max="3" width="8.83203125" hidden="1" customWidth="1"/>
    <col min="4" max="4" width="8.83203125" customWidth="1"/>
    <col min="5" max="5" width="8.83203125" hidden="1" customWidth="1"/>
    <col min="9" max="9" width="8.83203125" customWidth="1"/>
    <col min="10" max="10" width="8.83203125" hidden="1" customWidth="1"/>
    <col min="11" max="11" width="8.83203125" customWidth="1"/>
    <col min="12" max="12" width="8.83203125" hidden="1" customWidth="1"/>
  </cols>
  <sheetData>
    <row r="1" spans="1:28" s="1" customFormat="1" x14ac:dyDescent="0.2">
      <c r="A1" s="1" t="s">
        <v>22</v>
      </c>
      <c r="B1" s="54" t="s">
        <v>19</v>
      </c>
      <c r="C1" s="54"/>
      <c r="D1" s="79" t="s">
        <v>19</v>
      </c>
      <c r="E1" s="79"/>
      <c r="F1" s="90" t="s">
        <v>19</v>
      </c>
      <c r="G1" s="62" t="s">
        <v>19</v>
      </c>
      <c r="H1" s="62"/>
      <c r="I1" s="54" t="s">
        <v>17</v>
      </c>
      <c r="J1" s="54"/>
      <c r="K1" s="79" t="s">
        <v>17</v>
      </c>
      <c r="L1" s="79"/>
      <c r="M1" s="90" t="s">
        <v>17</v>
      </c>
      <c r="N1" s="62" t="s">
        <v>17</v>
      </c>
      <c r="O1" s="77"/>
    </row>
    <row r="2" spans="1:28" s="1" customFormat="1" x14ac:dyDescent="0.2">
      <c r="A2" s="1" t="s">
        <v>15</v>
      </c>
      <c r="B2" s="54" t="s">
        <v>61</v>
      </c>
      <c r="C2" s="54"/>
      <c r="D2" s="79" t="s">
        <v>61</v>
      </c>
      <c r="E2" s="79"/>
      <c r="F2" s="90" t="s">
        <v>61</v>
      </c>
      <c r="G2" s="62" t="s">
        <v>64</v>
      </c>
      <c r="H2" s="62"/>
      <c r="I2" s="54">
        <v>2018</v>
      </c>
      <c r="J2" s="54"/>
      <c r="K2" s="79">
        <v>2018</v>
      </c>
      <c r="L2" s="79"/>
      <c r="M2" s="90">
        <v>2018</v>
      </c>
      <c r="N2" s="62">
        <v>2017</v>
      </c>
      <c r="O2" s="77"/>
    </row>
    <row r="3" spans="1:28" s="5" customFormat="1" x14ac:dyDescent="0.2">
      <c r="A3" s="4" t="s">
        <v>0</v>
      </c>
      <c r="B3" s="55">
        <v>519</v>
      </c>
      <c r="C3" s="55"/>
      <c r="D3" s="80">
        <v>381</v>
      </c>
      <c r="E3" s="80"/>
      <c r="F3" s="91"/>
      <c r="G3" s="63">
        <v>1855</v>
      </c>
      <c r="H3" s="63"/>
      <c r="I3" s="55">
        <v>6145</v>
      </c>
      <c r="J3" s="55"/>
      <c r="K3" s="80">
        <v>3879</v>
      </c>
      <c r="L3" s="80"/>
      <c r="M3" s="91"/>
      <c r="N3" s="73">
        <v>22634</v>
      </c>
      <c r="O3" s="78"/>
      <c r="P3" s="17"/>
      <c r="Q3" s="17"/>
      <c r="R3" s="17"/>
      <c r="S3" s="17"/>
      <c r="T3" s="17"/>
      <c r="U3" s="17"/>
    </row>
    <row r="4" spans="1:28" s="7" customFormat="1" x14ac:dyDescent="0.2">
      <c r="A4" s="6" t="s">
        <v>1</v>
      </c>
      <c r="B4" s="56">
        <v>202</v>
      </c>
      <c r="C4" s="59">
        <f>B4/B$3</f>
        <v>0.38921001926782273</v>
      </c>
      <c r="D4" s="85">
        <v>123</v>
      </c>
      <c r="E4" s="81">
        <f>D4/D$3</f>
        <v>0.32283464566929132</v>
      </c>
      <c r="F4" s="95">
        <f>SUM(B4,D4)/SUM($B$3,$D$3)</f>
        <v>0.3611111111111111</v>
      </c>
      <c r="G4" s="74">
        <v>543</v>
      </c>
      <c r="H4" s="96">
        <f t="shared" ref="H4:H17" si="0">G4/$G$3</f>
        <v>0.29272237196765499</v>
      </c>
      <c r="I4" s="56">
        <v>2326</v>
      </c>
      <c r="J4" s="59">
        <f>I4/I$3</f>
        <v>0.37851912123677789</v>
      </c>
      <c r="K4" s="85">
        <v>1335</v>
      </c>
      <c r="L4" s="81">
        <f>K4/K$3</f>
        <v>0.34416086620262953</v>
      </c>
      <c r="M4" s="95">
        <f>SUM(I4,K4)/SUM($I$3,$K$3)</f>
        <v>0.36522346368715086</v>
      </c>
      <c r="N4" s="74">
        <v>6688</v>
      </c>
      <c r="O4" s="96">
        <f>N4/N$3</f>
        <v>0.29548466908191218</v>
      </c>
      <c r="P4" s="18"/>
      <c r="Q4" s="18"/>
      <c r="R4" s="18"/>
      <c r="S4" s="18"/>
      <c r="T4" s="18"/>
      <c r="U4" s="18"/>
    </row>
    <row r="5" spans="1:28" s="9" customFormat="1" x14ac:dyDescent="0.2">
      <c r="A5" s="8" t="s">
        <v>2</v>
      </c>
      <c r="B5" s="57">
        <v>156</v>
      </c>
      <c r="C5" s="60">
        <f t="shared" ref="C5:C17" si="1">B5/$B$3</f>
        <v>0.30057803468208094</v>
      </c>
      <c r="D5" s="86">
        <v>69</v>
      </c>
      <c r="E5" s="82">
        <f t="shared" ref="E5:E17" si="2">D5/D$3</f>
        <v>0.18110236220472442</v>
      </c>
      <c r="F5" s="93">
        <f t="shared" ref="F5:F17" si="3">SUM(B5,D5)/SUM($B$3,$D$3)</f>
        <v>0.25</v>
      </c>
      <c r="G5" s="75">
        <v>511</v>
      </c>
      <c r="H5" s="67">
        <f t="shared" si="0"/>
        <v>0.27547169811320754</v>
      </c>
      <c r="I5" s="57">
        <v>1457</v>
      </c>
      <c r="J5" s="60">
        <f t="shared" ref="J5:J17" si="4">I5/I$3</f>
        <v>0.23710333604556549</v>
      </c>
      <c r="K5" s="86">
        <v>760</v>
      </c>
      <c r="L5" s="82">
        <f t="shared" ref="L5:L17" si="5">K5/K$3</f>
        <v>0.19592678525393142</v>
      </c>
      <c r="M5" s="99">
        <f t="shared" ref="M5:M17" si="6">SUM(I5,K5)/SUM($I$3,$K$3)</f>
        <v>0.22116919393455706</v>
      </c>
      <c r="N5" s="75">
        <v>6015</v>
      </c>
      <c r="O5" s="100">
        <f t="shared" ref="O5:O17" si="7">N5/N$3</f>
        <v>0.265750640629142</v>
      </c>
      <c r="P5" s="10"/>
      <c r="Q5" s="10"/>
      <c r="R5" s="10"/>
      <c r="S5" s="10"/>
      <c r="T5" s="10"/>
      <c r="U5" s="10"/>
      <c r="W5" s="10"/>
      <c r="AB5" s="10"/>
    </row>
    <row r="6" spans="1:28" s="3" customFormat="1" x14ac:dyDescent="0.2">
      <c r="A6" s="2" t="s">
        <v>3</v>
      </c>
      <c r="B6" s="58">
        <v>134</v>
      </c>
      <c r="C6" s="61">
        <f t="shared" si="1"/>
        <v>0.25818882466281312</v>
      </c>
      <c r="D6" s="87">
        <v>159</v>
      </c>
      <c r="E6" s="83">
        <f t="shared" si="2"/>
        <v>0.41732283464566927</v>
      </c>
      <c r="F6" s="97">
        <f t="shared" si="3"/>
        <v>0.32555555555555554</v>
      </c>
      <c r="G6" s="76">
        <v>712</v>
      </c>
      <c r="H6" s="98">
        <f t="shared" si="0"/>
        <v>0.38382749326145554</v>
      </c>
      <c r="I6" s="58">
        <v>2174</v>
      </c>
      <c r="J6" s="61">
        <f t="shared" si="4"/>
        <v>0.35378356387306753</v>
      </c>
      <c r="K6" s="87">
        <v>1595</v>
      </c>
      <c r="L6" s="83">
        <f t="shared" si="5"/>
        <v>0.41118845063160608</v>
      </c>
      <c r="M6" s="94">
        <f t="shared" si="6"/>
        <v>0.37599760574620911</v>
      </c>
      <c r="N6" s="76">
        <v>9244</v>
      </c>
      <c r="O6" s="69">
        <f t="shared" si="7"/>
        <v>0.40841212335424582</v>
      </c>
      <c r="P6" s="23"/>
      <c r="Q6" s="23"/>
      <c r="R6" s="23"/>
      <c r="S6" s="23"/>
      <c r="T6" s="23"/>
      <c r="U6" s="23"/>
    </row>
    <row r="7" spans="1:28" s="7" customFormat="1" x14ac:dyDescent="0.2">
      <c r="A7" s="6" t="s">
        <v>4</v>
      </c>
      <c r="B7" s="56">
        <v>390</v>
      </c>
      <c r="C7" s="59">
        <f t="shared" si="1"/>
        <v>0.75144508670520227</v>
      </c>
      <c r="D7" s="85">
        <v>282</v>
      </c>
      <c r="E7" s="81">
        <f t="shared" si="2"/>
        <v>0.74015748031496065</v>
      </c>
      <c r="F7" s="92">
        <f t="shared" si="3"/>
        <v>0.7466666666666667</v>
      </c>
      <c r="G7" s="74">
        <v>1368</v>
      </c>
      <c r="H7" s="65">
        <f t="shared" si="0"/>
        <v>0.73746630727762807</v>
      </c>
      <c r="I7" s="56">
        <v>4727</v>
      </c>
      <c r="J7" s="59">
        <f t="shared" si="4"/>
        <v>0.76924328722538649</v>
      </c>
      <c r="K7" s="85">
        <v>2664</v>
      </c>
      <c r="L7" s="81">
        <f t="shared" si="5"/>
        <v>0.6867749419953596</v>
      </c>
      <c r="M7" s="92">
        <f t="shared" si="6"/>
        <v>0.73733040702314445</v>
      </c>
      <c r="N7" s="74">
        <v>16132</v>
      </c>
      <c r="O7" s="65">
        <f t="shared" si="7"/>
        <v>0.71273305646372709</v>
      </c>
      <c r="P7" s="18"/>
      <c r="Q7" s="18"/>
      <c r="R7" s="18"/>
      <c r="S7" s="18"/>
      <c r="T7" s="18"/>
      <c r="U7" s="18"/>
    </row>
    <row r="8" spans="1:28" s="3" customFormat="1" x14ac:dyDescent="0.2">
      <c r="A8" s="2" t="s">
        <v>5</v>
      </c>
      <c r="B8" s="58">
        <v>129</v>
      </c>
      <c r="C8" s="61">
        <f t="shared" si="1"/>
        <v>0.24855491329479767</v>
      </c>
      <c r="D8" s="86">
        <v>99</v>
      </c>
      <c r="E8" s="82">
        <f t="shared" si="2"/>
        <v>0.25984251968503935</v>
      </c>
      <c r="F8" s="93">
        <f t="shared" si="3"/>
        <v>0.25333333333333335</v>
      </c>
      <c r="G8" s="75">
        <v>487</v>
      </c>
      <c r="H8" s="69">
        <f t="shared" si="0"/>
        <v>0.26253369272237198</v>
      </c>
      <c r="I8" s="58">
        <v>1418</v>
      </c>
      <c r="J8" s="60">
        <f t="shared" si="4"/>
        <v>0.23075671277461351</v>
      </c>
      <c r="K8" s="86">
        <v>1215</v>
      </c>
      <c r="L8" s="82">
        <f t="shared" si="5"/>
        <v>0.31322505800464034</v>
      </c>
      <c r="M8" s="93">
        <f t="shared" si="6"/>
        <v>0.26266959297685555</v>
      </c>
      <c r="N8" s="76">
        <v>6502</v>
      </c>
      <c r="O8" s="69">
        <f t="shared" si="7"/>
        <v>0.28726694353627286</v>
      </c>
      <c r="P8" s="23"/>
      <c r="Q8" s="10"/>
      <c r="R8" s="23"/>
      <c r="S8" s="23"/>
      <c r="T8" s="23"/>
      <c r="U8" s="23"/>
      <c r="V8" s="9"/>
    </row>
    <row r="9" spans="1:28" s="7" customFormat="1" x14ac:dyDescent="0.2">
      <c r="A9" s="6" t="s">
        <v>6</v>
      </c>
      <c r="B9" s="56">
        <f>11+63</f>
        <v>74</v>
      </c>
      <c r="C9" s="59">
        <f t="shared" si="1"/>
        <v>0.14258188824662812</v>
      </c>
      <c r="D9" s="85">
        <f>12+43</f>
        <v>55</v>
      </c>
      <c r="E9" s="81">
        <f t="shared" si="2"/>
        <v>0.14435695538057744</v>
      </c>
      <c r="F9" s="95">
        <f t="shared" si="3"/>
        <v>0.14333333333333334</v>
      </c>
      <c r="G9" s="74">
        <f>57+(549/2)</f>
        <v>331.5</v>
      </c>
      <c r="H9" s="96">
        <f t="shared" si="0"/>
        <v>0.17870619946091645</v>
      </c>
      <c r="I9" s="56">
        <f>5+75</f>
        <v>80</v>
      </c>
      <c r="J9" s="59">
        <f t="shared" si="4"/>
        <v>1.3018714401952807E-2</v>
      </c>
      <c r="K9" s="85">
        <f>18+52</f>
        <v>70</v>
      </c>
      <c r="L9" s="81">
        <f t="shared" si="5"/>
        <v>1.8045888115493684E-2</v>
      </c>
      <c r="M9" s="92">
        <f t="shared" si="6"/>
        <v>1.4964086193136472E-2</v>
      </c>
      <c r="N9" s="74">
        <f>94+(1366/2)</f>
        <v>777</v>
      </c>
      <c r="O9" s="65">
        <f t="shared" si="7"/>
        <v>3.4328885747106123E-2</v>
      </c>
      <c r="P9" s="18"/>
      <c r="Q9" s="19"/>
      <c r="R9" s="20"/>
      <c r="S9" s="19"/>
      <c r="T9" s="19"/>
      <c r="U9" s="18"/>
      <c r="V9" s="15"/>
      <c r="W9" s="13"/>
    </row>
    <row r="10" spans="1:28" s="9" customFormat="1" x14ac:dyDescent="0.2">
      <c r="A10" s="8" t="s">
        <v>7</v>
      </c>
      <c r="B10" s="57">
        <f>97+67</f>
        <v>164</v>
      </c>
      <c r="C10" s="60">
        <f t="shared" si="1"/>
        <v>0.31599229287090558</v>
      </c>
      <c r="D10" s="86">
        <f>63+57</f>
        <v>120</v>
      </c>
      <c r="E10" s="82">
        <f t="shared" si="2"/>
        <v>0.31496062992125984</v>
      </c>
      <c r="F10" s="99">
        <f t="shared" si="3"/>
        <v>0.31555555555555553</v>
      </c>
      <c r="G10" s="75">
        <f>(549/2)+(507/2)</f>
        <v>528</v>
      </c>
      <c r="H10" s="100">
        <f t="shared" si="0"/>
        <v>0.28463611859838273</v>
      </c>
      <c r="I10" s="57">
        <f>247+363</f>
        <v>610</v>
      </c>
      <c r="J10" s="60">
        <f t="shared" si="4"/>
        <v>9.9267697314890158E-2</v>
      </c>
      <c r="K10" s="86">
        <f>154+232</f>
        <v>386</v>
      </c>
      <c r="L10" s="82">
        <f t="shared" si="5"/>
        <v>9.9510183036865166E-2</v>
      </c>
      <c r="M10" s="93">
        <f t="shared" si="6"/>
        <v>9.9361532322426172E-2</v>
      </c>
      <c r="N10" s="75">
        <f>(1366/2)+(2902/2)</f>
        <v>2134</v>
      </c>
      <c r="O10" s="67">
        <f t="shared" si="7"/>
        <v>9.4282937174162765E-2</v>
      </c>
      <c r="P10" s="10"/>
      <c r="Q10" s="10"/>
      <c r="R10" s="10"/>
      <c r="S10" s="21"/>
      <c r="T10" s="10"/>
      <c r="U10" s="22"/>
      <c r="V10" s="10"/>
    </row>
    <row r="11" spans="1:28" s="9" customFormat="1" x14ac:dyDescent="0.2">
      <c r="A11" s="8" t="s">
        <v>8</v>
      </c>
      <c r="B11" s="57">
        <f>68+50</f>
        <v>118</v>
      </c>
      <c r="C11" s="60">
        <f t="shared" si="1"/>
        <v>0.22736030828516376</v>
      </c>
      <c r="D11" s="86">
        <f>40+41</f>
        <v>81</v>
      </c>
      <c r="E11" s="82">
        <f t="shared" si="2"/>
        <v>0.2125984251968504</v>
      </c>
      <c r="F11" s="93">
        <f t="shared" si="3"/>
        <v>0.22111111111111112</v>
      </c>
      <c r="G11" s="75">
        <f>(507/2)+(369/2)</f>
        <v>438</v>
      </c>
      <c r="H11" s="67">
        <f t="shared" si="0"/>
        <v>0.23611859838274932</v>
      </c>
      <c r="I11" s="57">
        <f>466+506</f>
        <v>972</v>
      </c>
      <c r="J11" s="60">
        <f t="shared" si="4"/>
        <v>0.15817737998372661</v>
      </c>
      <c r="K11" s="86">
        <f>310+343</f>
        <v>653</v>
      </c>
      <c r="L11" s="82">
        <f t="shared" si="5"/>
        <v>0.16834235627739108</v>
      </c>
      <c r="M11" s="93">
        <f t="shared" si="6"/>
        <v>0.16211093375897845</v>
      </c>
      <c r="N11" s="75">
        <f>(2902/2)+(4997/2)</f>
        <v>3949.5</v>
      </c>
      <c r="O11" s="67">
        <f t="shared" si="7"/>
        <v>0.17449412388442168</v>
      </c>
      <c r="P11" s="10"/>
      <c r="Q11" s="10"/>
      <c r="R11" s="10"/>
      <c r="S11" s="21"/>
      <c r="T11" s="21"/>
      <c r="U11" s="22"/>
    </row>
    <row r="12" spans="1:28" s="9" customFormat="1" x14ac:dyDescent="0.2">
      <c r="A12" s="8" t="s">
        <v>9</v>
      </c>
      <c r="B12" s="57">
        <f>59+47</f>
        <v>106</v>
      </c>
      <c r="C12" s="60">
        <f t="shared" si="1"/>
        <v>0.20423892100192678</v>
      </c>
      <c r="D12" s="86">
        <f>52+31</f>
        <v>83</v>
      </c>
      <c r="E12" s="82">
        <f t="shared" si="2"/>
        <v>0.2178477690288714</v>
      </c>
      <c r="F12" s="93">
        <f t="shared" si="3"/>
        <v>0.21</v>
      </c>
      <c r="G12" s="75">
        <f>(369/2)+(261/2)</f>
        <v>315</v>
      </c>
      <c r="H12" s="67">
        <f t="shared" si="0"/>
        <v>0.16981132075471697</v>
      </c>
      <c r="I12" s="57">
        <f>737+1067</f>
        <v>1804</v>
      </c>
      <c r="J12" s="60">
        <f t="shared" si="4"/>
        <v>0.2935720097640358</v>
      </c>
      <c r="K12" s="86">
        <f>510+711</f>
        <v>1221</v>
      </c>
      <c r="L12" s="82">
        <f t="shared" si="5"/>
        <v>0.31477184841453981</v>
      </c>
      <c r="M12" s="93">
        <f t="shared" si="6"/>
        <v>0.30177573822825221</v>
      </c>
      <c r="N12" s="75">
        <f>(4997/2)+(8256/2)</f>
        <v>6626.5</v>
      </c>
      <c r="O12" s="67">
        <f t="shared" si="7"/>
        <v>0.29276751789343464</v>
      </c>
      <c r="P12" s="22"/>
      <c r="Q12" s="10"/>
      <c r="R12" s="22"/>
      <c r="S12" s="21"/>
      <c r="T12" s="10"/>
      <c r="U12" s="22"/>
      <c r="W12" s="14"/>
    </row>
    <row r="13" spans="1:28" s="3" customFormat="1" x14ac:dyDescent="0.2">
      <c r="A13" s="2" t="s">
        <v>10</v>
      </c>
      <c r="B13" s="58">
        <f>SUM(31,10,5,8)</f>
        <v>54</v>
      </c>
      <c r="C13" s="61">
        <f t="shared" si="1"/>
        <v>0.10404624277456648</v>
      </c>
      <c r="D13" s="87">
        <f>SUM(15,14,9,5)</f>
        <v>43</v>
      </c>
      <c r="E13" s="83">
        <f t="shared" si="2"/>
        <v>0.11286089238845144</v>
      </c>
      <c r="F13" s="94">
        <f t="shared" si="3"/>
        <v>0.10777777777777778</v>
      </c>
      <c r="G13" s="76">
        <f>(261/2)+89+18</f>
        <v>237.5</v>
      </c>
      <c r="H13" s="69">
        <f t="shared" si="0"/>
        <v>0.1280323450134771</v>
      </c>
      <c r="I13" s="58">
        <f>1094+819+432+324</f>
        <v>2669</v>
      </c>
      <c r="J13" s="61">
        <f t="shared" si="4"/>
        <v>0.43433685923515053</v>
      </c>
      <c r="K13" s="87">
        <f>SUM(628,440,274,200)</f>
        <v>1542</v>
      </c>
      <c r="L13" s="83">
        <f t="shared" si="5"/>
        <v>0.39752513534416084</v>
      </c>
      <c r="M13" s="94">
        <f t="shared" si="6"/>
        <v>0.42009177972865125</v>
      </c>
      <c r="N13" s="76">
        <f>(8256/2)+4047+945</f>
        <v>9120</v>
      </c>
      <c r="O13" s="69">
        <f t="shared" si="7"/>
        <v>0.40293363965715295</v>
      </c>
      <c r="P13" s="22"/>
      <c r="Q13" s="23"/>
      <c r="R13" s="22"/>
      <c r="S13" s="24"/>
      <c r="T13" s="24"/>
      <c r="U13" s="22"/>
    </row>
    <row r="14" spans="1:28" s="7" customFormat="1" x14ac:dyDescent="0.2">
      <c r="A14" s="6" t="s">
        <v>11</v>
      </c>
      <c r="B14" s="56">
        <v>263</v>
      </c>
      <c r="C14" s="59">
        <f t="shared" si="1"/>
        <v>0.50674373795761074</v>
      </c>
      <c r="D14" s="85">
        <v>183</v>
      </c>
      <c r="E14" s="81">
        <f t="shared" si="2"/>
        <v>0.48031496062992124</v>
      </c>
      <c r="F14" s="95">
        <f t="shared" si="3"/>
        <v>0.49555555555555558</v>
      </c>
      <c r="G14" s="74">
        <v>772</v>
      </c>
      <c r="H14" s="96">
        <f t="shared" si="0"/>
        <v>0.4161725067385445</v>
      </c>
      <c r="I14" s="56">
        <v>3003</v>
      </c>
      <c r="J14" s="59">
        <f t="shared" si="4"/>
        <v>0.48868999186330347</v>
      </c>
      <c r="K14" s="85">
        <v>1526</v>
      </c>
      <c r="L14" s="81">
        <f t="shared" si="5"/>
        <v>0.39340036091776232</v>
      </c>
      <c r="M14" s="95">
        <f t="shared" si="6"/>
        <v>0.45181564245810057</v>
      </c>
      <c r="N14" s="74">
        <v>8861</v>
      </c>
      <c r="O14" s="96">
        <f t="shared" si="7"/>
        <v>0.39149067774145091</v>
      </c>
      <c r="P14" s="18"/>
      <c r="Q14" s="18"/>
      <c r="R14" s="18"/>
      <c r="S14" s="18"/>
      <c r="T14" s="18"/>
      <c r="U14" s="18"/>
    </row>
    <row r="15" spans="1:28" s="9" customFormat="1" x14ac:dyDescent="0.2">
      <c r="A15" s="8" t="s">
        <v>12</v>
      </c>
      <c r="B15" s="57">
        <v>28</v>
      </c>
      <c r="C15" s="60">
        <f t="shared" si="1"/>
        <v>5.3949903660886318E-2</v>
      </c>
      <c r="D15" s="86">
        <v>16</v>
      </c>
      <c r="E15" s="82">
        <f t="shared" si="2"/>
        <v>4.1994750656167978E-2</v>
      </c>
      <c r="F15" s="99">
        <f t="shared" si="3"/>
        <v>4.8888888888888891E-2</v>
      </c>
      <c r="G15" s="75">
        <v>224</v>
      </c>
      <c r="H15" s="100">
        <f t="shared" si="0"/>
        <v>0.12075471698113208</v>
      </c>
      <c r="I15" s="57">
        <v>711</v>
      </c>
      <c r="J15" s="60">
        <f t="shared" si="4"/>
        <v>0.11570382424735558</v>
      </c>
      <c r="K15" s="86">
        <v>425</v>
      </c>
      <c r="L15" s="82">
        <f t="shared" si="5"/>
        <v>0.10956432070121165</v>
      </c>
      <c r="M15" s="99">
        <f t="shared" si="6"/>
        <v>0.11332801276935354</v>
      </c>
      <c r="N15" s="75">
        <v>3771</v>
      </c>
      <c r="O15" s="100">
        <f t="shared" si="7"/>
        <v>0.16660775823981622</v>
      </c>
      <c r="P15" s="10"/>
      <c r="Q15" s="10"/>
      <c r="R15" s="10"/>
      <c r="S15" s="10"/>
      <c r="T15" s="10"/>
      <c r="U15" s="10"/>
      <c r="W15" s="10"/>
    </row>
    <row r="16" spans="1:28" s="9" customFormat="1" x14ac:dyDescent="0.2">
      <c r="A16" s="8" t="s">
        <v>13</v>
      </c>
      <c r="B16" s="57">
        <v>5</v>
      </c>
      <c r="C16" s="60">
        <f t="shared" si="1"/>
        <v>9.6339113680154135E-3</v>
      </c>
      <c r="D16" s="86">
        <v>13</v>
      </c>
      <c r="E16" s="82">
        <f t="shared" si="2"/>
        <v>3.4120734908136482E-2</v>
      </c>
      <c r="F16" s="93">
        <f t="shared" si="3"/>
        <v>0.02</v>
      </c>
      <c r="G16" s="75">
        <v>58</v>
      </c>
      <c r="H16" s="67">
        <f t="shared" si="0"/>
        <v>3.1266846361185985E-2</v>
      </c>
      <c r="I16" s="57">
        <v>257</v>
      </c>
      <c r="J16" s="60">
        <f t="shared" si="4"/>
        <v>4.182262001627339E-2</v>
      </c>
      <c r="K16" s="86">
        <v>120</v>
      </c>
      <c r="L16" s="82">
        <f t="shared" si="5"/>
        <v>3.0935808197989172E-2</v>
      </c>
      <c r="M16" s="93">
        <f t="shared" si="6"/>
        <v>3.7609736632083002E-2</v>
      </c>
      <c r="N16" s="75">
        <v>890</v>
      </c>
      <c r="O16" s="67">
        <f t="shared" si="7"/>
        <v>3.9321374922682686E-2</v>
      </c>
      <c r="P16" s="10"/>
      <c r="Q16" s="10"/>
      <c r="R16" s="10"/>
      <c r="S16" s="10"/>
      <c r="T16" s="10"/>
      <c r="U16" s="10"/>
      <c r="W16" s="10"/>
    </row>
    <row r="17" spans="1:30" s="3" customFormat="1" x14ac:dyDescent="0.2">
      <c r="A17" s="2" t="s">
        <v>14</v>
      </c>
      <c r="B17" s="58">
        <v>23</v>
      </c>
      <c r="C17" s="61">
        <f t="shared" si="1"/>
        <v>4.4315992292870907E-2</v>
      </c>
      <c r="D17" s="87">
        <v>14</v>
      </c>
      <c r="E17" s="83">
        <f t="shared" si="2"/>
        <v>3.6745406824146981E-2</v>
      </c>
      <c r="F17" s="94">
        <f t="shared" si="3"/>
        <v>4.1111111111111112E-2</v>
      </c>
      <c r="G17" s="76">
        <v>124</v>
      </c>
      <c r="H17" s="69">
        <f t="shared" si="0"/>
        <v>6.6846361185983832E-2</v>
      </c>
      <c r="I17" s="58">
        <v>697</v>
      </c>
      <c r="J17" s="61">
        <f t="shared" si="4"/>
        <v>0.11342554922701384</v>
      </c>
      <c r="K17" s="87">
        <v>517</v>
      </c>
      <c r="L17" s="83">
        <f t="shared" si="5"/>
        <v>0.13328177365300334</v>
      </c>
      <c r="M17" s="94">
        <f t="shared" si="6"/>
        <v>0.12110933758978451</v>
      </c>
      <c r="N17" s="76">
        <v>3180</v>
      </c>
      <c r="O17" s="69">
        <f t="shared" si="7"/>
        <v>0.14049659803834938</v>
      </c>
      <c r="P17" s="23"/>
      <c r="Q17" s="23"/>
      <c r="R17" s="23"/>
      <c r="S17" s="23"/>
      <c r="T17" s="23"/>
      <c r="U17" s="23"/>
    </row>
    <row r="18" spans="1:30" x14ac:dyDescent="0.2">
      <c r="A18" s="1" t="s">
        <v>20</v>
      </c>
      <c r="B18" s="16"/>
      <c r="C18" s="16"/>
      <c r="D18" s="16"/>
      <c r="E18" s="16"/>
      <c r="F18" s="16"/>
      <c r="G18" s="16"/>
      <c r="I18" s="16"/>
      <c r="J18" s="16"/>
      <c r="P18" s="27"/>
      <c r="Q18" s="29"/>
      <c r="R18" s="28"/>
      <c r="S18" s="27"/>
      <c r="U18" s="31"/>
      <c r="V18" s="31"/>
      <c r="W18" s="30"/>
      <c r="X18" s="31"/>
      <c r="Y18" s="30"/>
      <c r="Z18" s="30"/>
      <c r="AA18" s="30"/>
    </row>
    <row r="19" spans="1:30" x14ac:dyDescent="0.2">
      <c r="L19" s="27"/>
      <c r="M19" s="28"/>
      <c r="N19" s="27"/>
      <c r="O19" s="28"/>
      <c r="P19" s="30"/>
      <c r="Q19" s="27"/>
      <c r="R19" s="34"/>
      <c r="S19" s="33"/>
      <c r="T19" s="31"/>
      <c r="U19" s="31"/>
      <c r="V19" s="30"/>
      <c r="W19" s="31"/>
      <c r="X19" s="30"/>
      <c r="Y19" s="30"/>
      <c r="Z19" s="30"/>
      <c r="AA19" s="30"/>
    </row>
    <row r="20" spans="1:30" x14ac:dyDescent="0.2">
      <c r="A20" s="51" t="s">
        <v>62</v>
      </c>
      <c r="B20" s="51"/>
      <c r="H20" s="30"/>
      <c r="K20" s="30"/>
      <c r="L20" s="30"/>
      <c r="M20" s="30"/>
      <c r="N20" s="30"/>
      <c r="O20" s="30"/>
      <c r="P20" s="30"/>
      <c r="Q20" s="27"/>
      <c r="R20" s="34"/>
      <c r="S20" s="33"/>
      <c r="T20" s="31"/>
      <c r="U20" s="30"/>
      <c r="V20" s="31"/>
      <c r="W20" s="30"/>
      <c r="X20" s="31"/>
      <c r="Y20" s="30"/>
      <c r="Z20" s="30"/>
      <c r="AA20" s="30"/>
      <c r="AB20" s="30"/>
      <c r="AC20" s="30"/>
      <c r="AD20" s="30"/>
    </row>
    <row r="21" spans="1:30" x14ac:dyDescent="0.2">
      <c r="A21" s="84" t="s">
        <v>65</v>
      </c>
      <c r="B21" s="84"/>
      <c r="G21" s="25"/>
      <c r="H21" s="32"/>
      <c r="K21" s="30"/>
      <c r="L21" s="30"/>
      <c r="M21" s="30"/>
      <c r="N21" s="30"/>
      <c r="O21" s="30"/>
      <c r="P21" s="30"/>
      <c r="Q21" s="33"/>
      <c r="R21" s="34"/>
      <c r="S21" s="27"/>
      <c r="T21" s="31"/>
      <c r="U21" s="30"/>
      <c r="V21" s="31"/>
      <c r="W21" s="30"/>
      <c r="X21" s="31"/>
      <c r="Y21" s="30"/>
      <c r="Z21" s="30"/>
      <c r="AA21" s="30"/>
      <c r="AC21" s="30"/>
      <c r="AD21" s="30"/>
    </row>
    <row r="22" spans="1:30" x14ac:dyDescent="0.2">
      <c r="A22" s="88" t="s">
        <v>66</v>
      </c>
      <c r="B22" s="88"/>
      <c r="C22" s="89"/>
      <c r="E22" s="25"/>
      <c r="F22" s="25"/>
      <c r="G22" s="25"/>
      <c r="H22" s="32"/>
      <c r="K22" s="30"/>
      <c r="L22" s="30"/>
      <c r="M22" s="30"/>
      <c r="N22" s="30"/>
      <c r="O22" s="30"/>
      <c r="P22" s="30"/>
      <c r="Q22" s="27"/>
      <c r="R22" s="34"/>
      <c r="S22" s="33"/>
      <c r="T22" s="31"/>
      <c r="U22" s="30"/>
      <c r="V22" s="31"/>
      <c r="W22" s="30"/>
      <c r="X22" s="31"/>
      <c r="Y22" s="30"/>
      <c r="Z22" s="30"/>
      <c r="AA22" s="30"/>
      <c r="AB22" s="30"/>
      <c r="AC22" s="30"/>
      <c r="AD22" s="30"/>
    </row>
    <row r="23" spans="1:30" x14ac:dyDescent="0.2">
      <c r="A23" s="52" t="s">
        <v>63</v>
      </c>
      <c r="B23" s="52"/>
      <c r="H23" s="30"/>
      <c r="K23" s="30"/>
      <c r="L23" s="30"/>
      <c r="M23" s="30"/>
      <c r="N23" s="30"/>
      <c r="O23" s="30"/>
      <c r="P23" s="30"/>
      <c r="Q23" s="33"/>
      <c r="R23" s="34"/>
      <c r="S23" s="27"/>
      <c r="T23" s="31"/>
      <c r="U23" s="30"/>
      <c r="V23" s="31"/>
      <c r="W23" s="30"/>
      <c r="X23" s="31"/>
      <c r="Y23" s="30"/>
      <c r="Z23" s="30"/>
      <c r="AA23" s="30"/>
      <c r="AB23" s="30"/>
      <c r="AC23" s="30"/>
      <c r="AD23" s="30"/>
    </row>
    <row r="24" spans="1:30" x14ac:dyDescent="0.2">
      <c r="H24" s="30"/>
      <c r="K24" s="30"/>
      <c r="L24" s="30"/>
      <c r="M24" s="30"/>
      <c r="N24" s="30"/>
      <c r="O24" s="30"/>
      <c r="P24" s="30"/>
      <c r="Q24" s="33"/>
      <c r="R24" s="34"/>
      <c r="S24" s="27"/>
      <c r="T24" s="31"/>
      <c r="U24" s="30"/>
      <c r="V24" s="31"/>
      <c r="W24" s="30"/>
      <c r="X24" s="31"/>
      <c r="Y24" s="30"/>
      <c r="Z24" s="30"/>
      <c r="AA24" s="30"/>
      <c r="AB24" s="30"/>
      <c r="AC24" s="30"/>
      <c r="AD24" s="30"/>
    </row>
    <row r="25" spans="1:30" x14ac:dyDescent="0.2">
      <c r="H25" s="30"/>
      <c r="K25" s="30"/>
      <c r="L25" s="30"/>
      <c r="M25" s="30"/>
      <c r="N25" s="30"/>
      <c r="O25" s="30"/>
      <c r="P25" s="30"/>
      <c r="Q25" s="30"/>
      <c r="R25" s="34"/>
      <c r="S25" s="31"/>
      <c r="T25" s="31"/>
      <c r="U25" s="30"/>
      <c r="V25" s="31"/>
      <c r="W25" s="30"/>
      <c r="X25" s="31"/>
      <c r="Y25" s="30"/>
      <c r="Z25" s="30"/>
      <c r="AA25" s="30"/>
      <c r="AB25" s="30"/>
      <c r="AC25" s="30"/>
      <c r="AD25" s="30"/>
    </row>
    <row r="26" spans="1:30" x14ac:dyDescent="0.2">
      <c r="H26" s="30"/>
      <c r="K26" s="30"/>
      <c r="L26" s="30"/>
      <c r="M26" s="30"/>
      <c r="N26" s="30"/>
      <c r="O26" s="30"/>
      <c r="P26" s="30"/>
      <c r="Q26" s="27"/>
      <c r="R26" s="34"/>
      <c r="S26" s="27"/>
      <c r="T26" s="31"/>
      <c r="U26" s="30"/>
      <c r="V26" s="31"/>
      <c r="W26" s="30"/>
      <c r="X26" s="31"/>
      <c r="Y26" s="30"/>
      <c r="Z26" s="30"/>
      <c r="AA26" s="30"/>
      <c r="AB26" s="30"/>
      <c r="AC26" s="30"/>
      <c r="AD26" s="30"/>
    </row>
    <row r="27" spans="1:30" x14ac:dyDescent="0.2">
      <c r="H27" s="30"/>
      <c r="K27" s="30"/>
      <c r="L27" s="30"/>
      <c r="M27" s="30"/>
      <c r="N27" s="30"/>
      <c r="O27" s="30"/>
      <c r="P27" s="30"/>
      <c r="Q27" s="27"/>
      <c r="R27" s="34"/>
      <c r="S27" s="27"/>
      <c r="T27" s="31"/>
      <c r="U27" s="30"/>
      <c r="V27" s="31"/>
      <c r="W27" s="30"/>
      <c r="X27" s="31"/>
      <c r="Y27" s="30"/>
      <c r="Z27" s="30"/>
      <c r="AA27" s="30"/>
      <c r="AB27" s="30"/>
      <c r="AC27" s="30"/>
      <c r="AD27" s="30"/>
    </row>
    <row r="28" spans="1:30" x14ac:dyDescent="0.2">
      <c r="H28" s="30"/>
      <c r="K28" s="30"/>
      <c r="L28" s="30"/>
      <c r="M28" s="30"/>
      <c r="N28" s="30"/>
      <c r="O28" s="30"/>
      <c r="P28" s="30"/>
      <c r="Q28" s="27"/>
      <c r="R28" s="34"/>
      <c r="S28" s="33"/>
      <c r="T28" s="31"/>
      <c r="U28" s="30"/>
      <c r="V28" s="31"/>
      <c r="W28" s="30"/>
      <c r="X28" s="31"/>
      <c r="Y28" s="30"/>
      <c r="Z28" s="30"/>
      <c r="AA28" s="30"/>
      <c r="AB28" s="30"/>
      <c r="AC28" s="30"/>
      <c r="AD28" s="30"/>
    </row>
    <row r="29" spans="1:30" x14ac:dyDescent="0.2">
      <c r="H29" s="30"/>
      <c r="K29" s="30"/>
      <c r="L29" s="30"/>
      <c r="M29" s="30"/>
      <c r="N29" s="30"/>
      <c r="O29" s="30"/>
      <c r="P29" s="30"/>
      <c r="Q29" s="27"/>
      <c r="R29" s="34"/>
      <c r="S29" s="33"/>
      <c r="T29" s="31"/>
      <c r="U29" s="30"/>
      <c r="V29" s="31"/>
      <c r="W29" s="30"/>
      <c r="X29" s="31"/>
      <c r="Y29" s="30"/>
      <c r="Z29" s="30"/>
      <c r="AA29" s="30"/>
      <c r="AB29" s="30"/>
      <c r="AC29" s="30"/>
      <c r="AD29" s="30"/>
    </row>
    <row r="30" spans="1:30" x14ac:dyDescent="0.2">
      <c r="H30" s="30"/>
      <c r="K30" s="30"/>
      <c r="L30" s="30"/>
      <c r="M30" s="30"/>
      <c r="N30" s="30"/>
      <c r="O30" s="30"/>
      <c r="P30" s="30"/>
      <c r="Q30" s="27"/>
      <c r="R30" s="34"/>
      <c r="S30" s="27"/>
      <c r="T30" s="31"/>
      <c r="U30" s="30"/>
      <c r="V30" s="31"/>
      <c r="W30" s="30"/>
      <c r="X30" s="31"/>
      <c r="Y30" s="30"/>
      <c r="Z30" s="30"/>
      <c r="AA30" s="30"/>
      <c r="AB30" s="30"/>
      <c r="AC30" s="30"/>
      <c r="AD30" s="30"/>
    </row>
    <row r="31" spans="1:30" x14ac:dyDescent="0.2">
      <c r="H31" s="30"/>
      <c r="K31" s="30"/>
      <c r="L31" s="30"/>
      <c r="M31" s="30"/>
      <c r="N31" s="30"/>
      <c r="O31" s="30"/>
      <c r="P31" s="30"/>
      <c r="Q31" s="27"/>
      <c r="R31" s="34"/>
      <c r="S31" s="27"/>
      <c r="T31" s="31"/>
      <c r="U31" s="30"/>
      <c r="V31" s="31"/>
      <c r="W31" s="30"/>
      <c r="X31" s="30"/>
      <c r="Y31" s="30"/>
      <c r="Z31" s="30"/>
      <c r="AA31" s="30"/>
      <c r="AB31" s="30"/>
      <c r="AC31" s="30"/>
      <c r="AD31" s="30"/>
    </row>
    <row r="32" spans="1:30" x14ac:dyDescent="0.2">
      <c r="H32" s="30"/>
      <c r="K32" s="30"/>
      <c r="L32" s="30"/>
      <c r="M32" s="30"/>
      <c r="N32" s="30"/>
      <c r="O32" s="30"/>
      <c r="P32" s="30"/>
      <c r="Q32" s="27"/>
      <c r="R32" s="34"/>
      <c r="S32" s="27"/>
      <c r="T32" s="31"/>
      <c r="U32" s="30"/>
      <c r="V32" s="31"/>
      <c r="W32" s="30"/>
      <c r="X32" s="30"/>
      <c r="Y32" s="30"/>
      <c r="Z32" s="30"/>
      <c r="AA32" s="30"/>
      <c r="AB32" s="30"/>
      <c r="AC32" s="30"/>
      <c r="AD32" s="30"/>
    </row>
    <row r="33" spans="8:30" x14ac:dyDescent="0.2">
      <c r="H33" s="30"/>
      <c r="K33" s="30"/>
      <c r="L33" s="30"/>
      <c r="M33" s="30"/>
      <c r="N33" s="30"/>
      <c r="O33" s="30"/>
      <c r="P33" s="30"/>
      <c r="Q33" s="27"/>
      <c r="R33" s="34"/>
      <c r="S33" s="27"/>
      <c r="T33" s="30"/>
      <c r="U33" s="30"/>
      <c r="V33" s="30"/>
      <c r="W33" s="30"/>
      <c r="X33" s="30"/>
      <c r="Y33" s="30"/>
      <c r="Z33" s="30"/>
      <c r="AA33" s="30"/>
      <c r="AD33" s="30"/>
    </row>
    <row r="34" spans="8:30" x14ac:dyDescent="0.2">
      <c r="H34" s="30"/>
      <c r="K34" s="30"/>
      <c r="L34" s="30"/>
      <c r="M34" s="30"/>
      <c r="N34" s="30"/>
      <c r="O34" s="30"/>
      <c r="AB34" s="30"/>
      <c r="AC34" s="30"/>
      <c r="AD34" s="30"/>
    </row>
    <row r="35" spans="8:30" x14ac:dyDescent="0.2">
      <c r="H35" s="30"/>
      <c r="K35" s="30"/>
      <c r="L35" s="30"/>
      <c r="M35" s="30"/>
      <c r="N35" s="30"/>
      <c r="O35" s="30"/>
      <c r="AB35" s="30"/>
      <c r="AC35" s="30"/>
      <c r="AD35" s="30"/>
    </row>
    <row r="36" spans="8:30" x14ac:dyDescent="0.2">
      <c r="H36" s="30"/>
      <c r="K36" s="30"/>
      <c r="L36" s="30"/>
      <c r="M36" s="30"/>
      <c r="N36" s="30"/>
      <c r="O36" s="30"/>
      <c r="P36" s="30"/>
      <c r="Q36" s="30"/>
      <c r="R36" s="34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 spans="8:30" x14ac:dyDescent="0.2">
      <c r="H37" s="30"/>
      <c r="K37" s="30"/>
      <c r="L37" s="30"/>
      <c r="M37" s="30"/>
      <c r="N37" s="30"/>
      <c r="O37" s="30"/>
      <c r="T37" s="31"/>
      <c r="U37" s="30"/>
      <c r="V37" s="31"/>
      <c r="W37" s="30"/>
      <c r="X37" s="31"/>
      <c r="Y37" s="30"/>
      <c r="Z37" s="30"/>
      <c r="AA37" s="30"/>
      <c r="AB37" s="30"/>
      <c r="AC37" s="30"/>
      <c r="AD37" s="30"/>
    </row>
    <row r="38" spans="8:30" x14ac:dyDescent="0.2">
      <c r="H38" s="30"/>
      <c r="K38" s="30"/>
      <c r="L38" s="30"/>
      <c r="M38" s="30"/>
      <c r="N38" s="30"/>
      <c r="O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spans="8:30" x14ac:dyDescent="0.2">
      <c r="H39" s="30"/>
      <c r="K39" s="30"/>
      <c r="L39" s="30"/>
      <c r="M39" s="30"/>
      <c r="N39" s="30"/>
      <c r="O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 spans="8:30" x14ac:dyDescent="0.2">
      <c r="H40" s="30"/>
      <c r="K40" s="30"/>
      <c r="L40" s="30"/>
      <c r="M40" s="30"/>
      <c r="N40" s="30"/>
      <c r="O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8:30" x14ac:dyDescent="0.2">
      <c r="H41" s="30"/>
      <c r="K41" s="30"/>
      <c r="L41" s="30"/>
      <c r="M41" s="30"/>
      <c r="N41" s="30"/>
      <c r="O41" s="30"/>
      <c r="P41" s="30"/>
      <c r="Q41" s="30"/>
      <c r="R41" s="30"/>
      <c r="S41" s="30"/>
      <c r="AB41" s="30"/>
    </row>
    <row r="42" spans="8:30" x14ac:dyDescent="0.2">
      <c r="H42" s="30"/>
      <c r="K42" s="30"/>
      <c r="L42" s="30"/>
      <c r="M42" s="30"/>
      <c r="N42" s="30"/>
      <c r="O42" s="30"/>
      <c r="T42" s="30"/>
      <c r="U42" s="30"/>
      <c r="V42" s="30"/>
      <c r="W42" s="30"/>
      <c r="X42" s="30"/>
      <c r="AB42" s="30"/>
    </row>
    <row r="43" spans="8:30" x14ac:dyDescent="0.2">
      <c r="H43" s="30"/>
      <c r="K43" s="30"/>
      <c r="L43" s="30"/>
      <c r="M43" s="30"/>
      <c r="N43" s="30"/>
      <c r="O43" s="30"/>
      <c r="AB43" s="30"/>
    </row>
    <row r="44" spans="8:30" x14ac:dyDescent="0.2">
      <c r="H44" s="30"/>
      <c r="K44" s="30"/>
      <c r="L44" s="30"/>
      <c r="M44" s="30"/>
      <c r="N44" s="30"/>
      <c r="O44" s="30"/>
      <c r="AB44" s="30"/>
    </row>
    <row r="45" spans="8:30" x14ac:dyDescent="0.2">
      <c r="H45" s="30"/>
      <c r="K45" s="30"/>
      <c r="L45" s="30"/>
      <c r="M45" s="30"/>
      <c r="N45" s="30"/>
      <c r="O45" s="30"/>
      <c r="Y45" s="30"/>
      <c r="Z45" s="30"/>
      <c r="AA45" s="30"/>
      <c r="AB45" s="30"/>
    </row>
    <row r="46" spans="8:30" x14ac:dyDescent="0.2">
      <c r="H46" s="30"/>
      <c r="K46" s="30"/>
      <c r="L46" s="30"/>
      <c r="M46" s="30"/>
      <c r="N46" s="30"/>
      <c r="O46" s="30"/>
      <c r="Y46" s="30"/>
      <c r="Z46" s="30"/>
      <c r="AA46" s="30"/>
      <c r="AB46" s="30"/>
    </row>
    <row r="47" spans="8:30" x14ac:dyDescent="0.2">
      <c r="H47" s="30"/>
      <c r="K47" s="30"/>
      <c r="L47" s="30"/>
      <c r="M47" s="30"/>
      <c r="N47" s="30"/>
      <c r="O47" s="30"/>
      <c r="P47" s="30"/>
      <c r="Q47" s="30"/>
      <c r="R47" s="30"/>
      <c r="S47" s="30"/>
      <c r="Y47" s="30"/>
      <c r="Z47" s="30"/>
      <c r="AA47" s="30"/>
      <c r="AB47" s="30"/>
    </row>
    <row r="48" spans="8:30" x14ac:dyDescent="0.2">
      <c r="H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8:28" x14ac:dyDescent="0.2">
      <c r="H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8:28" x14ac:dyDescent="0.2">
      <c r="H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8:28" x14ac:dyDescent="0.2">
      <c r="H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8:28" x14ac:dyDescent="0.2">
      <c r="H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8:28" x14ac:dyDescent="0.2">
      <c r="H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8:28" x14ac:dyDescent="0.2">
      <c r="H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8:28" x14ac:dyDescent="0.2">
      <c r="H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8:28" x14ac:dyDescent="0.2">
      <c r="H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8:28" x14ac:dyDescent="0.2">
      <c r="H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spans="8:28" x14ac:dyDescent="0.2">
      <c r="H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8:28" x14ac:dyDescent="0.2">
      <c r="H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8:28" x14ac:dyDescent="0.2">
      <c r="H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8:28" x14ac:dyDescent="0.2"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8:28" x14ac:dyDescent="0.2"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8:28" x14ac:dyDescent="0.2"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8:28" x14ac:dyDescent="0.2"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8:28" x14ac:dyDescent="0.2"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8:28" x14ac:dyDescent="0.2"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8:28" x14ac:dyDescent="0.2"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8:28" x14ac:dyDescent="0.2"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8:28" x14ac:dyDescent="0.2"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8:28" x14ac:dyDescent="0.2"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8:28" x14ac:dyDescent="0.2"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8:28" x14ac:dyDescent="0.2">
      <c r="P72" s="30"/>
      <c r="Q72" s="30"/>
      <c r="R72" s="30"/>
      <c r="S72" s="30"/>
      <c r="T72" s="30"/>
      <c r="U72" s="30"/>
      <c r="V72" s="30"/>
      <c r="W72" s="30"/>
      <c r="X72" s="30"/>
    </row>
    <row r="73" spans="8:28" x14ac:dyDescent="0.2">
      <c r="P73" s="30"/>
      <c r="Q73" s="30"/>
      <c r="R73" s="30"/>
      <c r="S73" s="30"/>
      <c r="T73" s="30"/>
      <c r="U73" s="30"/>
      <c r="V73" s="30"/>
      <c r="W73" s="30"/>
      <c r="X73" s="30"/>
    </row>
    <row r="74" spans="8:28" x14ac:dyDescent="0.2">
      <c r="T74" s="30"/>
      <c r="U74" s="30"/>
      <c r="V74" s="30"/>
      <c r="W74" s="30"/>
      <c r="X74" s="3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8.83203125" style="1"/>
  </cols>
  <sheetData>
    <row r="1" spans="1:2" s="1" customFormat="1" x14ac:dyDescent="0.2">
      <c r="A1" s="1" t="s">
        <v>22</v>
      </c>
      <c r="B1" s="1" t="s">
        <v>23</v>
      </c>
    </row>
    <row r="2" spans="1:2" x14ac:dyDescent="0.2">
      <c r="A2" s="1">
        <v>2010</v>
      </c>
    </row>
    <row r="3" spans="1:2" x14ac:dyDescent="0.2">
      <c r="A3" s="1">
        <v>2011</v>
      </c>
    </row>
    <row r="4" spans="1:2" x14ac:dyDescent="0.2">
      <c r="A4" s="1">
        <v>2012</v>
      </c>
    </row>
    <row r="5" spans="1:2" x14ac:dyDescent="0.2">
      <c r="A5" s="1">
        <v>2013</v>
      </c>
    </row>
    <row r="6" spans="1:2" x14ac:dyDescent="0.2">
      <c r="A6" s="1">
        <v>2014</v>
      </c>
    </row>
    <row r="7" spans="1:2" x14ac:dyDescent="0.2">
      <c r="A7" s="1">
        <v>2015</v>
      </c>
    </row>
    <row r="8" spans="1:2" x14ac:dyDescent="0.2">
      <c r="A8" s="1">
        <v>2016</v>
      </c>
    </row>
    <row r="9" spans="1:2" x14ac:dyDescent="0.2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A18" sqref="A18"/>
    </sheetView>
  </sheetViews>
  <sheetFormatPr baseColWidth="10" defaultColWidth="8.83203125" defaultRowHeight="15" x14ac:dyDescent="0.2"/>
  <cols>
    <col min="1" max="1" width="25.33203125" customWidth="1"/>
  </cols>
  <sheetData>
    <row r="1" spans="1:13" x14ac:dyDescent="0.2">
      <c r="A1" t="s">
        <v>25</v>
      </c>
    </row>
    <row r="2" spans="1:13" x14ac:dyDescent="0.2">
      <c r="B2" t="s">
        <v>58</v>
      </c>
      <c r="L2" s="16"/>
      <c r="M2" s="16"/>
    </row>
    <row r="3" spans="1:13" x14ac:dyDescent="0.2">
      <c r="A3" t="s">
        <v>45</v>
      </c>
      <c r="B3" s="27">
        <v>6011</v>
      </c>
      <c r="C3" t="s">
        <v>53</v>
      </c>
    </row>
    <row r="4" spans="1:13" x14ac:dyDescent="0.2">
      <c r="B4" s="11"/>
      <c r="C4" s="11"/>
    </row>
    <row r="5" spans="1:13" x14ac:dyDescent="0.2">
      <c r="A5" s="26" t="s">
        <v>46</v>
      </c>
    </row>
    <row r="6" spans="1:13" x14ac:dyDescent="0.2">
      <c r="A6" s="26" t="s">
        <v>47</v>
      </c>
      <c r="B6" s="27">
        <v>1314</v>
      </c>
      <c r="C6" t="s">
        <v>53</v>
      </c>
      <c r="D6" t="s">
        <v>55</v>
      </c>
    </row>
    <row r="7" spans="1:13" x14ac:dyDescent="0.2">
      <c r="A7" s="26" t="s">
        <v>48</v>
      </c>
      <c r="B7" s="27">
        <v>1000</v>
      </c>
      <c r="C7" t="s">
        <v>53</v>
      </c>
      <c r="D7" t="s">
        <v>55</v>
      </c>
    </row>
    <row r="8" spans="1:13" x14ac:dyDescent="0.2">
      <c r="A8" s="26" t="s">
        <v>49</v>
      </c>
      <c r="B8" s="50">
        <v>2002</v>
      </c>
      <c r="C8" s="16" t="s">
        <v>53</v>
      </c>
      <c r="D8" s="16" t="s">
        <v>56</v>
      </c>
      <c r="E8" s="16"/>
      <c r="F8" s="16"/>
      <c r="G8" s="16"/>
      <c r="H8" s="16"/>
    </row>
    <row r="9" spans="1:13" x14ac:dyDescent="0.2">
      <c r="A9" s="26" t="s">
        <v>50</v>
      </c>
      <c r="B9" s="27">
        <v>3875</v>
      </c>
      <c r="C9" t="s">
        <v>53</v>
      </c>
      <c r="D9" s="16" t="s">
        <v>56</v>
      </c>
    </row>
    <row r="10" spans="1:13" x14ac:dyDescent="0.2">
      <c r="A10" s="49" t="s">
        <v>51</v>
      </c>
      <c r="C10" t="s">
        <v>54</v>
      </c>
      <c r="D10" s="16" t="s">
        <v>57</v>
      </c>
    </row>
    <row r="11" spans="1:13" x14ac:dyDescent="0.2">
      <c r="A11" s="49" t="s">
        <v>52</v>
      </c>
      <c r="C11" t="s">
        <v>54</v>
      </c>
      <c r="D11" s="16" t="s">
        <v>57</v>
      </c>
    </row>
    <row r="12" spans="1:13" x14ac:dyDescent="0.2">
      <c r="A12" s="25"/>
      <c r="B12" s="12"/>
      <c r="C12" s="12"/>
    </row>
    <row r="13" spans="1:13" x14ac:dyDescent="0.2">
      <c r="A13" s="25" t="s">
        <v>59</v>
      </c>
      <c r="B13" s="27">
        <v>22634</v>
      </c>
      <c r="C13" t="s">
        <v>24</v>
      </c>
    </row>
    <row r="14" spans="1:13" x14ac:dyDescent="0.2">
      <c r="A14" s="12"/>
      <c r="B14">
        <f>SUM(B3:B9)/B13</f>
        <v>0.62746310859768495</v>
      </c>
    </row>
    <row r="16" spans="1:13" x14ac:dyDescent="0.2">
      <c r="A16" s="12" t="s">
        <v>60</v>
      </c>
    </row>
  </sheetData>
  <hyperlinks>
    <hyperlink ref="A16" r:id="rId1" xr:uid="{2B23C809-F707-0040-8E11-93D1EF5E2165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D82F-C49B-E645-9ED1-742B79A009E4}">
  <dimension ref="A1:C27"/>
  <sheetViews>
    <sheetView workbookViewId="0"/>
  </sheetViews>
  <sheetFormatPr baseColWidth="10" defaultRowHeight="15" x14ac:dyDescent="0.2"/>
  <cols>
    <col min="1" max="1" width="13" bestFit="1" customWidth="1"/>
    <col min="2" max="2" width="52" customWidth="1"/>
    <col min="3" max="3" width="32" customWidth="1"/>
  </cols>
  <sheetData>
    <row r="1" spans="1:3" ht="16" x14ac:dyDescent="0.2">
      <c r="A1" s="38" t="s">
        <v>29</v>
      </c>
      <c r="B1" s="39" t="s">
        <v>30</v>
      </c>
      <c r="C1" s="40" t="s">
        <v>36</v>
      </c>
    </row>
    <row r="2" spans="1:3" ht="16" x14ac:dyDescent="0.2">
      <c r="A2" s="38" t="s">
        <v>32</v>
      </c>
      <c r="B2" s="41" t="s">
        <v>28</v>
      </c>
      <c r="C2" s="42"/>
    </row>
    <row r="3" spans="1:3" ht="48" x14ac:dyDescent="0.2">
      <c r="A3" s="43" t="s">
        <v>31</v>
      </c>
      <c r="B3" s="37" t="s">
        <v>37</v>
      </c>
      <c r="C3" s="44" t="s">
        <v>38</v>
      </c>
    </row>
    <row r="4" spans="1:3" ht="16" x14ac:dyDescent="0.2">
      <c r="A4" s="45" t="s">
        <v>33</v>
      </c>
      <c r="B4" s="41" t="s">
        <v>27</v>
      </c>
      <c r="C4" s="42"/>
    </row>
    <row r="5" spans="1:3" ht="32" x14ac:dyDescent="0.2">
      <c r="A5" s="45" t="s">
        <v>34</v>
      </c>
      <c r="B5" s="36" t="s">
        <v>35</v>
      </c>
      <c r="C5" s="46" t="s">
        <v>39</v>
      </c>
    </row>
    <row r="6" spans="1:3" ht="16" x14ac:dyDescent="0.2">
      <c r="A6" s="45" t="s">
        <v>40</v>
      </c>
      <c r="B6" s="36" t="s">
        <v>41</v>
      </c>
      <c r="C6" s="46" t="s">
        <v>39</v>
      </c>
    </row>
    <row r="7" spans="1:3" ht="16" x14ac:dyDescent="0.2">
      <c r="A7" s="45" t="s">
        <v>42</v>
      </c>
      <c r="B7" s="37" t="s">
        <v>43</v>
      </c>
      <c r="C7" s="47" t="s">
        <v>39</v>
      </c>
    </row>
    <row r="8" spans="1:3" x14ac:dyDescent="0.2">
      <c r="A8" s="48" t="s">
        <v>44</v>
      </c>
    </row>
    <row r="9" spans="1:3" x14ac:dyDescent="0.2">
      <c r="B9" s="35"/>
    </row>
    <row r="10" spans="1:3" x14ac:dyDescent="0.2">
      <c r="A10" s="1" t="s">
        <v>24</v>
      </c>
      <c r="B10" s="35"/>
    </row>
    <row r="11" spans="1:3" x14ac:dyDescent="0.2">
      <c r="B11" s="35"/>
    </row>
    <row r="12" spans="1:3" x14ac:dyDescent="0.2">
      <c r="B12" s="35"/>
    </row>
    <row r="13" spans="1:3" x14ac:dyDescent="0.2">
      <c r="B13" s="35"/>
    </row>
    <row r="14" spans="1:3" x14ac:dyDescent="0.2">
      <c r="B14" s="35"/>
    </row>
    <row r="15" spans="1:3" x14ac:dyDescent="0.2">
      <c r="B15" s="35"/>
    </row>
    <row r="16" spans="1:3" x14ac:dyDescent="0.2">
      <c r="B16" s="35"/>
    </row>
    <row r="17" spans="2:2" x14ac:dyDescent="0.2">
      <c r="B17" s="35"/>
    </row>
    <row r="18" spans="2:2" x14ac:dyDescent="0.2">
      <c r="B18" s="35"/>
    </row>
    <row r="19" spans="2:2" x14ac:dyDescent="0.2">
      <c r="B19" s="35"/>
    </row>
    <row r="20" spans="2:2" x14ac:dyDescent="0.2">
      <c r="B20" s="35"/>
    </row>
    <row r="21" spans="2:2" x14ac:dyDescent="0.2">
      <c r="B21" s="35"/>
    </row>
    <row r="22" spans="2:2" x14ac:dyDescent="0.2">
      <c r="B22" s="35"/>
    </row>
    <row r="23" spans="2:2" x14ac:dyDescent="0.2">
      <c r="B23" s="35"/>
    </row>
    <row r="24" spans="2:2" x14ac:dyDescent="0.2">
      <c r="B24" s="35"/>
    </row>
    <row r="25" spans="2:2" x14ac:dyDescent="0.2">
      <c r="B25" s="35"/>
    </row>
    <row r="26" spans="2:2" x14ac:dyDescent="0.2">
      <c r="B26" s="35"/>
    </row>
    <row r="27" spans="2:2" x14ac:dyDescent="0.2">
      <c r="B2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Stratified_Data</vt:lpstr>
      <vt:lpstr>County_State_comparison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2020-07-29T15:33:52Z</dcterms:modified>
</cp:coreProperties>
</file>