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melissaschnure/Dropbox/Documents_local/Hopkins/PhD/EHE/Suppression data/26. Austin/"/>
    </mc:Choice>
  </mc:AlternateContent>
  <xr:revisionPtr revIDLastSave="0" documentId="13_ncr:1_{B7BEE69F-48F3-934A-971F-407E22DD38E0}" xr6:coauthVersionLast="45" xr6:coauthVersionMax="45" xr10:uidLastSave="{00000000-0000-0000-0000-000000000000}"/>
  <bookViews>
    <workbookView xWindow="0" yWindow="460" windowWidth="28800" windowHeight="16000" xr2:uid="{00000000-000D-0000-FFFF-FFFF00000000}"/>
  </bookViews>
  <sheets>
    <sheet name="Stratified_Data" sheetId="1" r:id="rId1"/>
    <sheet name="Total_Data" sheetId="4" r:id="rId2"/>
    <sheet name="Comments" sheetId="2" r:id="rId3"/>
    <sheet name="Indicator definitions" sheetId="5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" l="1"/>
  <c r="B15" i="1"/>
  <c r="B16" i="1"/>
  <c r="B14" i="1"/>
  <c r="D17" i="1"/>
  <c r="D15" i="1"/>
  <c r="D16" i="1"/>
  <c r="D14" i="1"/>
  <c r="B13" i="1"/>
  <c r="B12" i="1"/>
  <c r="B11" i="1"/>
  <c r="B10" i="1"/>
  <c r="B9" i="1"/>
  <c r="B6" i="1"/>
  <c r="B5" i="1"/>
  <c r="B4" i="1"/>
  <c r="B8" i="1"/>
  <c r="B7" i="1"/>
  <c r="D6" i="1"/>
  <c r="D5" i="1"/>
  <c r="D4" i="1"/>
  <c r="D8" i="1"/>
  <c r="D7" i="1"/>
  <c r="Q9" i="1"/>
  <c r="P9" i="1"/>
  <c r="U9" i="1"/>
  <c r="T9" i="1"/>
  <c r="S9" i="1"/>
  <c r="Q15" i="1"/>
  <c r="P15" i="1"/>
  <c r="Q5" i="1"/>
  <c r="P5" i="1"/>
  <c r="U15" i="1"/>
  <c r="T15" i="1"/>
  <c r="S15" i="1"/>
  <c r="U5" i="1"/>
  <c r="T5" i="1"/>
  <c r="S5" i="1"/>
  <c r="U3" i="1"/>
  <c r="T3" i="1"/>
  <c r="S3" i="1"/>
  <c r="Q3" i="1"/>
  <c r="P3" i="1"/>
  <c r="I3" i="1"/>
  <c r="J3" i="1"/>
  <c r="N3" i="1"/>
  <c r="M3" i="1"/>
  <c r="L3" i="1"/>
</calcChain>
</file>

<file path=xl/sharedStrings.xml><?xml version="1.0" encoding="utf-8"?>
<sst xmlns="http://schemas.openxmlformats.org/spreadsheetml/2006/main" count="80" uniqueCount="58">
  <si>
    <t>Total</t>
  </si>
  <si>
    <t>Black</t>
  </si>
  <si>
    <t>Hispanic</t>
  </si>
  <si>
    <t>Other</t>
  </si>
  <si>
    <t>Male</t>
  </si>
  <si>
    <t>Female</t>
  </si>
  <si>
    <t>13-24</t>
  </si>
  <si>
    <t>25-34</t>
  </si>
  <si>
    <t>35-44</t>
  </si>
  <si>
    <t>45-54</t>
  </si>
  <si>
    <t>55+</t>
  </si>
  <si>
    <t>MSM</t>
  </si>
  <si>
    <t>IDU</t>
  </si>
  <si>
    <t>MSM+IDU</t>
  </si>
  <si>
    <t>Heterosexual</t>
  </si>
  <si>
    <t>Year</t>
  </si>
  <si>
    <t>suppressed</t>
  </si>
  <si>
    <t>prevalent</t>
  </si>
  <si>
    <t>linked</t>
  </si>
  <si>
    <t>new</t>
  </si>
  <si>
    <t>Months</t>
  </si>
  <si>
    <t>engaged</t>
  </si>
  <si>
    <t>Data_Type</t>
  </si>
  <si>
    <t>aware</t>
  </si>
  <si>
    <t xml:space="preserve"> </t>
  </si>
  <si>
    <t xml:space="preserve">Specific EHE priority counties: </t>
  </si>
  <si>
    <t>retained</t>
  </si>
  <si>
    <t>Individuals living with diagnosed HIV</t>
  </si>
  <si>
    <t>Individuals diagnosed with HIV in that year</t>
  </si>
  <si>
    <t>Indicator</t>
  </si>
  <si>
    <t>Definition</t>
  </si>
  <si>
    <t>Linked (%)</t>
  </si>
  <si>
    <t>New (n)</t>
  </si>
  <si>
    <t>Prevalent (n)</t>
  </si>
  <si>
    <t>Engaged (%)</t>
  </si>
  <si>
    <t>“Receipt of care” (defined as ≥1 test (CD4 or viral load)), or “In care”  (documented care ≥1 time)</t>
  </si>
  <si>
    <t>Denominator</t>
  </si>
  <si>
    <t>Individuals who visited an HIV heath care provider (had ≥1 documented test) within 1 month after receiving a diagnosis of HIV</t>
  </si>
  <si>
    <t>Individuals receiving a diagnosis of HIV in a given year</t>
  </si>
  <si>
    <t>Diagnosed HIV</t>
  </si>
  <si>
    <t xml:space="preserve">Retained (%) </t>
  </si>
  <si>
    <t>Individuals with ≥2 tests (CD4 or VL) ≥3 months apart</t>
  </si>
  <si>
    <t xml:space="preserve">Suppressed (%) </t>
  </si>
  <si>
    <t>Individuals with &lt;200 copies/mL on the most recent VL test</t>
  </si>
  <si>
    <t>*New (n) and linked (%) should come from same level/source (e.g. state vs. county); while prevalent (n) and engaged/retained/suppressed (%) should come from the same source</t>
  </si>
  <si>
    <t xml:space="preserve">Travis County </t>
  </si>
  <si>
    <t xml:space="preserve">Other counties in MSA: </t>
  </si>
  <si>
    <t xml:space="preserve">Bastrop County </t>
  </si>
  <si>
    <t xml:space="preserve">Caldwell County </t>
  </si>
  <si>
    <t xml:space="preserve">Hays County </t>
  </si>
  <si>
    <t xml:space="preserve">Williamson County </t>
  </si>
  <si>
    <t>https://www.austintexas.gov/sites/default/files/files/Health/HIV_Planning_Council/2017_2021_Integrated_HIV_Prevention_and_Care_Plan.pdf</t>
  </si>
  <si>
    <t>2017-2021 Integrated Plan</t>
  </si>
  <si>
    <t>https://www.austintexas.gov/department/hiv-planning-council</t>
  </si>
  <si>
    <t>https://www.austintexas.gov/sites/default/files/files/Health/HIV_Planning_Council/2017_Austin_Area_HIV_Needs_Assessment_Report_FINAL_Approved_2018.02.27.pdf</t>
  </si>
  <si>
    <t xml:space="preserve">2017 Needs Assessment </t>
  </si>
  <si>
    <t xml:space="preserve">Austin TGA Needs Assessment/Integrated plan </t>
  </si>
  <si>
    <t>Austin AIDSVu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</si>
</sst>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quotePrefix="1"/>
    <xf numFmtId="0" fontId="2" fillId="0" borderId="0" xfId="1"/>
    <xf numFmtId="1" fontId="0" fillId="0" borderId="3" xfId="0" applyNumberFormat="1" applyBorder="1"/>
    <xf numFmtId="1" fontId="0" fillId="0" borderId="0" xfId="0" applyNumberFormat="1" applyBorder="1"/>
    <xf numFmtId="2" fontId="0" fillId="0" borderId="3" xfId="0" applyNumberFormat="1" applyBorder="1"/>
    <xf numFmtId="0" fontId="0" fillId="0" borderId="0" xfId="0" applyFill="1"/>
    <xf numFmtId="0" fontId="0" fillId="0" borderId="0" xfId="0" applyFont="1" applyFill="1"/>
    <xf numFmtId="0" fontId="3" fillId="0" borderId="0" xfId="1" applyFont="1"/>
    <xf numFmtId="3" fontId="0" fillId="0" borderId="0" xfId="0" applyNumberFormat="1"/>
    <xf numFmtId="0" fontId="0" fillId="0" borderId="0" xfId="0" applyNumberFormat="1"/>
    <xf numFmtId="0" fontId="0" fillId="0" borderId="0" xfId="2" applyNumberFormat="1" applyFont="1"/>
    <xf numFmtId="0" fontId="0" fillId="0" borderId="0" xfId="0" applyNumberFormat="1" applyFont="1" applyFill="1"/>
    <xf numFmtId="3" fontId="0" fillId="0" borderId="0" xfId="2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1" fillId="0" borderId="8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7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5" xfId="0" applyBorder="1" applyAlignment="1">
      <alignment horizontal="left" wrapText="1"/>
    </xf>
    <xf numFmtId="0" fontId="1" fillId="0" borderId="9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3" fontId="0" fillId="0" borderId="0" xfId="0" applyNumberFormat="1" applyFill="1"/>
    <xf numFmtId="0" fontId="0" fillId="2" borderId="0" xfId="0" applyFont="1" applyFill="1"/>
    <xf numFmtId="0" fontId="0" fillId="2" borderId="0" xfId="0" applyFill="1"/>
    <xf numFmtId="0" fontId="0" fillId="3" borderId="0" xfId="0" applyFont="1" applyFill="1"/>
    <xf numFmtId="0" fontId="1" fillId="2" borderId="0" xfId="0" applyFont="1" applyFill="1"/>
    <xf numFmtId="0" fontId="0" fillId="2" borderId="2" xfId="0" applyFill="1" applyBorder="1"/>
    <xf numFmtId="164" fontId="0" fillId="2" borderId="2" xfId="0" applyNumberFormat="1" applyFill="1" applyBorder="1"/>
    <xf numFmtId="2" fontId="0" fillId="2" borderId="3" xfId="0" applyNumberFormat="1" applyFill="1" applyBorder="1"/>
    <xf numFmtId="1" fontId="0" fillId="2" borderId="3" xfId="0" applyNumberFormat="1" applyFill="1" applyBorder="1"/>
    <xf numFmtId="0" fontId="0" fillId="2" borderId="3" xfId="0" applyFill="1" applyBorder="1"/>
    <xf numFmtId="2" fontId="0" fillId="2" borderId="0" xfId="0" applyNumberFormat="1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0" xfId="0" applyNumberFormat="1" applyFill="1" applyBorder="1"/>
    <xf numFmtId="2" fontId="0" fillId="2" borderId="1" xfId="0" applyNumberFormat="1" applyFill="1" applyBorder="1"/>
    <xf numFmtId="1" fontId="0" fillId="2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164" fontId="0" fillId="2" borderId="3" xfId="0" applyNumberFormat="1" applyFill="1" applyBorder="1"/>
    <xf numFmtId="0" fontId="1" fillId="3" borderId="0" xfId="0" applyFont="1" applyFill="1"/>
    <xf numFmtId="0" fontId="0" fillId="3" borderId="2" xfId="0" applyFill="1" applyBorder="1"/>
    <xf numFmtId="164" fontId="0" fillId="3" borderId="2" xfId="0" applyNumberFormat="1" applyFill="1" applyBorder="1"/>
    <xf numFmtId="1" fontId="0" fillId="3" borderId="3" xfId="0" applyNumberFormat="1" applyFill="1" applyBorder="1"/>
    <xf numFmtId="2" fontId="0" fillId="3" borderId="3" xfId="0" applyNumberFormat="1" applyFill="1" applyBorder="1"/>
    <xf numFmtId="0" fontId="0" fillId="3" borderId="3" xfId="0" applyFill="1" applyBorder="1"/>
    <xf numFmtId="164" fontId="0" fillId="3" borderId="3" xfId="0" applyNumberFormat="1" applyFill="1" applyBorder="1"/>
    <xf numFmtId="1" fontId="0" fillId="3" borderId="0" xfId="0" applyNumberFormat="1" applyFill="1" applyBorder="1"/>
    <xf numFmtId="2" fontId="0" fillId="3" borderId="0" xfId="0" applyNumberFormat="1" applyFill="1" applyBorder="1"/>
    <xf numFmtId="0" fontId="0" fillId="3" borderId="0" xfId="0" applyFill="1" applyBorder="1"/>
    <xf numFmtId="164" fontId="0" fillId="3" borderId="0" xfId="0" applyNumberFormat="1" applyFill="1" applyBorder="1"/>
    <xf numFmtId="1" fontId="0" fillId="3" borderId="1" xfId="0" applyNumberFormat="1" applyFill="1" applyBorder="1"/>
    <xf numFmtId="2" fontId="0" fillId="3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ustintexas.gov/sites/default/files/files/Health/HIV_Planning_Council/2017_Austin_Area_HIV_Needs_Assessment_Report_FINAL_Approved_2018.02.27.pdf" TargetMode="External"/><Relationship Id="rId2" Type="http://schemas.openxmlformats.org/officeDocument/2006/relationships/hyperlink" Target="https://www.austintexas.gov/department/hiv-planning-council" TargetMode="External"/><Relationship Id="rId1" Type="http://schemas.openxmlformats.org/officeDocument/2006/relationships/hyperlink" Target="https://www.austintexas.gov/sites/default/files/files/Health/HIV_Planning_Council/2017_2021_Integrated_HIV_Prevention_and_Care_Pla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4"/>
  <sheetViews>
    <sheetView tabSelected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8.83203125" defaultRowHeight="15" x14ac:dyDescent="0.2"/>
  <cols>
    <col min="1" max="1" width="13.33203125" style="1" customWidth="1"/>
  </cols>
  <sheetData>
    <row r="1" spans="1:28" s="1" customFormat="1" x14ac:dyDescent="0.2">
      <c r="A1" s="1" t="s">
        <v>22</v>
      </c>
      <c r="B1" s="1" t="s">
        <v>19</v>
      </c>
      <c r="C1" s="1" t="s">
        <v>18</v>
      </c>
      <c r="D1" s="1" t="s">
        <v>17</v>
      </c>
      <c r="E1" s="1" t="s">
        <v>21</v>
      </c>
      <c r="F1" s="1" t="s">
        <v>26</v>
      </c>
      <c r="G1" s="1" t="s">
        <v>16</v>
      </c>
      <c r="H1" s="42" t="s">
        <v>19</v>
      </c>
      <c r="I1" s="42" t="s">
        <v>18</v>
      </c>
      <c r="J1" s="42" t="s">
        <v>18</v>
      </c>
      <c r="K1" s="42" t="s">
        <v>17</v>
      </c>
      <c r="L1" s="42" t="s">
        <v>21</v>
      </c>
      <c r="M1" s="42" t="s">
        <v>26</v>
      </c>
      <c r="N1" s="42" t="s">
        <v>16</v>
      </c>
      <c r="O1" s="42" t="s">
        <v>19</v>
      </c>
      <c r="P1" s="42" t="s">
        <v>18</v>
      </c>
      <c r="Q1" s="42" t="s">
        <v>18</v>
      </c>
      <c r="R1" s="42" t="s">
        <v>17</v>
      </c>
      <c r="S1" s="42" t="s">
        <v>21</v>
      </c>
      <c r="T1" s="42" t="s">
        <v>26</v>
      </c>
      <c r="U1" s="42" t="s">
        <v>16</v>
      </c>
    </row>
    <row r="2" spans="1:28" s="1" customFormat="1" x14ac:dyDescent="0.2">
      <c r="A2" s="1" t="s">
        <v>15</v>
      </c>
      <c r="B2" s="57">
        <v>2018</v>
      </c>
      <c r="C2" s="57">
        <v>2018</v>
      </c>
      <c r="D2" s="57">
        <v>2018</v>
      </c>
      <c r="E2" s="57">
        <v>2018</v>
      </c>
      <c r="F2" s="57">
        <v>2018</v>
      </c>
      <c r="G2" s="57">
        <v>2018</v>
      </c>
      <c r="H2" s="42">
        <v>2016</v>
      </c>
      <c r="I2" s="42">
        <v>2016</v>
      </c>
      <c r="J2" s="42">
        <v>2016</v>
      </c>
      <c r="K2" s="42">
        <v>2016</v>
      </c>
      <c r="L2" s="42">
        <v>2016</v>
      </c>
      <c r="M2" s="42">
        <v>2016</v>
      </c>
      <c r="N2" s="42">
        <v>2016</v>
      </c>
      <c r="O2" s="42">
        <v>2015</v>
      </c>
      <c r="P2" s="42">
        <v>2015</v>
      </c>
      <c r="Q2" s="42">
        <v>2015</v>
      </c>
      <c r="R2" s="42">
        <v>2015</v>
      </c>
      <c r="S2" s="42">
        <v>2015</v>
      </c>
      <c r="T2" s="42">
        <v>2015</v>
      </c>
      <c r="U2" s="42">
        <v>2015</v>
      </c>
    </row>
    <row r="3" spans="1:28" s="5" customFormat="1" x14ac:dyDescent="0.2">
      <c r="A3" s="4" t="s">
        <v>0</v>
      </c>
      <c r="B3" s="58">
        <v>265</v>
      </c>
      <c r="C3" s="59">
        <v>0.63400000000000001</v>
      </c>
      <c r="D3" s="58">
        <v>6355</v>
      </c>
      <c r="E3" s="59">
        <v>0.85399999999999998</v>
      </c>
      <c r="F3" s="59"/>
      <c r="G3" s="59">
        <v>0.70899999999999996</v>
      </c>
      <c r="H3" s="43">
        <v>295</v>
      </c>
      <c r="I3" s="44">
        <f>(190)/H3</f>
        <v>0.64406779661016944</v>
      </c>
      <c r="J3" s="44">
        <f>(190+76)/H3</f>
        <v>0.90169491525423728</v>
      </c>
      <c r="K3" s="43">
        <v>5916</v>
      </c>
      <c r="L3" s="44">
        <f>5042/K3</f>
        <v>0.85226504394861391</v>
      </c>
      <c r="M3" s="44">
        <f>4711/K3</f>
        <v>0.79631507775524002</v>
      </c>
      <c r="N3" s="44">
        <f>4262/K3</f>
        <v>0.7204192021636241</v>
      </c>
      <c r="O3" s="43">
        <v>327</v>
      </c>
      <c r="P3" s="44">
        <f>192/O3</f>
        <v>0.58715596330275233</v>
      </c>
      <c r="Q3" s="44">
        <f>(192+72)/O3</f>
        <v>0.80733944954128445</v>
      </c>
      <c r="R3" s="43">
        <v>5521</v>
      </c>
      <c r="S3" s="44">
        <f>4680/R3</f>
        <v>0.84767252309364249</v>
      </c>
      <c r="T3" s="44">
        <f>4334/R3</f>
        <v>0.7850027168991125</v>
      </c>
      <c r="U3" s="44">
        <f>3946/R3</f>
        <v>0.71472559318963957</v>
      </c>
    </row>
    <row r="4" spans="1:28" s="7" customFormat="1" x14ac:dyDescent="0.2">
      <c r="A4" s="6" t="s">
        <v>1</v>
      </c>
      <c r="B4" s="60">
        <f>0.18*B3</f>
        <v>47.699999999999996</v>
      </c>
      <c r="C4" s="61">
        <v>0.54400000000000004</v>
      </c>
      <c r="D4" s="60">
        <f>0.216*D3</f>
        <v>1372.68</v>
      </c>
      <c r="E4" s="62">
        <v>0.82699999999999996</v>
      </c>
      <c r="F4" s="60"/>
      <c r="G4" s="63">
        <v>0.65</v>
      </c>
      <c r="H4" s="45"/>
      <c r="I4" s="46"/>
      <c r="J4" s="46"/>
      <c r="K4" s="47">
        <v>1262</v>
      </c>
      <c r="L4" s="47"/>
      <c r="M4" s="46"/>
      <c r="N4" s="47"/>
      <c r="O4" s="46">
        <v>60</v>
      </c>
      <c r="P4" s="46"/>
      <c r="Q4" s="46"/>
      <c r="R4" s="47">
        <v>1164</v>
      </c>
      <c r="S4" s="47"/>
      <c r="T4" s="46"/>
      <c r="U4" s="47"/>
    </row>
    <row r="5" spans="1:28" s="9" customFormat="1" x14ac:dyDescent="0.2">
      <c r="A5" s="8" t="s">
        <v>2</v>
      </c>
      <c r="B5" s="64">
        <f>0.422*B3</f>
        <v>111.83</v>
      </c>
      <c r="C5" s="65">
        <v>0.64400000000000002</v>
      </c>
      <c r="D5" s="64">
        <f>0.348*D3</f>
        <v>2211.54</v>
      </c>
      <c r="E5" s="66">
        <v>0.84599999999999997</v>
      </c>
      <c r="F5" s="64"/>
      <c r="G5" s="67">
        <v>0.71399999999999997</v>
      </c>
      <c r="H5" s="48"/>
      <c r="I5" s="49"/>
      <c r="J5" s="49"/>
      <c r="K5" s="50">
        <v>1932</v>
      </c>
      <c r="L5" s="50"/>
      <c r="M5" s="49"/>
      <c r="N5" s="50"/>
      <c r="O5" s="49">
        <v>137</v>
      </c>
      <c r="P5" s="51">
        <f>82/O5</f>
        <v>0.59854014598540151</v>
      </c>
      <c r="Q5" s="51">
        <f>(82+33)/O5</f>
        <v>0.83941605839416056</v>
      </c>
      <c r="R5" s="50">
        <v>1769</v>
      </c>
      <c r="S5" s="51">
        <f>1460/R5</f>
        <v>0.82532504239683435</v>
      </c>
      <c r="T5" s="51">
        <f>1338/R5</f>
        <v>0.75635952515545501</v>
      </c>
      <c r="U5" s="51">
        <f>1219/R5</f>
        <v>0.68908988128886373</v>
      </c>
      <c r="W5" s="10"/>
      <c r="AB5" s="10"/>
    </row>
    <row r="6" spans="1:28" s="3" customFormat="1" x14ac:dyDescent="0.2">
      <c r="A6" s="2" t="s">
        <v>3</v>
      </c>
      <c r="B6" s="68">
        <f>0.341*B3</f>
        <v>90.365000000000009</v>
      </c>
      <c r="C6" s="69">
        <v>0.65300000000000002</v>
      </c>
      <c r="D6" s="68">
        <f>0.386*D3</f>
        <v>2453.0300000000002</v>
      </c>
      <c r="E6" s="70">
        <v>0.877</v>
      </c>
      <c r="F6" s="68"/>
      <c r="G6" s="71">
        <v>0.73899999999999999</v>
      </c>
      <c r="H6" s="52"/>
      <c r="I6" s="53"/>
      <c r="J6" s="53"/>
      <c r="K6" s="54">
        <v>2450</v>
      </c>
      <c r="L6" s="54"/>
      <c r="M6" s="53"/>
      <c r="N6" s="54"/>
      <c r="O6" s="53">
        <v>115</v>
      </c>
      <c r="P6" s="55"/>
      <c r="Q6" s="55"/>
      <c r="R6" s="54">
        <v>2347</v>
      </c>
      <c r="S6" s="54"/>
      <c r="T6" s="53"/>
      <c r="U6" s="54"/>
    </row>
    <row r="7" spans="1:28" s="7" customFormat="1" x14ac:dyDescent="0.2">
      <c r="A7" s="6" t="s">
        <v>4</v>
      </c>
      <c r="B7" s="60">
        <f>0.887*B3</f>
        <v>235.05500000000001</v>
      </c>
      <c r="C7" s="61">
        <v>0.623</v>
      </c>
      <c r="D7" s="60">
        <f>0.857*D3</f>
        <v>5446.2349999999997</v>
      </c>
      <c r="E7" s="62">
        <v>0.85399999999999998</v>
      </c>
      <c r="F7" s="60"/>
      <c r="G7" s="63">
        <v>0.71099999999999997</v>
      </c>
      <c r="H7" s="45"/>
      <c r="I7" s="46"/>
      <c r="J7" s="46"/>
      <c r="K7" s="47">
        <v>5058</v>
      </c>
      <c r="L7" s="47"/>
      <c r="M7" s="46"/>
      <c r="N7" s="47"/>
      <c r="O7" s="46">
        <v>291</v>
      </c>
      <c r="P7" s="56"/>
      <c r="Q7" s="56"/>
      <c r="R7" s="47">
        <v>4729</v>
      </c>
      <c r="S7" s="47"/>
      <c r="T7" s="46"/>
      <c r="U7" s="47"/>
    </row>
    <row r="8" spans="1:28" s="3" customFormat="1" x14ac:dyDescent="0.2">
      <c r="A8" s="2" t="s">
        <v>5</v>
      </c>
      <c r="B8" s="68">
        <f>0.113*B3</f>
        <v>29.945</v>
      </c>
      <c r="C8" s="69">
        <v>0.69399999999999995</v>
      </c>
      <c r="D8" s="68">
        <f>0.143*D3</f>
        <v>908.76499999999987</v>
      </c>
      <c r="E8" s="66">
        <v>0.85399999999999998</v>
      </c>
      <c r="F8" s="68"/>
      <c r="G8" s="71">
        <v>0.7</v>
      </c>
      <c r="H8" s="52"/>
      <c r="I8" s="53"/>
      <c r="J8" s="53"/>
      <c r="K8" s="54">
        <v>858</v>
      </c>
      <c r="L8" s="50"/>
      <c r="M8" s="53"/>
      <c r="N8" s="54"/>
      <c r="O8" s="53">
        <v>36</v>
      </c>
      <c r="P8" s="55"/>
      <c r="Q8" s="55"/>
      <c r="R8" s="54">
        <v>792</v>
      </c>
      <c r="S8" s="50"/>
      <c r="T8" s="53"/>
      <c r="U8" s="54"/>
      <c r="V8" s="9"/>
    </row>
    <row r="9" spans="1:28" s="7" customFormat="1" x14ac:dyDescent="0.2">
      <c r="A9" s="6" t="s">
        <v>6</v>
      </c>
      <c r="B9" s="60">
        <f>0.236*B3</f>
        <v>62.54</v>
      </c>
      <c r="C9" s="61">
        <v>0.53200000000000003</v>
      </c>
      <c r="D9" s="60"/>
      <c r="E9" s="61">
        <v>0.82899999999999996</v>
      </c>
      <c r="F9" s="60"/>
      <c r="G9" s="63">
        <v>0.67100000000000004</v>
      </c>
      <c r="H9" s="45"/>
      <c r="I9" s="46"/>
      <c r="J9" s="46"/>
      <c r="K9" s="46">
        <v>249</v>
      </c>
      <c r="L9" s="45"/>
      <c r="M9" s="46"/>
      <c r="N9" s="45"/>
      <c r="O9" s="46">
        <v>73</v>
      </c>
      <c r="P9" s="56">
        <f>35/O9</f>
        <v>0.47945205479452052</v>
      </c>
      <c r="Q9" s="56">
        <f>(35+18)/O9</f>
        <v>0.72602739726027399</v>
      </c>
      <c r="R9" s="46">
        <v>228</v>
      </c>
      <c r="S9" s="56">
        <f>200/R9</f>
        <v>0.8771929824561403</v>
      </c>
      <c r="T9" s="56">
        <f>155/R9</f>
        <v>0.67982456140350878</v>
      </c>
      <c r="U9" s="56">
        <f>132/R9</f>
        <v>0.57894736842105265</v>
      </c>
      <c r="V9" s="15"/>
      <c r="W9" s="13"/>
    </row>
    <row r="10" spans="1:28" s="9" customFormat="1" x14ac:dyDescent="0.2">
      <c r="A10" s="8" t="s">
        <v>7</v>
      </c>
      <c r="B10" s="64">
        <f>(0.569/2)*B3</f>
        <v>75.392499999999998</v>
      </c>
      <c r="C10" s="65">
        <v>0.64400000000000002</v>
      </c>
      <c r="D10" s="64"/>
      <c r="E10" s="66">
        <v>0.83799999999999997</v>
      </c>
      <c r="F10" s="64"/>
      <c r="G10" s="67">
        <v>0.66200000000000003</v>
      </c>
      <c r="H10" s="48"/>
      <c r="I10" s="49"/>
      <c r="J10" s="49"/>
      <c r="K10" s="49">
        <v>1092</v>
      </c>
      <c r="L10" s="50"/>
      <c r="M10" s="49"/>
      <c r="N10" s="50"/>
      <c r="O10" s="49">
        <v>130</v>
      </c>
      <c r="P10" s="51"/>
      <c r="Q10" s="51"/>
      <c r="R10" s="49">
        <v>1044</v>
      </c>
      <c r="S10" s="50"/>
      <c r="T10" s="49"/>
      <c r="U10" s="50"/>
      <c r="V10" s="10"/>
    </row>
    <row r="11" spans="1:28" s="9" customFormat="1" x14ac:dyDescent="0.2">
      <c r="A11" s="8" t="s">
        <v>8</v>
      </c>
      <c r="B11" s="64">
        <f>(0.569/2)*B3</f>
        <v>75.392499999999998</v>
      </c>
      <c r="C11" s="65">
        <v>0.64400000000000002</v>
      </c>
      <c r="D11" s="64"/>
      <c r="E11" s="66">
        <v>0.83799999999999997</v>
      </c>
      <c r="F11" s="64"/>
      <c r="G11" s="67">
        <v>0.66200000000000003</v>
      </c>
      <c r="H11" s="48"/>
      <c r="I11" s="49"/>
      <c r="J11" s="49"/>
      <c r="K11" s="49">
        <v>1311</v>
      </c>
      <c r="L11" s="50"/>
      <c r="M11" s="49"/>
      <c r="N11" s="48"/>
      <c r="O11" s="49">
        <v>58</v>
      </c>
      <c r="P11" s="51"/>
      <c r="Q11" s="51"/>
      <c r="R11" s="49">
        <v>1226</v>
      </c>
      <c r="S11" s="50"/>
      <c r="T11" s="49"/>
      <c r="U11" s="48"/>
    </row>
    <row r="12" spans="1:28" s="9" customFormat="1" x14ac:dyDescent="0.2">
      <c r="A12" s="8" t="s">
        <v>9</v>
      </c>
      <c r="B12" s="64">
        <f>0.161*B3</f>
        <v>42.664999999999999</v>
      </c>
      <c r="C12" s="65">
        <v>0.68200000000000005</v>
      </c>
      <c r="D12" s="64"/>
      <c r="E12" s="66">
        <v>0.85899999999999999</v>
      </c>
      <c r="F12" s="64"/>
      <c r="G12" s="67">
        <v>0.72899999999999998</v>
      </c>
      <c r="H12" s="48"/>
      <c r="I12" s="49"/>
      <c r="J12" s="49"/>
      <c r="K12" s="49">
        <v>1811</v>
      </c>
      <c r="L12" s="50"/>
      <c r="M12" s="49"/>
      <c r="N12" s="50"/>
      <c r="O12" s="49">
        <v>50</v>
      </c>
      <c r="P12" s="51"/>
      <c r="Q12" s="51"/>
      <c r="R12" s="49">
        <v>1761</v>
      </c>
      <c r="S12" s="50"/>
      <c r="T12" s="49"/>
      <c r="U12" s="50"/>
      <c r="W12" s="14"/>
    </row>
    <row r="13" spans="1:28" s="3" customFormat="1" x14ac:dyDescent="0.2">
      <c r="A13" s="2" t="s">
        <v>10</v>
      </c>
      <c r="B13" s="68">
        <f>0.033*B3</f>
        <v>8.745000000000001</v>
      </c>
      <c r="C13" s="65">
        <v>0.88</v>
      </c>
      <c r="D13" s="68"/>
      <c r="E13" s="70">
        <v>0.88900000000000001</v>
      </c>
      <c r="F13" s="64"/>
      <c r="G13" s="71">
        <v>0.79800000000000004</v>
      </c>
      <c r="H13" s="52"/>
      <c r="I13" s="49"/>
      <c r="J13" s="49"/>
      <c r="K13" s="53">
        <v>1439</v>
      </c>
      <c r="L13" s="54"/>
      <c r="M13" s="49"/>
      <c r="N13" s="52"/>
      <c r="O13" s="53">
        <v>16</v>
      </c>
      <c r="P13" s="51"/>
      <c r="Q13" s="51"/>
      <c r="R13" s="53">
        <v>1249</v>
      </c>
      <c r="S13" s="54"/>
      <c r="T13" s="49"/>
      <c r="U13" s="52"/>
    </row>
    <row r="14" spans="1:28" s="7" customFormat="1" x14ac:dyDescent="0.2">
      <c r="A14" s="6" t="s">
        <v>11</v>
      </c>
      <c r="B14" s="60">
        <f>0.768*B7</f>
        <v>180.52224000000001</v>
      </c>
      <c r="C14" s="61"/>
      <c r="D14" s="60">
        <f>0.739*D7</f>
        <v>4024.7676649999999</v>
      </c>
      <c r="E14" s="62"/>
      <c r="F14" s="62"/>
      <c r="G14" s="62"/>
      <c r="H14" s="45"/>
      <c r="I14" s="47"/>
      <c r="J14" s="47"/>
      <c r="K14" s="47">
        <v>4096</v>
      </c>
      <c r="L14" s="47"/>
      <c r="M14" s="47"/>
      <c r="N14" s="47"/>
      <c r="O14" s="46">
        <v>262</v>
      </c>
      <c r="P14" s="56"/>
      <c r="Q14" s="56"/>
      <c r="R14" s="47">
        <v>3837</v>
      </c>
      <c r="S14" s="47"/>
      <c r="T14" s="47"/>
      <c r="U14" s="47"/>
    </row>
    <row r="15" spans="1:28" s="9" customFormat="1" x14ac:dyDescent="0.2">
      <c r="A15" s="8" t="s">
        <v>12</v>
      </c>
      <c r="B15" s="64">
        <f>(0.025*B7)+(0.088*(B8))</f>
        <v>8.5115350000000003</v>
      </c>
      <c r="C15" s="65"/>
      <c r="D15" s="64">
        <f>(0.043*D7)+(0.162*D8)</f>
        <v>381.40803499999993</v>
      </c>
      <c r="E15" s="66"/>
      <c r="F15" s="64"/>
      <c r="G15" s="66"/>
      <c r="H15" s="48"/>
      <c r="I15" s="49"/>
      <c r="J15" s="49"/>
      <c r="K15" s="49">
        <v>492</v>
      </c>
      <c r="L15" s="50"/>
      <c r="M15" s="49"/>
      <c r="N15" s="50"/>
      <c r="O15" s="49">
        <v>16</v>
      </c>
      <c r="P15" s="51">
        <f>8/O15</f>
        <v>0.5</v>
      </c>
      <c r="Q15" s="51">
        <f>(8+4)/O15</f>
        <v>0.75</v>
      </c>
      <c r="R15" s="49">
        <v>457</v>
      </c>
      <c r="S15" s="51">
        <f>380/R15</f>
        <v>0.83150984682713347</v>
      </c>
      <c r="T15" s="51">
        <f>350/R15</f>
        <v>0.76586433260393871</v>
      </c>
      <c r="U15" s="51">
        <f>316/R15</f>
        <v>0.69146608315098468</v>
      </c>
      <c r="W15" s="10"/>
    </row>
    <row r="16" spans="1:28" s="9" customFormat="1" x14ac:dyDescent="0.2">
      <c r="A16" s="8" t="s">
        <v>13</v>
      </c>
      <c r="B16" s="64">
        <f>0.06*B7</f>
        <v>14.103299999999999</v>
      </c>
      <c r="C16" s="65"/>
      <c r="D16" s="64">
        <f>0.084*D7</f>
        <v>457.48374000000001</v>
      </c>
      <c r="E16" s="66"/>
      <c r="F16" s="64"/>
      <c r="G16" s="66"/>
      <c r="H16" s="48"/>
      <c r="I16" s="49"/>
      <c r="J16" s="49"/>
      <c r="K16" s="49">
        <v>379</v>
      </c>
      <c r="L16" s="50"/>
      <c r="M16" s="49"/>
      <c r="N16" s="50"/>
      <c r="O16" s="49">
        <v>11</v>
      </c>
      <c r="P16" s="49"/>
      <c r="Q16" s="49"/>
      <c r="R16" s="49">
        <v>357</v>
      </c>
      <c r="S16" s="50"/>
      <c r="T16" s="49"/>
      <c r="U16" s="50"/>
      <c r="W16" s="10"/>
    </row>
    <row r="17" spans="1:30" s="3" customFormat="1" x14ac:dyDescent="0.2">
      <c r="A17" s="2" t="s">
        <v>14</v>
      </c>
      <c r="B17" s="68">
        <f>(0.032*B7)+(0.3*B8)</f>
        <v>16.50526</v>
      </c>
      <c r="C17" s="69"/>
      <c r="D17" s="68">
        <f>(0.039*D7)+(0.436*D8)</f>
        <v>608.62470499999995</v>
      </c>
      <c r="E17" s="70"/>
      <c r="F17" s="70"/>
      <c r="G17" s="70"/>
      <c r="H17" s="52"/>
      <c r="I17" s="54"/>
      <c r="J17" s="54"/>
      <c r="K17" s="54">
        <v>892</v>
      </c>
      <c r="L17" s="54"/>
      <c r="M17" s="54"/>
      <c r="N17" s="54"/>
      <c r="O17" s="53">
        <v>38</v>
      </c>
      <c r="P17" s="54"/>
      <c r="Q17" s="54"/>
      <c r="R17" s="54">
        <v>819</v>
      </c>
      <c r="S17" s="54"/>
      <c r="T17" s="54"/>
      <c r="U17" s="54"/>
    </row>
    <row r="18" spans="1:30" x14ac:dyDescent="0.2">
      <c r="A18" s="1" t="s">
        <v>20</v>
      </c>
      <c r="B18" s="72"/>
      <c r="C18" s="72">
        <v>1</v>
      </c>
      <c r="D18" s="72"/>
      <c r="E18" s="72"/>
      <c r="F18" s="72"/>
      <c r="G18" s="72"/>
      <c r="H18" s="40"/>
      <c r="I18" s="40">
        <v>1</v>
      </c>
      <c r="J18" s="40">
        <v>3</v>
      </c>
      <c r="K18" s="40"/>
      <c r="L18" s="40"/>
      <c r="M18" s="40"/>
      <c r="N18" s="40"/>
      <c r="O18" s="40"/>
      <c r="P18" s="40">
        <v>1</v>
      </c>
      <c r="Q18" s="40">
        <v>3</v>
      </c>
      <c r="R18" s="40"/>
      <c r="S18" s="40"/>
      <c r="T18" s="40"/>
      <c r="U18" s="40"/>
      <c r="V18" s="19"/>
      <c r="X18" s="21"/>
      <c r="Y18" s="21"/>
      <c r="Z18" s="20"/>
      <c r="AA18" s="21"/>
      <c r="AB18" s="20"/>
      <c r="AC18" s="20"/>
      <c r="AD18" s="20"/>
    </row>
    <row r="19" spans="1:30" x14ac:dyDescent="0.2">
      <c r="O19" s="23"/>
      <c r="P19" s="21"/>
      <c r="Q19" s="21"/>
      <c r="R19" s="20"/>
      <c r="S19" s="21"/>
      <c r="T19" s="20"/>
      <c r="U19" s="20"/>
      <c r="V19" s="20"/>
      <c r="W19" s="20"/>
    </row>
    <row r="20" spans="1:30" x14ac:dyDescent="0.2">
      <c r="C20" t="s">
        <v>24</v>
      </c>
      <c r="F20" s="20"/>
      <c r="G20" s="20"/>
      <c r="I20" t="s">
        <v>24</v>
      </c>
      <c r="J20" t="s">
        <v>24</v>
      </c>
      <c r="M20" s="20"/>
      <c r="N20" s="20"/>
      <c r="O20" s="23"/>
      <c r="P20" s="21"/>
      <c r="Q20" s="20"/>
      <c r="R20" s="21"/>
      <c r="S20" s="20"/>
      <c r="T20" s="21"/>
      <c r="U20" s="20"/>
      <c r="V20" s="20"/>
      <c r="W20" s="20"/>
      <c r="X20" s="20"/>
      <c r="Y20" s="20"/>
      <c r="Z20" s="20"/>
    </row>
    <row r="21" spans="1:30" x14ac:dyDescent="0.2">
      <c r="B21" s="39" t="s">
        <v>56</v>
      </c>
      <c r="C21" s="39"/>
      <c r="D21" s="40"/>
      <c r="E21" s="39"/>
      <c r="F21" s="22"/>
      <c r="G21" s="20"/>
      <c r="H21" s="17"/>
      <c r="I21" s="17"/>
      <c r="J21" s="17"/>
      <c r="L21" s="17"/>
      <c r="M21" s="22"/>
      <c r="N21" s="20"/>
      <c r="O21" s="19"/>
      <c r="P21" s="21"/>
      <c r="Q21" s="20"/>
      <c r="R21" s="21"/>
      <c r="S21" s="20"/>
      <c r="T21" s="21"/>
      <c r="U21" s="20"/>
      <c r="V21" s="20"/>
      <c r="W21" s="20"/>
      <c r="Y21" s="20"/>
      <c r="Z21" s="20"/>
    </row>
    <row r="22" spans="1:30" x14ac:dyDescent="0.2">
      <c r="B22" s="41" t="s">
        <v>57</v>
      </c>
      <c r="C22" s="41"/>
      <c r="E22" s="17"/>
      <c r="F22" s="22"/>
      <c r="G22" s="20"/>
      <c r="H22" s="17"/>
      <c r="I22" s="17"/>
      <c r="J22" s="17"/>
      <c r="L22" s="17"/>
      <c r="M22" s="22"/>
      <c r="N22" s="20"/>
      <c r="O22" s="23"/>
      <c r="P22" s="21"/>
      <c r="Q22" s="20"/>
      <c r="R22" s="21"/>
      <c r="S22" s="20"/>
      <c r="T22" s="21"/>
      <c r="U22" s="20"/>
      <c r="V22" s="20"/>
      <c r="W22" s="20"/>
      <c r="X22" s="20"/>
      <c r="Y22" s="20"/>
      <c r="Z22" s="20"/>
    </row>
    <row r="23" spans="1:30" x14ac:dyDescent="0.2">
      <c r="F23" s="20"/>
      <c r="G23" s="20"/>
      <c r="M23" s="20"/>
      <c r="N23" s="20"/>
      <c r="O23" s="19"/>
      <c r="P23" s="21"/>
      <c r="Q23" s="20"/>
      <c r="R23" s="21"/>
      <c r="S23" s="20"/>
      <c r="T23" s="21"/>
      <c r="U23" s="20"/>
      <c r="V23" s="20"/>
      <c r="W23" s="20"/>
      <c r="X23" s="20"/>
      <c r="Y23" s="20"/>
      <c r="Z23" s="20"/>
    </row>
    <row r="24" spans="1:30" x14ac:dyDescent="0.2">
      <c r="F24" s="20"/>
      <c r="G24" s="20"/>
      <c r="M24" s="20"/>
      <c r="N24" s="20"/>
      <c r="O24" s="19"/>
      <c r="P24" s="21"/>
      <c r="Q24" s="20"/>
      <c r="R24" s="21"/>
      <c r="S24" s="20"/>
      <c r="T24" s="21"/>
      <c r="U24" s="20"/>
      <c r="V24" s="20"/>
      <c r="W24" s="20"/>
      <c r="X24" s="20"/>
      <c r="Y24" s="20"/>
      <c r="Z24" s="20"/>
    </row>
    <row r="25" spans="1:30" x14ac:dyDescent="0.2">
      <c r="F25" s="20"/>
      <c r="G25" s="20"/>
      <c r="M25" s="20"/>
      <c r="N25" s="20"/>
      <c r="O25" s="21"/>
      <c r="P25" s="21"/>
      <c r="Q25" s="20"/>
      <c r="R25" s="21"/>
      <c r="S25" s="20"/>
      <c r="T25" s="21"/>
      <c r="U25" s="20"/>
      <c r="V25" s="20"/>
      <c r="W25" s="20"/>
      <c r="X25" s="20"/>
      <c r="Y25" s="20"/>
      <c r="Z25" s="20"/>
    </row>
    <row r="26" spans="1:30" x14ac:dyDescent="0.2">
      <c r="F26" s="20"/>
      <c r="G26" s="20"/>
      <c r="M26" s="20"/>
      <c r="N26" s="20"/>
      <c r="O26" s="19"/>
      <c r="P26" s="21"/>
      <c r="Q26" s="20"/>
      <c r="R26" s="21"/>
      <c r="S26" s="20"/>
      <c r="T26" s="21"/>
      <c r="U26" s="20"/>
      <c r="V26" s="20"/>
      <c r="W26" s="20"/>
      <c r="X26" s="20"/>
      <c r="Y26" s="20"/>
      <c r="Z26" s="20"/>
    </row>
    <row r="27" spans="1:30" x14ac:dyDescent="0.2">
      <c r="F27" s="20"/>
      <c r="G27" s="20"/>
      <c r="M27" s="20"/>
      <c r="N27" s="20"/>
      <c r="O27" s="19"/>
      <c r="P27" s="21"/>
      <c r="Q27" s="20"/>
      <c r="R27" s="21"/>
      <c r="S27" s="20"/>
      <c r="T27" s="21"/>
      <c r="U27" s="20"/>
      <c r="V27" s="20"/>
      <c r="W27" s="20"/>
      <c r="X27" s="20"/>
      <c r="Y27" s="20"/>
      <c r="Z27" s="20"/>
    </row>
    <row r="28" spans="1:30" x14ac:dyDescent="0.2">
      <c r="F28" s="20"/>
      <c r="G28" s="20"/>
      <c r="M28" s="20"/>
      <c r="N28" s="20"/>
      <c r="O28" s="23"/>
      <c r="P28" s="21"/>
      <c r="Q28" s="20"/>
      <c r="R28" s="21"/>
      <c r="S28" s="20"/>
      <c r="T28" s="21"/>
      <c r="U28" s="20"/>
      <c r="V28" s="20"/>
      <c r="W28" s="20"/>
      <c r="X28" s="20"/>
      <c r="Y28" s="20"/>
      <c r="Z28" s="20"/>
    </row>
    <row r="29" spans="1:30" x14ac:dyDescent="0.2">
      <c r="F29" s="20"/>
      <c r="G29" s="20"/>
      <c r="M29" s="20"/>
      <c r="N29" s="20"/>
      <c r="O29" s="23"/>
      <c r="P29" s="21"/>
      <c r="Q29" s="20"/>
      <c r="R29" s="21"/>
      <c r="S29" s="20"/>
      <c r="T29" s="21"/>
      <c r="U29" s="20"/>
      <c r="V29" s="20"/>
      <c r="W29" s="20"/>
      <c r="X29" s="20"/>
      <c r="Y29" s="20"/>
      <c r="Z29" s="20"/>
    </row>
    <row r="30" spans="1:30" x14ac:dyDescent="0.2">
      <c r="F30" s="20" t="s">
        <v>24</v>
      </c>
      <c r="G30" s="20"/>
      <c r="M30" s="20" t="s">
        <v>24</v>
      </c>
      <c r="N30" s="20"/>
      <c r="O30" s="19"/>
      <c r="P30" s="21"/>
      <c r="Q30" s="20"/>
      <c r="R30" s="21"/>
      <c r="S30" s="20"/>
      <c r="T30" s="21"/>
      <c r="U30" s="20"/>
      <c r="V30" s="20"/>
      <c r="W30" s="20"/>
      <c r="X30" s="20"/>
      <c r="Y30" s="20"/>
      <c r="Z30" s="20"/>
    </row>
    <row r="31" spans="1:30" x14ac:dyDescent="0.2">
      <c r="F31" s="20"/>
      <c r="G31" s="20"/>
      <c r="M31" s="20"/>
      <c r="N31" s="20"/>
      <c r="O31" s="19"/>
      <c r="P31" s="21"/>
      <c r="Q31" s="20"/>
      <c r="R31" s="21"/>
      <c r="S31" s="20"/>
      <c r="T31" s="20"/>
      <c r="U31" s="20"/>
      <c r="V31" s="20"/>
      <c r="W31" s="20"/>
      <c r="X31" s="20"/>
      <c r="Y31" s="20"/>
      <c r="Z31" s="20"/>
    </row>
    <row r="32" spans="1:30" x14ac:dyDescent="0.2">
      <c r="F32" s="20"/>
      <c r="G32" s="20"/>
      <c r="M32" s="20"/>
      <c r="N32" s="20"/>
      <c r="O32" s="19"/>
      <c r="P32" s="21"/>
      <c r="Q32" s="20"/>
      <c r="R32" s="21"/>
      <c r="S32" s="20"/>
      <c r="T32" s="20"/>
      <c r="U32" s="20"/>
      <c r="V32" s="20"/>
      <c r="W32" s="20"/>
      <c r="X32" s="20"/>
      <c r="Y32" s="20"/>
      <c r="Z32" s="20"/>
    </row>
    <row r="33" spans="6:26" x14ac:dyDescent="0.2">
      <c r="F33" s="20"/>
      <c r="G33" s="20"/>
      <c r="M33" s="20"/>
      <c r="N33" s="20"/>
      <c r="O33" s="19"/>
      <c r="P33" s="20"/>
      <c r="Q33" s="20"/>
      <c r="R33" s="20"/>
      <c r="S33" s="20"/>
      <c r="T33" s="20"/>
      <c r="U33" s="20"/>
      <c r="V33" s="20"/>
      <c r="W33" s="20"/>
      <c r="Z33" s="20"/>
    </row>
    <row r="34" spans="6:26" x14ac:dyDescent="0.2">
      <c r="F34" s="20"/>
      <c r="G34" s="20"/>
      <c r="M34" s="20"/>
      <c r="N34" s="20"/>
      <c r="X34" s="20"/>
      <c r="Y34" s="20"/>
      <c r="Z34" s="20"/>
    </row>
    <row r="35" spans="6:26" x14ac:dyDescent="0.2">
      <c r="F35" s="20"/>
      <c r="G35" s="20"/>
      <c r="M35" s="20"/>
      <c r="N35" s="20"/>
      <c r="X35" s="20"/>
      <c r="Y35" s="20"/>
      <c r="Z35" s="20"/>
    </row>
    <row r="36" spans="6:26" x14ac:dyDescent="0.2">
      <c r="F36" s="20"/>
      <c r="G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6:26" x14ac:dyDescent="0.2">
      <c r="F37" s="20"/>
      <c r="G37" s="20"/>
      <c r="M37" s="20"/>
      <c r="N37" s="20"/>
      <c r="P37" s="21"/>
      <c r="Q37" s="20"/>
      <c r="R37" s="21"/>
      <c r="S37" s="20"/>
      <c r="T37" s="21"/>
      <c r="U37" s="20"/>
      <c r="V37" s="20"/>
      <c r="W37" s="20"/>
      <c r="X37" s="20"/>
      <c r="Y37" s="20"/>
      <c r="Z37" s="20"/>
    </row>
    <row r="38" spans="6:26" x14ac:dyDescent="0.2">
      <c r="F38" s="20"/>
      <c r="G38" s="20"/>
      <c r="M38" s="20"/>
      <c r="N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6:26" x14ac:dyDescent="0.2">
      <c r="F39" s="20"/>
      <c r="G39" s="20"/>
      <c r="M39" s="20"/>
      <c r="N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6:26" x14ac:dyDescent="0.2">
      <c r="F40" s="20"/>
      <c r="G40" s="20"/>
      <c r="M40" s="20"/>
      <c r="N40" s="20"/>
      <c r="P40" s="20"/>
      <c r="Q40" s="20"/>
      <c r="R40" s="20"/>
      <c r="S40" s="20"/>
      <c r="T40" s="20"/>
      <c r="U40" s="20"/>
      <c r="V40" s="20"/>
      <c r="W40" s="20"/>
      <c r="X40" s="20"/>
    </row>
    <row r="41" spans="6:26" x14ac:dyDescent="0.2">
      <c r="F41" s="20"/>
      <c r="G41" s="20"/>
      <c r="M41" s="20"/>
      <c r="N41" s="20"/>
      <c r="O41" s="20"/>
      <c r="X41" s="20"/>
    </row>
    <row r="42" spans="6:26" x14ac:dyDescent="0.2">
      <c r="F42" s="20"/>
      <c r="G42" s="20"/>
      <c r="M42" s="20"/>
      <c r="N42" s="20"/>
      <c r="P42" s="20"/>
      <c r="Q42" s="20"/>
      <c r="R42" s="20"/>
      <c r="S42" s="20"/>
      <c r="T42" s="20"/>
      <c r="X42" s="20"/>
    </row>
    <row r="43" spans="6:26" x14ac:dyDescent="0.2">
      <c r="F43" s="20"/>
      <c r="G43" s="20"/>
      <c r="M43" s="20"/>
      <c r="N43" s="20"/>
      <c r="X43" s="20"/>
    </row>
    <row r="44" spans="6:26" x14ac:dyDescent="0.2">
      <c r="F44" s="20"/>
      <c r="G44" s="20"/>
      <c r="M44" s="20"/>
      <c r="N44" s="20"/>
      <c r="X44" s="20"/>
    </row>
    <row r="45" spans="6:26" x14ac:dyDescent="0.2">
      <c r="F45" s="20"/>
      <c r="G45" s="20"/>
      <c r="M45" s="20"/>
      <c r="N45" s="20"/>
      <c r="U45" s="20"/>
      <c r="V45" s="20"/>
      <c r="W45" s="20"/>
      <c r="X45" s="20"/>
    </row>
    <row r="46" spans="6:26" x14ac:dyDescent="0.2">
      <c r="F46" s="20"/>
      <c r="G46" s="20"/>
      <c r="M46" s="20"/>
      <c r="N46" s="20"/>
      <c r="U46" s="20"/>
      <c r="V46" s="20"/>
      <c r="W46" s="20"/>
      <c r="X46" s="20"/>
    </row>
    <row r="47" spans="6:26" x14ac:dyDescent="0.2">
      <c r="F47" s="20"/>
      <c r="G47" s="20"/>
      <c r="M47" s="20"/>
      <c r="N47" s="20"/>
      <c r="O47" s="20"/>
      <c r="U47" s="20"/>
      <c r="V47" s="20"/>
      <c r="W47" s="20"/>
      <c r="X47" s="20"/>
    </row>
    <row r="48" spans="6:26" x14ac:dyDescent="0.2">
      <c r="F48" s="20"/>
      <c r="G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</row>
    <row r="49" spans="6:24" x14ac:dyDescent="0.2">
      <c r="F49" s="20"/>
      <c r="G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</row>
    <row r="50" spans="6:24" x14ac:dyDescent="0.2">
      <c r="F50" s="20"/>
      <c r="G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</row>
    <row r="51" spans="6:24" x14ac:dyDescent="0.2">
      <c r="F51" s="20"/>
      <c r="G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</row>
    <row r="52" spans="6:24" x14ac:dyDescent="0.2">
      <c r="F52" s="20"/>
      <c r="G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</row>
    <row r="53" spans="6:24" x14ac:dyDescent="0.2">
      <c r="F53" s="20"/>
      <c r="G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</row>
    <row r="54" spans="6:24" x14ac:dyDescent="0.2">
      <c r="F54" s="20"/>
      <c r="G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</row>
    <row r="55" spans="6:24" x14ac:dyDescent="0.2">
      <c r="F55" s="20"/>
      <c r="G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</row>
    <row r="56" spans="6:24" x14ac:dyDescent="0.2">
      <c r="F56" s="20"/>
      <c r="G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</row>
    <row r="57" spans="6:24" x14ac:dyDescent="0.2">
      <c r="F57" s="20"/>
      <c r="G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</row>
    <row r="58" spans="6:24" x14ac:dyDescent="0.2">
      <c r="F58" s="20"/>
      <c r="G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</row>
    <row r="59" spans="6:24" x14ac:dyDescent="0.2">
      <c r="F59" s="20"/>
      <c r="G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</row>
    <row r="60" spans="6:24" x14ac:dyDescent="0.2">
      <c r="F60" s="20"/>
      <c r="G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</row>
    <row r="61" spans="6:24" x14ac:dyDescent="0.2">
      <c r="F61" s="20"/>
      <c r="G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</row>
    <row r="62" spans="6:24" x14ac:dyDescent="0.2">
      <c r="F62" s="20"/>
      <c r="G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</row>
    <row r="63" spans="6:24" x14ac:dyDescent="0.2">
      <c r="F63" s="20"/>
      <c r="G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</row>
    <row r="64" spans="6:24" x14ac:dyDescent="0.2">
      <c r="F64" s="20"/>
      <c r="G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</row>
    <row r="65" spans="6:24" x14ac:dyDescent="0.2">
      <c r="F65" s="20"/>
      <c r="G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</row>
    <row r="66" spans="6:24" x14ac:dyDescent="0.2">
      <c r="F66" s="20"/>
      <c r="G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</row>
    <row r="67" spans="6:24" x14ac:dyDescent="0.2">
      <c r="F67" s="20"/>
      <c r="G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</row>
    <row r="68" spans="6:24" x14ac:dyDescent="0.2">
      <c r="F68" s="20"/>
      <c r="G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</row>
    <row r="69" spans="6:24" x14ac:dyDescent="0.2">
      <c r="F69" s="20"/>
      <c r="G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</row>
    <row r="70" spans="6:24" x14ac:dyDescent="0.2">
      <c r="F70" s="20"/>
      <c r="G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</row>
    <row r="71" spans="6:24" x14ac:dyDescent="0.2">
      <c r="O71" s="20"/>
      <c r="P71" s="20"/>
      <c r="Q71" s="20"/>
      <c r="R71" s="20"/>
      <c r="S71" s="20"/>
      <c r="T71" s="20"/>
      <c r="U71" s="20"/>
      <c r="V71" s="20"/>
      <c r="W71" s="20"/>
    </row>
    <row r="72" spans="6:24" x14ac:dyDescent="0.2">
      <c r="O72" s="20"/>
      <c r="P72" s="20"/>
      <c r="Q72" s="20"/>
      <c r="R72" s="20"/>
      <c r="S72" s="20"/>
      <c r="T72" s="20"/>
    </row>
    <row r="73" spans="6:24" x14ac:dyDescent="0.2">
      <c r="O73" s="20"/>
      <c r="P73" s="20"/>
      <c r="Q73" s="20"/>
      <c r="R73" s="20"/>
      <c r="S73" s="20"/>
      <c r="T73" s="20"/>
    </row>
    <row r="74" spans="6:24" x14ac:dyDescent="0.2">
      <c r="P74" s="20"/>
      <c r="Q74" s="20"/>
      <c r="R74" s="20"/>
      <c r="S74" s="20"/>
      <c r="T74" s="20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8.83203125" style="1"/>
  </cols>
  <sheetData>
    <row r="1" spans="1:2" s="1" customFormat="1" x14ac:dyDescent="0.2">
      <c r="A1" s="1" t="s">
        <v>22</v>
      </c>
      <c r="B1" s="1" t="s">
        <v>23</v>
      </c>
    </row>
    <row r="2" spans="1:2" x14ac:dyDescent="0.2">
      <c r="A2" s="1">
        <v>2010</v>
      </c>
    </row>
    <row r="3" spans="1:2" x14ac:dyDescent="0.2">
      <c r="A3" s="1">
        <v>2011</v>
      </c>
    </row>
    <row r="4" spans="1:2" x14ac:dyDescent="0.2">
      <c r="A4" s="1">
        <v>2012</v>
      </c>
    </row>
    <row r="5" spans="1:2" x14ac:dyDescent="0.2">
      <c r="A5" s="1">
        <v>2013</v>
      </c>
    </row>
    <row r="6" spans="1:2" x14ac:dyDescent="0.2">
      <c r="A6" s="1">
        <v>2014</v>
      </c>
    </row>
    <row r="7" spans="1:2" x14ac:dyDescent="0.2">
      <c r="A7" s="1">
        <v>2015</v>
      </c>
    </row>
    <row r="8" spans="1:2" x14ac:dyDescent="0.2">
      <c r="A8" s="1">
        <v>2016</v>
      </c>
    </row>
    <row r="9" spans="1:2" x14ac:dyDescent="0.2">
      <c r="A9" s="1">
        <v>2017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"/>
  <sheetViews>
    <sheetView zoomScale="120" zoomScaleNormal="120" workbookViewId="0">
      <selection activeCell="A16" sqref="A16"/>
    </sheetView>
  </sheetViews>
  <sheetFormatPr baseColWidth="10" defaultColWidth="8.83203125" defaultRowHeight="15" x14ac:dyDescent="0.2"/>
  <cols>
    <col min="1" max="1" width="25.33203125" customWidth="1"/>
    <col min="2" max="2" width="9.1640625" bestFit="1" customWidth="1"/>
  </cols>
  <sheetData>
    <row r="1" spans="1:12" x14ac:dyDescent="0.2">
      <c r="A1" t="s">
        <v>25</v>
      </c>
    </row>
    <row r="2" spans="1:12" x14ac:dyDescent="0.2">
      <c r="K2" s="16"/>
      <c r="L2" s="16"/>
    </row>
    <row r="3" spans="1:12" x14ac:dyDescent="0.2">
      <c r="A3" t="s">
        <v>45</v>
      </c>
      <c r="B3" s="19">
        <v>1273954</v>
      </c>
    </row>
    <row r="4" spans="1:12" x14ac:dyDescent="0.2">
      <c r="B4" s="11"/>
    </row>
    <row r="5" spans="1:12" x14ac:dyDescent="0.2">
      <c r="A5" s="18" t="s">
        <v>46</v>
      </c>
    </row>
    <row r="6" spans="1:12" x14ac:dyDescent="0.2">
      <c r="A6" s="18" t="s">
        <v>47</v>
      </c>
      <c r="B6" s="19">
        <v>88723</v>
      </c>
    </row>
    <row r="7" spans="1:12" x14ac:dyDescent="0.2">
      <c r="A7" s="18" t="s">
        <v>48</v>
      </c>
      <c r="B7" s="19">
        <v>43664</v>
      </c>
    </row>
    <row r="8" spans="1:12" x14ac:dyDescent="0.2">
      <c r="A8" s="18" t="s">
        <v>49</v>
      </c>
      <c r="B8" s="38">
        <v>230191</v>
      </c>
      <c r="C8" s="16"/>
      <c r="D8" s="16"/>
      <c r="E8" s="16"/>
      <c r="F8" s="16"/>
      <c r="G8" s="16"/>
    </row>
    <row r="9" spans="1:12" x14ac:dyDescent="0.2">
      <c r="A9" s="18" t="s">
        <v>50</v>
      </c>
      <c r="B9" s="38">
        <v>590551</v>
      </c>
    </row>
    <row r="10" spans="1:12" x14ac:dyDescent="0.2">
      <c r="A10" s="17"/>
      <c r="B10" s="12"/>
    </row>
    <row r="11" spans="1:12" x14ac:dyDescent="0.2">
      <c r="A11" s="17"/>
      <c r="B11" s="12"/>
    </row>
    <row r="12" spans="1:12" x14ac:dyDescent="0.2">
      <c r="A12" s="17"/>
      <c r="B12" s="12"/>
    </row>
    <row r="13" spans="1:12" x14ac:dyDescent="0.2">
      <c r="B13" s="12" t="s">
        <v>53</v>
      </c>
    </row>
    <row r="14" spans="1:12" x14ac:dyDescent="0.2">
      <c r="A14" t="s">
        <v>52</v>
      </c>
      <c r="B14" s="12" t="s">
        <v>51</v>
      </c>
    </row>
    <row r="15" spans="1:12" x14ac:dyDescent="0.2">
      <c r="A15" t="s">
        <v>55</v>
      </c>
      <c r="B15" s="12" t="s">
        <v>54</v>
      </c>
    </row>
  </sheetData>
  <hyperlinks>
    <hyperlink ref="B14" r:id="rId1" xr:uid="{A4CEB6E2-8D77-4C48-B53E-278EF0FBD290}"/>
    <hyperlink ref="B13" r:id="rId2" xr:uid="{71B43C7A-2AB9-1740-BE71-7D9DD5F7BAE3}"/>
    <hyperlink ref="B15" r:id="rId3" xr:uid="{808546C0-802E-9D41-84F9-7E6EA861378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D82F-C49B-E645-9ED1-742B79A009E4}">
  <dimension ref="A1:C27"/>
  <sheetViews>
    <sheetView workbookViewId="0"/>
  </sheetViews>
  <sheetFormatPr baseColWidth="10" defaultRowHeight="15" x14ac:dyDescent="0.2"/>
  <cols>
    <col min="1" max="1" width="13" bestFit="1" customWidth="1"/>
    <col min="2" max="2" width="52" customWidth="1"/>
    <col min="3" max="3" width="32" customWidth="1"/>
  </cols>
  <sheetData>
    <row r="1" spans="1:3" ht="16" x14ac:dyDescent="0.2">
      <c r="A1" s="27" t="s">
        <v>29</v>
      </c>
      <c r="B1" s="28" t="s">
        <v>30</v>
      </c>
      <c r="C1" s="29" t="s">
        <v>36</v>
      </c>
    </row>
    <row r="2" spans="1:3" ht="16" x14ac:dyDescent="0.2">
      <c r="A2" s="27" t="s">
        <v>32</v>
      </c>
      <c r="B2" s="30" t="s">
        <v>28</v>
      </c>
      <c r="C2" s="31"/>
    </row>
    <row r="3" spans="1:3" ht="48" x14ac:dyDescent="0.2">
      <c r="A3" s="32" t="s">
        <v>31</v>
      </c>
      <c r="B3" s="26" t="s">
        <v>37</v>
      </c>
      <c r="C3" s="33" t="s">
        <v>38</v>
      </c>
    </row>
    <row r="4" spans="1:3" ht="16" x14ac:dyDescent="0.2">
      <c r="A4" s="34" t="s">
        <v>33</v>
      </c>
      <c r="B4" s="30" t="s">
        <v>27</v>
      </c>
      <c r="C4" s="31"/>
    </row>
    <row r="5" spans="1:3" ht="32" x14ac:dyDescent="0.2">
      <c r="A5" s="34" t="s">
        <v>34</v>
      </c>
      <c r="B5" s="25" t="s">
        <v>35</v>
      </c>
      <c r="C5" s="35" t="s">
        <v>39</v>
      </c>
    </row>
    <row r="6" spans="1:3" ht="16" x14ac:dyDescent="0.2">
      <c r="A6" s="34" t="s">
        <v>40</v>
      </c>
      <c r="B6" s="25" t="s">
        <v>41</v>
      </c>
      <c r="C6" s="35" t="s">
        <v>39</v>
      </c>
    </row>
    <row r="7" spans="1:3" ht="16" x14ac:dyDescent="0.2">
      <c r="A7" s="34" t="s">
        <v>42</v>
      </c>
      <c r="B7" s="26" t="s">
        <v>43</v>
      </c>
      <c r="C7" s="36" t="s">
        <v>39</v>
      </c>
    </row>
    <row r="8" spans="1:3" x14ac:dyDescent="0.2">
      <c r="A8" s="37" t="s">
        <v>44</v>
      </c>
    </row>
    <row r="9" spans="1:3" x14ac:dyDescent="0.2">
      <c r="B9" s="24"/>
    </row>
    <row r="10" spans="1:3" x14ac:dyDescent="0.2">
      <c r="A10" s="1" t="s">
        <v>24</v>
      </c>
      <c r="B10" s="24"/>
    </row>
    <row r="11" spans="1:3" x14ac:dyDescent="0.2">
      <c r="B11" s="24"/>
    </row>
    <row r="12" spans="1:3" x14ac:dyDescent="0.2">
      <c r="B12" s="24"/>
    </row>
    <row r="13" spans="1:3" x14ac:dyDescent="0.2">
      <c r="B13" s="24"/>
    </row>
    <row r="14" spans="1:3" x14ac:dyDescent="0.2">
      <c r="B14" s="24"/>
    </row>
    <row r="15" spans="1:3" x14ac:dyDescent="0.2">
      <c r="B15" s="24"/>
    </row>
    <row r="16" spans="1:3" x14ac:dyDescent="0.2">
      <c r="B16" s="24"/>
    </row>
    <row r="17" spans="2:2" x14ac:dyDescent="0.2">
      <c r="B17" s="24"/>
    </row>
    <row r="18" spans="2:2" x14ac:dyDescent="0.2">
      <c r="B18" s="24"/>
    </row>
    <row r="19" spans="2:2" x14ac:dyDescent="0.2">
      <c r="B19" s="24"/>
    </row>
    <row r="20" spans="2:2" x14ac:dyDescent="0.2">
      <c r="B20" s="24"/>
    </row>
    <row r="21" spans="2:2" x14ac:dyDescent="0.2">
      <c r="B21" s="24"/>
    </row>
    <row r="22" spans="2:2" x14ac:dyDescent="0.2">
      <c r="B22" s="24"/>
    </row>
    <row r="23" spans="2:2" x14ac:dyDescent="0.2">
      <c r="B23" s="24"/>
    </row>
    <row r="24" spans="2:2" x14ac:dyDescent="0.2">
      <c r="B24" s="24"/>
    </row>
    <row r="25" spans="2:2" x14ac:dyDescent="0.2">
      <c r="B25" s="24"/>
    </row>
    <row r="26" spans="2:2" x14ac:dyDescent="0.2">
      <c r="B26" s="24"/>
    </row>
    <row r="27" spans="2:2" x14ac:dyDescent="0.2">
      <c r="B27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Stratified_Data</vt:lpstr>
      <vt:lpstr>Total_Data</vt:lpstr>
      <vt:lpstr>Comments</vt:lpstr>
      <vt:lpstr>Indicator definitions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2020-05-23T13:38:33Z</dcterms:created>
  <dcterms:modified xsi:type="dcterms:W3CDTF">2020-08-06T16:59:09Z</dcterms:modified>
</cp:coreProperties>
</file>