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36" yWindow="456" windowWidth="28764" windowHeight="15936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G13" i="1"/>
  <c r="G12" i="1"/>
  <c r="G11" i="1"/>
  <c r="G10" i="1"/>
  <c r="G9" i="1"/>
  <c r="H13" i="1"/>
  <c r="H12" i="1"/>
  <c r="H11" i="1"/>
  <c r="H10" i="1"/>
  <c r="H9" i="1"/>
  <c r="J13" i="1"/>
  <c r="J12" i="1"/>
  <c r="J11" i="1"/>
  <c r="J10" i="1"/>
  <c r="J9" i="1"/>
  <c r="I6" i="1"/>
  <c r="I13" i="1"/>
  <c r="I12" i="1"/>
  <c r="I11" i="1"/>
  <c r="I10" i="1"/>
  <c r="I9" i="1"/>
  <c r="K13" i="1"/>
  <c r="K12" i="1"/>
  <c r="K11" i="1"/>
  <c r="K10" i="1"/>
  <c r="K9" i="1"/>
  <c r="K6" i="1"/>
</calcChain>
</file>

<file path=xl/sharedStrings.xml><?xml version="1.0" encoding="utf-8"?>
<sst xmlns="http://schemas.openxmlformats.org/spreadsheetml/2006/main" count="45" uniqueCount="39">
  <si>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</si>
  <si>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</si>
  <si>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</si>
  <si>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</si>
  <si>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</si>
  <si>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</si>
  <si>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</si>
  <si>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</si>
  <si>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</si>
  <si>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</si>
  <si>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</si>
  <si>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</si>
  <si>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</si>
  <si>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</si>
  <si>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</si>
  <si>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</si>
  <si>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</si>
  <si>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</si>
  <si>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</si>
  <si>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</si>
  <si>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</si>
  <si>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</si>
  <si>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</si>
  <si>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</si>
  <si>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Specific EHE priority counties: </t>
  </si>
  <si>
    <t>--&gt; Atlanta, Sandy Springs, Alpharetta all cities in Fulton</t>
  </si>
  <si>
    <t xml:space="preserve">These are also the top 4 counties making up this MSA (by population) </t>
  </si>
  <si>
    <t>Fulton County (1,063,937)</t>
  </si>
  <si>
    <t>Gwinnett County (936,250)</t>
  </si>
  <si>
    <t>Cobb County (760,141)</t>
  </si>
  <si>
    <t>DeKalb County (759,297)</t>
  </si>
  <si>
    <t xml:space="preserve">Data from Georgia DPH: </t>
  </si>
  <si>
    <t>https://dph.georgia.gov/georgias-hivaids-epidemiology-section/georgia-hiv-surveillance-data</t>
  </si>
  <si>
    <t xml:space="preserve">file:///Users/melissaschnure/Downloads/HIV_Integrated_Epi_Profile_Georgia_2016.pdf </t>
  </si>
  <si>
    <t>https://dph.georgia.gov/hiv-care-continuum-georgia-district#District%20Tables</t>
  </si>
  <si>
    <t xml:space="preserve"> </t>
  </si>
  <si>
    <t>Using data from the Integrated Epi Profile for Fulton/DeKalb Counties - only for 2014 though</t>
  </si>
  <si>
    <t xml:space="preserve">And Care Continuum for 2014 by District: </t>
  </si>
  <si>
    <t xml:space="preserve">Specifically, Integrated Epi Profile for 2014: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</si>
</sst>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ph.georgia.gov/hiv-care-continuum-georgia-district" TargetMode="External"/><Relationship Id="rId2" Type="http://schemas.openxmlformats.org/officeDocument/2006/relationships/hyperlink" Target="../../../../../../../Downloads/HIV_Integrated_Epi_Profile_Georgia_2016.pdf" TargetMode="External"/><Relationship Id="rId1" Type="http://schemas.openxmlformats.org/officeDocument/2006/relationships/hyperlink" Target="https://dph.georgia.gov/georgias-hivaids-epidemiology-section/georgia-hiv-surveillance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ColWidth="8.77734375" defaultRowHeight="14.4" x14ac:dyDescent="0.3"/>
  <cols>
    <col min="1" max="1" width="13.33203125" style="1" customWidth="1"/>
  </cols>
  <sheetData>
    <row r="1" spans="1:11" s="1" customFormat="1" x14ac:dyDescent="0.3">
      <c r="A1" s="1" t="s">
        <v>22</v>
      </c>
      <c r="B1" s="1" t="s">
        <v>16</v>
      </c>
      <c r="C1" s="1" t="s">
        <v>21</v>
      </c>
      <c r="D1" s="1" t="s">
        <v>16</v>
      </c>
      <c r="E1" s="1" t="s">
        <v>21</v>
      </c>
      <c r="F1" s="1" t="s">
        <v>18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</row>
    <row r="2" spans="1:11" s="1" customFormat="1" x14ac:dyDescent="0.3">
      <c r="A2" s="1" t="s">
        <v>15</v>
      </c>
      <c r="B2" s="1">
        <v>2016</v>
      </c>
      <c r="C2" s="1">
        <v>2016</v>
      </c>
      <c r="D2" s="1">
        <v>2015</v>
      </c>
      <c r="E2" s="1">
        <v>2015</v>
      </c>
      <c r="F2" s="1">
        <v>2015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</row>
    <row r="3" spans="1:11" s="5" customFormat="1" x14ac:dyDescent="0.3">
      <c r="A3" s="4" t="s">
        <v>0</v>
      </c>
      <c r="B3" s="5">
        <v>0.48</v>
      </c>
      <c r="C3" s="5">
        <v>0.6</v>
      </c>
      <c r="D3" s="5">
        <v>0.49</v>
      </c>
      <c r="E3" s="5">
        <v>0.62</v>
      </c>
      <c r="F3" s="5">
        <v>0.73</v>
      </c>
      <c r="G3" s="5">
        <v>0.46</v>
      </c>
      <c r="I3" s="5">
        <v>24997</v>
      </c>
      <c r="K3" s="5">
        <v>1096</v>
      </c>
    </row>
    <row r="4" spans="1:11" s="7" customFormat="1" x14ac:dyDescent="0.3">
      <c r="A4" s="6" t="s">
        <v>1</v>
      </c>
      <c r="D4" s="7">
        <v>0.47</v>
      </c>
      <c r="G4" s="7">
        <v>0.42</v>
      </c>
      <c r="H4" s="7">
        <v>0.59</v>
      </c>
      <c r="I4" s="7">
        <v>17265</v>
      </c>
      <c r="J4" s="7">
        <v>0.53</v>
      </c>
      <c r="K4" s="7">
        <v>759</v>
      </c>
    </row>
    <row r="5" spans="1:11" s="9" customFormat="1" x14ac:dyDescent="0.3">
      <c r="A5" s="8" t="s">
        <v>2</v>
      </c>
      <c r="D5" s="9">
        <v>0.52</v>
      </c>
      <c r="G5" s="9">
        <v>0.44</v>
      </c>
      <c r="H5" s="9">
        <v>0.57999999999999996</v>
      </c>
      <c r="I5" s="9">
        <v>1223</v>
      </c>
      <c r="J5" s="9">
        <v>0.69</v>
      </c>
      <c r="K5" s="10">
        <v>60</v>
      </c>
    </row>
    <row r="6" spans="1:11" s="3" customFormat="1" x14ac:dyDescent="0.3">
      <c r="A6" s="2" t="s">
        <v>3</v>
      </c>
      <c r="D6" s="3">
        <v>0.55000000000000004</v>
      </c>
      <c r="G6" s="3">
        <v>0.52</v>
      </c>
      <c r="H6" s="3">
        <v>0.6</v>
      </c>
      <c r="I6" s="3">
        <f>SUM(4495,94,10,11,873,1026)</f>
        <v>6509</v>
      </c>
      <c r="J6" s="3">
        <v>0.66</v>
      </c>
      <c r="K6" s="3">
        <f>SUM(113,9,5,19,135)</f>
        <v>281</v>
      </c>
    </row>
    <row r="7" spans="1:11" s="7" customFormat="1" x14ac:dyDescent="0.3">
      <c r="A7" s="6" t="s">
        <v>4</v>
      </c>
      <c r="D7" s="7">
        <v>0.5</v>
      </c>
      <c r="G7" s="7">
        <v>0.45</v>
      </c>
      <c r="H7" s="7">
        <v>0.59</v>
      </c>
      <c r="I7" s="7">
        <v>20606</v>
      </c>
      <c r="J7" s="7">
        <v>0.55000000000000004</v>
      </c>
      <c r="K7" s="7">
        <v>925</v>
      </c>
    </row>
    <row r="8" spans="1:11" s="3" customFormat="1" x14ac:dyDescent="0.3">
      <c r="A8" s="2" t="s">
        <v>5</v>
      </c>
      <c r="D8" s="3">
        <v>0.46</v>
      </c>
      <c r="F8" s="9"/>
      <c r="G8" s="3">
        <v>0.43</v>
      </c>
      <c r="H8" s="3">
        <v>0.61</v>
      </c>
      <c r="I8" s="3">
        <v>4336</v>
      </c>
      <c r="J8" s="9">
        <v>0.63</v>
      </c>
      <c r="K8" s="3">
        <v>169</v>
      </c>
    </row>
    <row r="9" spans="1:11" s="7" customFormat="1" x14ac:dyDescent="0.3">
      <c r="A9" s="6" t="s">
        <v>6</v>
      </c>
      <c r="B9" s="16"/>
      <c r="C9" s="16"/>
      <c r="D9" s="16">
        <f>AVERAGE(0.52,0.42)</f>
        <v>0.47</v>
      </c>
      <c r="E9" s="16"/>
      <c r="F9" s="16"/>
      <c r="G9" s="16">
        <f>(((2/3)*0.55)+((1/3)*0.35))</f>
        <v>0.48333333333333334</v>
      </c>
      <c r="H9" s="16">
        <f>(((2/3)*0.72)+((1/3)*0.62))</f>
        <v>0.68666666666666665</v>
      </c>
      <c r="I9" s="7">
        <f>SUM(120,(3148/2))</f>
        <v>1694</v>
      </c>
      <c r="J9" s="16">
        <f>(((2/3)*0.64)+((1/3)*0.5))</f>
        <v>0.59333333333333327</v>
      </c>
      <c r="K9" s="13">
        <f>SUM(36,(407/2))</f>
        <v>239.5</v>
      </c>
    </row>
    <row r="10" spans="1:11" s="9" customFormat="1" x14ac:dyDescent="0.3">
      <c r="A10" s="8" t="s">
        <v>7</v>
      </c>
      <c r="B10" s="10"/>
      <c r="C10" s="10"/>
      <c r="D10" s="18">
        <f>AVERAGE(0.42,0.45)</f>
        <v>0.435</v>
      </c>
      <c r="E10" s="10"/>
      <c r="F10" s="10"/>
      <c r="G10" s="10">
        <f>AVERAGE(0.35,0.41)</f>
        <v>0.38</v>
      </c>
      <c r="H10" s="10">
        <f>AVERAGE(0.62,0.6)</f>
        <v>0.61</v>
      </c>
      <c r="I10" s="9">
        <f>SUM((3148/2),(5414/2))</f>
        <v>4281</v>
      </c>
      <c r="J10" s="10">
        <f>AVERAGE(0.5,0.58)</f>
        <v>0.54</v>
      </c>
      <c r="K10" s="9">
        <f>SUM((407/2),(281/2))</f>
        <v>344</v>
      </c>
    </row>
    <row r="11" spans="1:11" s="9" customFormat="1" x14ac:dyDescent="0.3">
      <c r="A11" s="8" t="s">
        <v>8</v>
      </c>
      <c r="B11" s="15"/>
      <c r="C11" s="15"/>
      <c r="D11" s="15">
        <f>AVERAGE(0.45,0.51)</f>
        <v>0.48</v>
      </c>
      <c r="E11" s="15"/>
      <c r="G11" s="15">
        <f>AVERAGE(0.41,0.47)</f>
        <v>0.43999999999999995</v>
      </c>
      <c r="H11" s="15">
        <f>AVERAGE(0.6,0.6)</f>
        <v>0.6</v>
      </c>
      <c r="I11" s="9">
        <f>SUM((5414/2),(7244/2))</f>
        <v>6329</v>
      </c>
      <c r="J11" s="9">
        <f>AVERAGE(0.58,0.54)</f>
        <v>0.56000000000000005</v>
      </c>
      <c r="K11" s="9">
        <f>SUM((281/2),(213/2))</f>
        <v>247</v>
      </c>
    </row>
    <row r="12" spans="1:11" s="9" customFormat="1" x14ac:dyDescent="0.3">
      <c r="A12" s="8" t="s">
        <v>9</v>
      </c>
      <c r="D12" s="15">
        <f>AVERAGE(0.51,0.52)</f>
        <v>0.51500000000000001</v>
      </c>
      <c r="G12" s="9">
        <f>AVERAGE(0.47,0.47)</f>
        <v>0.47</v>
      </c>
      <c r="H12" s="9">
        <f>AVERAGE(0.6,0.58)</f>
        <v>0.59</v>
      </c>
      <c r="I12" s="14">
        <f>SUM((7244/2),(6641/2))</f>
        <v>6942.5</v>
      </c>
      <c r="J12" s="9">
        <f>AVERAGE(0.54,0.72)</f>
        <v>0.63</v>
      </c>
      <c r="K12" s="14">
        <f>SUM((213/2),(128/2))</f>
        <v>170.5</v>
      </c>
    </row>
    <row r="13" spans="1:11" s="3" customFormat="1" x14ac:dyDescent="0.3">
      <c r="A13" s="2" t="s">
        <v>10</v>
      </c>
      <c r="B13" s="17"/>
      <c r="C13" s="17"/>
      <c r="D13" s="17">
        <v>0.52</v>
      </c>
      <c r="E13" s="17"/>
      <c r="G13" s="17">
        <f>AVERAGE(0.47,0.47)</f>
        <v>0.47</v>
      </c>
      <c r="H13" s="17">
        <f>AVERAGE(0.58,0.55)</f>
        <v>0.56499999999999995</v>
      </c>
      <c r="I13" s="14">
        <f>SUM((6641/2),2377)</f>
        <v>5697.5</v>
      </c>
      <c r="J13" s="3">
        <f>AVERAGE(0.72,0.62)</f>
        <v>0.66999999999999993</v>
      </c>
      <c r="K13" s="3">
        <f>SUM((128/2),29)</f>
        <v>93</v>
      </c>
    </row>
    <row r="14" spans="1:11" s="7" customFormat="1" x14ac:dyDescent="0.3">
      <c r="A14" s="6" t="s">
        <v>11</v>
      </c>
      <c r="G14" s="7">
        <v>0.46</v>
      </c>
      <c r="H14" s="7">
        <v>0.61</v>
      </c>
      <c r="I14" s="7">
        <v>16592</v>
      </c>
      <c r="J14" s="7">
        <v>0.55000000000000004</v>
      </c>
      <c r="K14" s="7">
        <v>714</v>
      </c>
    </row>
    <row r="15" spans="1:11" s="9" customFormat="1" x14ac:dyDescent="0.3">
      <c r="A15" s="8" t="s">
        <v>12</v>
      </c>
      <c r="G15" s="9">
        <v>0.36</v>
      </c>
      <c r="H15" s="9">
        <v>0.49</v>
      </c>
      <c r="I15" s="9">
        <v>1532</v>
      </c>
      <c r="J15" s="9">
        <v>0.53</v>
      </c>
      <c r="K15" s="10">
        <v>26</v>
      </c>
    </row>
    <row r="16" spans="1:11" s="9" customFormat="1" x14ac:dyDescent="0.3">
      <c r="A16" s="8" t="s">
        <v>13</v>
      </c>
      <c r="B16" s="10"/>
      <c r="D16" s="10"/>
      <c r="G16" s="10">
        <v>0.39</v>
      </c>
      <c r="H16" s="9">
        <v>0.54</v>
      </c>
      <c r="I16" s="9">
        <v>1263</v>
      </c>
      <c r="J16" s="9">
        <v>0.49</v>
      </c>
      <c r="K16" s="10">
        <v>20</v>
      </c>
    </row>
    <row r="17" spans="1:11" s="3" customFormat="1" x14ac:dyDescent="0.3">
      <c r="A17" s="2" t="s">
        <v>14</v>
      </c>
      <c r="G17" s="3">
        <v>0.44</v>
      </c>
      <c r="H17" s="3">
        <v>0.62</v>
      </c>
      <c r="I17" s="3">
        <v>4361</v>
      </c>
      <c r="J17" s="3">
        <v>0.62</v>
      </c>
      <c r="K17" s="3">
        <v>198</v>
      </c>
    </row>
    <row r="18" spans="1:11" x14ac:dyDescent="0.3">
      <c r="A18" s="1" t="s">
        <v>20</v>
      </c>
      <c r="F18" s="10">
        <v>1</v>
      </c>
      <c r="J18" s="10">
        <v>1</v>
      </c>
    </row>
    <row r="20" spans="1:11" x14ac:dyDescent="0.3">
      <c r="I20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20" zoomScaleNormal="120" workbookViewId="0">
      <selection activeCell="A11" sqref="A11"/>
    </sheetView>
  </sheetViews>
  <sheetFormatPr defaultColWidth="8.77734375" defaultRowHeight="14.4" x14ac:dyDescent="0.3"/>
  <cols>
    <col min="1" max="1" width="25.33203125" customWidth="1"/>
  </cols>
  <sheetData>
    <row r="1" spans="1:2" x14ac:dyDescent="0.3">
      <c r="A1" t="s">
        <v>24</v>
      </c>
    </row>
    <row r="2" spans="1:2" x14ac:dyDescent="0.3">
      <c r="A2" t="s">
        <v>29</v>
      </c>
    </row>
    <row r="3" spans="1:2" x14ac:dyDescent="0.3">
      <c r="A3" t="s">
        <v>30</v>
      </c>
    </row>
    <row r="4" spans="1:2" x14ac:dyDescent="0.3">
      <c r="A4" t="s">
        <v>27</v>
      </c>
      <c r="B4" s="11" t="s">
        <v>25</v>
      </c>
    </row>
    <row r="5" spans="1:2" x14ac:dyDescent="0.3">
      <c r="A5" t="s">
        <v>28</v>
      </c>
    </row>
    <row r="6" spans="1:2" x14ac:dyDescent="0.3">
      <c r="A6" t="s">
        <v>26</v>
      </c>
    </row>
    <row r="9" spans="1:2" x14ac:dyDescent="0.3">
      <c r="A9" t="s">
        <v>31</v>
      </c>
    </row>
    <row r="10" spans="1:2" x14ac:dyDescent="0.3">
      <c r="A10" s="12" t="s">
        <v>32</v>
      </c>
    </row>
    <row r="11" spans="1:2" x14ac:dyDescent="0.3">
      <c r="A11" t="s">
        <v>38</v>
      </c>
    </row>
    <row r="12" spans="1:2" x14ac:dyDescent="0.3">
      <c r="A12" s="12" t="s">
        <v>33</v>
      </c>
    </row>
    <row r="13" spans="1:2" x14ac:dyDescent="0.3">
      <c r="A13" t="s">
        <v>37</v>
      </c>
    </row>
    <row r="14" spans="1:2" x14ac:dyDescent="0.3">
      <c r="A14" s="12" t="s">
        <v>34</v>
      </c>
    </row>
    <row r="16" spans="1:2" x14ac:dyDescent="0.3">
      <c r="A16" t="s">
        <v>36</v>
      </c>
    </row>
  </sheetData>
  <hyperlinks>
    <hyperlink ref="A10" r:id="rId1"/>
    <hyperlink ref="A12" r:id="rId2"/>
    <hyperlink ref="A14" r:id="rId3" location="District%20Tables" display="https://dph.georgia.gov/hiv-care-continuum-georgia-district - District%20Tabl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2020-06-18T13:13:09Z</dcterms:modified>
</cp:coreProperties>
</file>