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odd Fojo\CloudStation\Projects\Ending HIV\Ending_HIV\raw_data\local_continuum\"/>
    </mc:Choice>
  </mc:AlternateContent>
  <bookViews>
    <workbookView xWindow="12084" yWindow="540" windowWidth="26160" windowHeight="19440"/>
  </bookViews>
  <sheets>
    <sheet name="Stratified_Data" sheetId="6" r:id="rId1"/>
    <sheet name="Total_Data" sheetId="7" r:id="rId2"/>
    <sheet name="Comments" sheetId="2" r:id="rId3"/>
    <sheet name="Indicator definitions" sheetId="5" r:id="rId4"/>
  </sheets>
  <calcPr calcId="162913"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7" i="6" l="1"/>
  <c r="T17" i="6"/>
  <c r="S15" i="6"/>
  <c r="T15" i="6"/>
  <c r="S13" i="6"/>
  <c r="T13" i="6"/>
  <c r="S12" i="6"/>
  <c r="T12" i="6"/>
  <c r="S11" i="6"/>
  <c r="T11" i="6"/>
  <c r="S10" i="6"/>
  <c r="T10" i="6"/>
  <c r="S9" i="6"/>
  <c r="T9" i="6"/>
  <c r="U17" i="6"/>
  <c r="U15" i="6"/>
  <c r="U13" i="6"/>
  <c r="U12" i="6"/>
  <c r="U11" i="6"/>
  <c r="U10" i="6"/>
  <c r="U9" i="6"/>
  <c r="N17" i="6"/>
  <c r="O17" i="6"/>
  <c r="N15" i="6"/>
  <c r="O15" i="6"/>
  <c r="N13" i="6"/>
  <c r="O13" i="6"/>
  <c r="N12" i="6"/>
  <c r="O12" i="6"/>
  <c r="N11" i="6"/>
  <c r="O11" i="6"/>
  <c r="N10" i="6"/>
  <c r="O10" i="6"/>
  <c r="N9" i="6"/>
  <c r="O9" i="6"/>
  <c r="P17" i="6"/>
  <c r="P15" i="6"/>
  <c r="P13" i="6"/>
  <c r="P12" i="6"/>
  <c r="P11" i="6"/>
  <c r="P10" i="6"/>
  <c r="P9" i="6"/>
  <c r="I17" i="6"/>
  <c r="J17" i="6"/>
  <c r="I15" i="6"/>
  <c r="J15" i="6"/>
  <c r="I13" i="6"/>
  <c r="J13" i="6"/>
  <c r="I12" i="6"/>
  <c r="J12" i="6"/>
  <c r="I11" i="6"/>
  <c r="J11" i="6"/>
  <c r="I10" i="6"/>
  <c r="J10" i="6"/>
  <c r="I9" i="6"/>
  <c r="J9" i="6"/>
  <c r="K17" i="6"/>
  <c r="K15" i="6"/>
  <c r="K13" i="6"/>
  <c r="K12" i="6"/>
  <c r="K11" i="6"/>
  <c r="K10" i="6"/>
  <c r="K9" i="6"/>
  <c r="D17" i="6"/>
  <c r="E17" i="6"/>
  <c r="D15" i="6"/>
  <c r="E15" i="6"/>
  <c r="D11" i="6"/>
  <c r="E11" i="6"/>
  <c r="D13" i="6"/>
  <c r="E13" i="6"/>
  <c r="D12" i="6"/>
  <c r="E12" i="6"/>
  <c r="D10" i="6"/>
  <c r="E10" i="6"/>
  <c r="D9" i="6"/>
  <c r="E9" i="6"/>
  <c r="F17" i="6"/>
  <c r="F15" i="6"/>
  <c r="F13" i="6"/>
  <c r="F12" i="6"/>
  <c r="F11" i="6"/>
  <c r="F10" i="6"/>
  <c r="F9" i="6"/>
  <c r="B17" i="6"/>
  <c r="C17" i="6"/>
  <c r="B15" i="6"/>
  <c r="C15" i="6"/>
  <c r="B13" i="6"/>
  <c r="C13" i="6"/>
  <c r="B12" i="6"/>
  <c r="C12" i="6"/>
  <c r="B11" i="6"/>
  <c r="C11" i="6"/>
  <c r="B10" i="6"/>
  <c r="C10" i="6"/>
  <c r="B9" i="6"/>
  <c r="C9" i="6"/>
  <c r="G17" i="6"/>
  <c r="H17" i="6"/>
  <c r="G15" i="6"/>
  <c r="H15" i="6"/>
  <c r="G13" i="6"/>
  <c r="H13" i="6"/>
  <c r="G12" i="6"/>
  <c r="H12" i="6"/>
  <c r="G11" i="6"/>
  <c r="H11" i="6"/>
  <c r="G10" i="6"/>
  <c r="H10" i="6"/>
  <c r="G9" i="6"/>
  <c r="H9" i="6"/>
  <c r="L17" i="6"/>
  <c r="M17" i="6"/>
  <c r="L15" i="6"/>
  <c r="M15" i="6"/>
  <c r="L13" i="6"/>
  <c r="M13" i="6"/>
  <c r="L12" i="6"/>
  <c r="M12" i="6"/>
  <c r="L11" i="6"/>
  <c r="M11" i="6"/>
  <c r="L10" i="6"/>
  <c r="M10" i="6"/>
  <c r="L9" i="6"/>
  <c r="M9" i="6"/>
  <c r="Q17" i="6"/>
  <c r="R17" i="6"/>
  <c r="R16" i="6"/>
  <c r="Q15" i="6"/>
  <c r="R15" i="6"/>
  <c r="Q13" i="6"/>
  <c r="R13" i="6"/>
  <c r="Q12" i="6"/>
  <c r="R12" i="6"/>
  <c r="Q11" i="6"/>
  <c r="R11" i="6"/>
  <c r="Q10" i="6"/>
  <c r="R10" i="6"/>
  <c r="Q9" i="6"/>
  <c r="R9" i="6"/>
  <c r="G9" i="7"/>
  <c r="F9" i="7"/>
  <c r="E9" i="7"/>
  <c r="C9" i="7"/>
  <c r="G8" i="7"/>
  <c r="F8" i="7"/>
  <c r="E8" i="7"/>
  <c r="C8" i="7"/>
  <c r="G7" i="7"/>
  <c r="F7" i="7"/>
  <c r="E7" i="7"/>
  <c r="C7" i="7"/>
  <c r="G6" i="7"/>
  <c r="F6" i="7"/>
  <c r="E6" i="7"/>
  <c r="C6" i="7"/>
  <c r="G2" i="7"/>
  <c r="F2" i="7"/>
  <c r="E2" i="7"/>
  <c r="C2" i="7"/>
  <c r="G3" i="7"/>
  <c r="F3" i="7"/>
  <c r="E3" i="7"/>
  <c r="C3" i="7"/>
  <c r="G4" i="7"/>
  <c r="F4" i="7"/>
  <c r="E4" i="7"/>
  <c r="C4" i="7"/>
  <c r="G5" i="7"/>
  <c r="F5" i="7"/>
  <c r="E5" i="7"/>
  <c r="C5" i="7"/>
  <c r="F3" i="6"/>
  <c r="E3" i="6"/>
  <c r="C3" i="6"/>
  <c r="K3" i="6"/>
  <c r="J3" i="6"/>
  <c r="H3" i="6"/>
  <c r="P3" i="6"/>
  <c r="O3" i="6"/>
  <c r="M3" i="6"/>
  <c r="U3" i="6"/>
  <c r="T3" i="6"/>
  <c r="R3" i="6"/>
</calcChain>
</file>

<file path=xl/comments1.xml><?xml version="1.0" encoding="utf-8"?>
<comments xmlns="http://schemas.openxmlformats.org/spreadsheetml/2006/main">
  <authors>
    <author>tc={51D9DE27-C023-D543-ACE0-E2D96F4536B3}</author>
  </authors>
  <commentList>
    <comment ref="C1"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3 months</t>
        </r>
      </text>
    </comment>
  </commentList>
</comments>
</file>

<file path=xl/sharedStrings.xml><?xml version="1.0" encoding="utf-8"?>
<sst xmlns="http://schemas.openxmlformats.org/spreadsheetml/2006/main" count="102" uniqueCount="77">
  <si>
    <t>Total</t>
  </si>
  <si>
    <t>Black</t>
  </si>
  <si>
    <t>Hispanic</t>
  </si>
  <si>
    <t>Other</t>
  </si>
  <si>
    <t>Male</t>
  </si>
  <si>
    <t>Female</t>
  </si>
  <si>
    <t>13-24</t>
  </si>
  <si>
    <t>25-34</t>
  </si>
  <si>
    <t>35-44</t>
  </si>
  <si>
    <t>45-54</t>
  </si>
  <si>
    <t>55+</t>
  </si>
  <si>
    <t>MSM</t>
  </si>
  <si>
    <t>IDU</t>
  </si>
  <si>
    <t>MSM+IDU</t>
  </si>
  <si>
    <t>Heterosexual</t>
  </si>
  <si>
    <t>Year</t>
  </si>
  <si>
    <t>suppressed</t>
  </si>
  <si>
    <t>prevalent</t>
  </si>
  <si>
    <t>linked</t>
  </si>
  <si>
    <t>new</t>
  </si>
  <si>
    <t>Months</t>
  </si>
  <si>
    <t>engaged</t>
  </si>
  <si>
    <t>Data_Type</t>
  </si>
  <si>
    <t xml:space="preserve"> </t>
  </si>
  <si>
    <t xml:space="preserve">Specific EHE priority counties: </t>
  </si>
  <si>
    <t>retained</t>
  </si>
  <si>
    <t>Individuals living with diagnosed HIV</t>
  </si>
  <si>
    <t>Individuals diagnosed with HIV in that year</t>
  </si>
  <si>
    <t>Indicator</t>
  </si>
  <si>
    <t>Definition</t>
  </si>
  <si>
    <t>Linked (%)</t>
  </si>
  <si>
    <t>New (n)</t>
  </si>
  <si>
    <t>Prevalent (n)</t>
  </si>
  <si>
    <t>Engaged (%)</t>
  </si>
  <si>
    <t>“Receipt of care” (defined as ≥1 test (CD4 or viral load)), or “In care”  (documented care ≥1 time)</t>
  </si>
  <si>
    <t>Denominator</t>
  </si>
  <si>
    <t>Individuals who visited an HIV heath care provider (had ≥1 documented test) within 1 month after receiving a diagnosis of HIV</t>
  </si>
  <si>
    <t>Individuals receiving a diagnosis of HIV in a given year</t>
  </si>
  <si>
    <t>Diagnosed HIV</t>
  </si>
  <si>
    <t xml:space="preserve">Retained (%) </t>
  </si>
  <si>
    <t>Individuals with ≥2 tests (CD4 or VL) ≥3 months apart</t>
  </si>
  <si>
    <t xml:space="preserve">Suppressed (%) </t>
  </si>
  <si>
    <t>Individuals with &lt;200 copies/mL on the most recent VL test</t>
  </si>
  <si>
    <t>*New (n) and linked (%) should come from same level/source (e.g. state vs. county); while prevalent (n) and engaged/retained/suppressed (%) should come from the same source</t>
  </si>
  <si>
    <t>Franklin County</t>
  </si>
  <si>
    <t>Delaware County</t>
  </si>
  <si>
    <t>Licking County</t>
  </si>
  <si>
    <t>Fairfield County</t>
  </si>
  <si>
    <t>Union County</t>
  </si>
  <si>
    <t>Pickaway County</t>
  </si>
  <si>
    <t>Madison County</t>
  </si>
  <si>
    <t>Perry County</t>
  </si>
  <si>
    <t>Morrow County</t>
  </si>
  <si>
    <t>Hocking County</t>
  </si>
  <si>
    <t xml:space="preserve">Other counties in MSA: </t>
  </si>
  <si>
    <t>Ohio data</t>
  </si>
  <si>
    <t xml:space="preserve">Over half of HIV diagnoses reported in Ohio in 2018 were among persons
residing in the three most densely populated counties of the state (Cuyahoga, Franklin, and
Hamilton counties). </t>
  </si>
  <si>
    <t xml:space="preserve">Franklin County accounted for 21 percent of all new diagnoses of HIV
infection reported in 2018, followed by Hamilton County with 19 percent, and Cuyahoga
County, which accounted for 15 percent. </t>
  </si>
  <si>
    <t>Region 1: Defiance, Fulton, Henry, Lucas, Ottawa, Sandusky, Williams, Wood</t>
  </si>
  <si>
    <t>Region 2: Ashland, Crawford, Erie, Huron, Knox, Marion, Richland, Seneca, Wyandot</t>
  </si>
  <si>
    <t>Region 3/Part A-Cleveland: Ashtabula, Cuyahoga, Geauga, Lake, Lorain, Medina</t>
  </si>
  <si>
    <t>Region 4: Columbiana, Mahoning, Portage, Summit, Trumbull</t>
  </si>
  <si>
    <t>Region 5: Carroll, Coshocton, Harrison, Holmes, Jefferson, Stark, Tuscarawas, Wayne</t>
  </si>
  <si>
    <t>Region 6: Athens, Belmont, Guernsey, Meigs, Monroe, Morgan, Muskingum, Noble, Perry, Washington</t>
  </si>
  <si>
    <t>Region 7: Adams, Fayette, Gallia, Hocking, Jackson, Lawrence, Pike, Ross, Scioto, Vinton</t>
  </si>
  <si>
    <t>Region 8: Brown, Butler, Clermont, Clinton, Hamilton, Highland, Warren</t>
  </si>
  <si>
    <t>Region 9: Clark, Darke, Greene, Miami, Montgomery, Preble</t>
  </si>
  <si>
    <t>Region 10: Allen, Auglaize, Champaign, Hancock, Hardin, Logan, Mercer, Paulding, Putnam, Shelby, Van Wert</t>
  </si>
  <si>
    <t>Region 11/Part A-Columbus: Delaware, Fairfield, Franklin, Licking, Madison, Morrow, Pickaway, Union.</t>
  </si>
  <si>
    <t>https://www.hamiltoncountyhealth.org/resources/reports/</t>
  </si>
  <si>
    <t>https://odh.ohio.gov/wps/portal/gov/odh/know-our-programs/hiv-aids-surveillance-program/resources/ohio-hiv-surveillance-annual-report</t>
  </si>
  <si>
    <t>https://odh.ohio.gov/wps/portal/gov/odh/know-our-programs/hiv-aids-surveillance-program/resources/hamilton-county-hiv-surveillance-data-tables</t>
  </si>
  <si>
    <t>https://odh.ohio.gov/wps/portal/gov/odh/know-our-programs/hiv-aids-surveillance-program/Data-and-Statistics/</t>
  </si>
  <si>
    <t>https://odh.ohio.gov/wps/wcm/connect/gov/b152089f-2ddb-435f-8d8f-27dff20afc5b/Ohio+HIV+Care+Continuum+2018.pdf?MOD=AJPERES&amp;CONVERT_TO=url&amp;CACHEID=ROOTWORKSPACE.Z18_M1HGGIK0N0JO00QO9DDDDM3000-b152089f-2ddb-435f-8d8f-27dff20afc5b-n8JdmDj</t>
  </si>
  <si>
    <t>Region 11/Part A-Columbus data: Delaware, Fairfield, Franklin, Licking, Madison, Morrow, Pickaway, Union.</t>
  </si>
  <si>
    <t>Region 11/Part A data</t>
  </si>
  <si>
    <t>https://odh.ohio.gov/wps/wcm/connect/gov/a284d54a-f36f-4b8d-86eb-f8ee91b65eca/Region+11+HIV+Care+Continuum+2018.pdf?MOD=AJPERES&amp;CONVERT_TO=url&amp;CACHEID=ROOTWORKSPACE.Z18_M1HGGIK0N0JO00QO9DDDDM3000-a284d54a-f36f-4b8d-86eb-f8ee91b65eca-niOewEj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</si>
</sst>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s>
  <borders count="11">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9" fontId="3" fillId="0" borderId="0" applyFont="0" applyFill="0" applyBorder="0" applyAlignment="0" applyProtection="0"/>
  </cellStyleXfs>
  <cellXfs count="47">
    <xf numFmtId="0" fontId="0" fillId="0" borderId="0" xfId="0"/>
    <xf numFmtId="0" fontId="1" fillId="0" borderId="0" xfId="0" applyFont="1"/>
    <xf numFmtId="0" fontId="1" fillId="0" borderId="1" xfId="0" applyFont="1" applyBorder="1"/>
    <xf numFmtId="0" fontId="0" fillId="0" borderId="1" xfId="0" applyBorder="1"/>
    <xf numFmtId="0" fontId="1" fillId="0" borderId="2" xfId="0" applyFont="1" applyBorder="1"/>
    <xf numFmtId="0" fontId="0" fillId="0" borderId="2" xfId="0" applyBorder="1"/>
    <xf numFmtId="0" fontId="1" fillId="0" borderId="3" xfId="0" applyFont="1" applyBorder="1"/>
    <xf numFmtId="0" fontId="0" fillId="0" borderId="3" xfId="0" applyBorder="1"/>
    <xf numFmtId="0" fontId="2" fillId="0" borderId="0" xfId="1"/>
    <xf numFmtId="0" fontId="0" fillId="0" borderId="0" xfId="0" applyFill="1"/>
    <xf numFmtId="0" fontId="0" fillId="0" borderId="0" xfId="0" applyFont="1" applyFill="1"/>
    <xf numFmtId="0" fontId="3" fillId="0" borderId="0" xfId="1" applyFont="1"/>
    <xf numFmtId="3" fontId="0" fillId="0" borderId="0" xfId="0" applyNumberFormat="1"/>
    <xf numFmtId="9" fontId="0" fillId="0" borderId="0" xfId="0" applyNumberFormat="1"/>
    <xf numFmtId="0" fontId="0" fillId="0" borderId="0" xfId="2" applyNumberFormat="1" applyFont="1"/>
    <xf numFmtId="3" fontId="0" fillId="0" borderId="0" xfId="2" applyNumberFormat="1" applyFont="1"/>
    <xf numFmtId="0" fontId="0" fillId="0" borderId="0" xfId="0" applyAlignment="1">
      <alignment wrapText="1"/>
    </xf>
    <xf numFmtId="0" fontId="0" fillId="0" borderId="0" xfId="0" applyAlignment="1">
      <alignment horizontal="left" wrapText="1"/>
    </xf>
    <xf numFmtId="0" fontId="0" fillId="0" borderId="1" xfId="0" applyBorder="1" applyAlignment="1">
      <alignment horizontal="left" wrapText="1"/>
    </xf>
    <xf numFmtId="0" fontId="1" fillId="0" borderId="8" xfId="0" applyFont="1" applyBorder="1" applyAlignment="1">
      <alignment horizontal="left"/>
    </xf>
    <xf numFmtId="0" fontId="1" fillId="0" borderId="2" xfId="0" applyFont="1" applyBorder="1" applyAlignment="1">
      <alignment horizontal="left" wrapText="1"/>
    </xf>
    <xf numFmtId="0" fontId="1" fillId="0" borderId="7" xfId="0" applyFont="1" applyBorder="1" applyAlignment="1">
      <alignment horizontal="left"/>
    </xf>
    <xf numFmtId="0" fontId="0" fillId="0" borderId="3" xfId="0" applyBorder="1" applyAlignment="1">
      <alignment horizontal="left" wrapText="1"/>
    </xf>
    <xf numFmtId="0" fontId="0" fillId="0" borderId="4" xfId="0" applyBorder="1" applyAlignment="1">
      <alignment horizontal="left"/>
    </xf>
    <xf numFmtId="0" fontId="1" fillId="0" borderId="10" xfId="0" applyFont="1" applyBorder="1" applyAlignment="1">
      <alignment horizontal="left"/>
    </xf>
    <xf numFmtId="0" fontId="0" fillId="0" borderId="5" xfId="0" applyBorder="1" applyAlignment="1">
      <alignment horizontal="left" wrapText="1"/>
    </xf>
    <xf numFmtId="0" fontId="1" fillId="0" borderId="9" xfId="0" applyFont="1"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0" fillId="0" borderId="3" xfId="0" applyBorder="1" applyAlignment="1">
      <alignment horizontal="left"/>
    </xf>
    <xf numFmtId="3" fontId="0" fillId="0" borderId="0" xfId="0" quotePrefix="1" applyNumberFormat="1"/>
    <xf numFmtId="3" fontId="0" fillId="0" borderId="0" xfId="0" applyNumberFormat="1" applyFill="1"/>
    <xf numFmtId="0" fontId="1" fillId="2" borderId="0" xfId="0" applyFont="1" applyFill="1"/>
    <xf numFmtId="0" fontId="0" fillId="2" borderId="2" xfId="0" applyFill="1" applyBorder="1"/>
    <xf numFmtId="2" fontId="0" fillId="2" borderId="2" xfId="0" applyNumberFormat="1" applyFill="1" applyBorder="1"/>
    <xf numFmtId="2" fontId="0" fillId="2" borderId="3" xfId="0" applyNumberFormat="1" applyFill="1" applyBorder="1"/>
    <xf numFmtId="0" fontId="0" fillId="2" borderId="3" xfId="0" applyFill="1" applyBorder="1"/>
    <xf numFmtId="2" fontId="0" fillId="2" borderId="0" xfId="0" applyNumberFormat="1" applyFill="1"/>
    <xf numFmtId="0" fontId="0" fillId="2" borderId="0" xfId="0" applyFill="1"/>
    <xf numFmtId="1" fontId="0" fillId="3" borderId="0" xfId="0" applyNumberFormat="1" applyFill="1"/>
    <xf numFmtId="2" fontId="0" fillId="3" borderId="0" xfId="0" applyNumberFormat="1" applyFill="1"/>
    <xf numFmtId="0" fontId="0" fillId="3" borderId="0" xfId="0" applyFill="1"/>
    <xf numFmtId="2" fontId="0" fillId="2" borderId="1" xfId="0" applyNumberFormat="1" applyFill="1" applyBorder="1"/>
    <xf numFmtId="0" fontId="0" fillId="2" borderId="1" xfId="0" applyFill="1" applyBorder="1"/>
    <xf numFmtId="0" fontId="0" fillId="0" borderId="0" xfId="0" applyFont="1"/>
    <xf numFmtId="3" fontId="0" fillId="2" borderId="0" xfId="0" applyNumberFormat="1" applyFill="1"/>
    <xf numFmtId="9" fontId="0" fillId="2" borderId="0" xfId="0" applyNumberFormat="1" applyFill="1"/>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elissa Schnure" id="{08ABA770-D953-5345-9395-3DCD60F75302}" userId="S::mschnur3@jh.edu::21ec8bc0-ff32-4afd-8664-2fdf84f1012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8-06T19:51:05.90" personId="{08ABA770-D953-5345-9395-3DCD60F75302}" id="{51D9DE27-C023-D543-ACE0-E2D96F4536B3}">
    <text>3 months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hyperlink" Target="https://odh.ohio.gov/wps/portal/gov/odh/know-our-programs/hiv-aids-surveillance-program/Data-and-Statistics/" TargetMode="External"/><Relationship Id="rId2" Type="http://schemas.openxmlformats.org/officeDocument/2006/relationships/hyperlink" Target="https://odh.ohio.gov/wps/portal/gov/odh/know-our-programs/hiv-aids-surveillance-program/resources/hamilton-county-hiv-surveillance-data-tables" TargetMode="External"/><Relationship Id="rId1" Type="http://schemas.openxmlformats.org/officeDocument/2006/relationships/hyperlink" Target="https://www.hamiltoncountyhealth.org/resources/reports/" TargetMode="External"/><Relationship Id="rId5" Type="http://schemas.openxmlformats.org/officeDocument/2006/relationships/hyperlink" Target="https://odh.ohio.gov/wps/wcm/connect/gov/b152089f-2ddb-435f-8d8f-27dff20afc5b/Ohio+HIV+Care+Continuum+2018.pdf?MOD=AJPERES&amp;CONVERT_TO=url&amp;CACHEID=ROOTWORKSPACE.Z18_M1HGGIK0N0JO00QO9DDDDM3000-b152089f-2ddb-435f-8d8f-27dff20afc5b-n8JdmDj" TargetMode="External"/><Relationship Id="rId4" Type="http://schemas.openxmlformats.org/officeDocument/2006/relationships/hyperlink" Target="https://odh.ohio.gov/wps/portal/gov/odh/know-our-programs/hiv-aids-surveillance-program/resources/ohio-hiv-surveillance-annual-repo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tabSelected="1" zoomScale="120" zoomScaleNormal="120" workbookViewId="0">
      <pane xSplit="1" ySplit="1" topLeftCell="B2" activePane="bottomRight" state="frozen"/>
      <selection pane="topRight" activeCell="B1" sqref="B1"/>
      <selection pane="bottomLeft" activeCell="A2" sqref="A2"/>
      <selection pane="bottomRight" activeCell="T21" sqref="A1:T21"/>
    </sheetView>
  </sheetViews>
  <sheetFormatPr defaultColWidth="8.77734375" defaultRowHeight="14.4" x14ac:dyDescent="0.3"/>
  <cols>
    <col min="1" max="1" width="13.33203125" style="1" customWidth="1"/>
  </cols>
  <sheetData>
    <row r="1" spans="1:21" s="1" customFormat="1" x14ac:dyDescent="0.3">
      <c r="A1" s="1" t="s">
        <v>22</v>
      </c>
      <c r="B1" s="32" t="s">
        <v>19</v>
      </c>
      <c r="C1" s="32" t="s">
        <v>18</v>
      </c>
      <c r="D1" s="32" t="s">
        <v>17</v>
      </c>
      <c r="E1" s="32" t="s">
        <v>21</v>
      </c>
      <c r="F1" s="32" t="s">
        <v>16</v>
      </c>
      <c r="G1" s="32" t="s">
        <v>19</v>
      </c>
      <c r="H1" s="32" t="s">
        <v>18</v>
      </c>
      <c r="I1" s="32" t="s">
        <v>17</v>
      </c>
      <c r="J1" s="32" t="s">
        <v>21</v>
      </c>
      <c r="K1" s="32" t="s">
        <v>16</v>
      </c>
      <c r="L1" s="32" t="s">
        <v>19</v>
      </c>
      <c r="M1" s="32" t="s">
        <v>18</v>
      </c>
      <c r="N1" s="32" t="s">
        <v>17</v>
      </c>
      <c r="O1" s="32" t="s">
        <v>21</v>
      </c>
      <c r="P1" s="32" t="s">
        <v>16</v>
      </c>
      <c r="Q1" s="32" t="s">
        <v>19</v>
      </c>
      <c r="R1" s="32" t="s">
        <v>18</v>
      </c>
      <c r="S1" s="32" t="s">
        <v>17</v>
      </c>
      <c r="T1" s="32" t="s">
        <v>21</v>
      </c>
      <c r="U1" s="32" t="s">
        <v>16</v>
      </c>
    </row>
    <row r="2" spans="1:21" s="1" customFormat="1" x14ac:dyDescent="0.3">
      <c r="A2" s="1" t="s">
        <v>15</v>
      </c>
      <c r="B2" s="32">
        <v>2018</v>
      </c>
      <c r="C2" s="32">
        <v>2018</v>
      </c>
      <c r="D2" s="32">
        <v>2018</v>
      </c>
      <c r="E2" s="32">
        <v>2018</v>
      </c>
      <c r="F2" s="32">
        <v>2018</v>
      </c>
      <c r="G2" s="32">
        <v>2017</v>
      </c>
      <c r="H2" s="32">
        <v>2017</v>
      </c>
      <c r="I2" s="32">
        <v>2017</v>
      </c>
      <c r="J2" s="32">
        <v>2017</v>
      </c>
      <c r="K2" s="32">
        <v>2017</v>
      </c>
      <c r="L2" s="32">
        <v>2016</v>
      </c>
      <c r="M2" s="32">
        <v>2016</v>
      </c>
      <c r="N2" s="32">
        <v>2016</v>
      </c>
      <c r="O2" s="32">
        <v>2016</v>
      </c>
      <c r="P2" s="32">
        <v>2016</v>
      </c>
      <c r="Q2" s="32">
        <v>2015</v>
      </c>
      <c r="R2" s="32">
        <v>2015</v>
      </c>
      <c r="S2" s="32">
        <v>2015</v>
      </c>
      <c r="T2" s="32">
        <v>2015</v>
      </c>
      <c r="U2" s="32">
        <v>2015</v>
      </c>
    </row>
    <row r="3" spans="1:21" s="5" customFormat="1" x14ac:dyDescent="0.3">
      <c r="A3" s="4" t="s">
        <v>0</v>
      </c>
      <c r="B3" s="33">
        <v>220</v>
      </c>
      <c r="C3" s="34">
        <f>198/B3</f>
        <v>0.9</v>
      </c>
      <c r="D3" s="33">
        <v>5529</v>
      </c>
      <c r="E3" s="34">
        <f>4115/D3</f>
        <v>0.74425755109423042</v>
      </c>
      <c r="F3" s="34">
        <f>3538/D3</f>
        <v>0.63989871586181946</v>
      </c>
      <c r="G3" s="33">
        <v>245</v>
      </c>
      <c r="H3" s="34">
        <f>223/G3</f>
        <v>0.91020408163265309</v>
      </c>
      <c r="I3" s="33">
        <v>5358</v>
      </c>
      <c r="J3" s="34">
        <f>3834/I3</f>
        <v>0.71556550951847708</v>
      </c>
      <c r="K3" s="34">
        <f>3246/I3</f>
        <v>0.60582306830907051</v>
      </c>
      <c r="L3" s="33">
        <v>223</v>
      </c>
      <c r="M3" s="34">
        <f>204/L3</f>
        <v>0.91479820627802688</v>
      </c>
      <c r="N3" s="33">
        <v>5210</v>
      </c>
      <c r="O3" s="34">
        <f>3466/N3</f>
        <v>0.6652591170825336</v>
      </c>
      <c r="P3" s="34">
        <f>2969/N3</f>
        <v>0.56986564299424181</v>
      </c>
      <c r="Q3" s="33">
        <v>224</v>
      </c>
      <c r="R3" s="34">
        <f>188/Q3</f>
        <v>0.8392857142857143</v>
      </c>
      <c r="S3" s="33">
        <v>5191</v>
      </c>
      <c r="T3" s="34">
        <f>3383/S3</f>
        <v>0.65170487382007325</v>
      </c>
      <c r="U3" s="34">
        <f>2759/S3</f>
        <v>0.53149682142169141</v>
      </c>
    </row>
    <row r="4" spans="1:21" s="7" customFormat="1" x14ac:dyDescent="0.3">
      <c r="A4" s="6" t="s">
        <v>1</v>
      </c>
      <c r="B4" s="35">
        <v>120</v>
      </c>
      <c r="C4" s="35">
        <v>0.88</v>
      </c>
      <c r="D4" s="36">
        <v>2299</v>
      </c>
      <c r="E4" s="36">
        <v>0.71</v>
      </c>
      <c r="F4" s="36">
        <v>0.59</v>
      </c>
      <c r="G4" s="35">
        <v>120</v>
      </c>
      <c r="H4" s="35">
        <v>0.88</v>
      </c>
      <c r="I4" s="36">
        <v>2169</v>
      </c>
      <c r="J4" s="36">
        <v>0.66</v>
      </c>
      <c r="K4" s="36">
        <v>0.54</v>
      </c>
      <c r="L4" s="35">
        <v>117</v>
      </c>
      <c r="M4" s="35">
        <v>0.91</v>
      </c>
      <c r="N4" s="36">
        <v>2080</v>
      </c>
      <c r="O4" s="36">
        <v>0.6</v>
      </c>
      <c r="P4" s="35">
        <v>0.49</v>
      </c>
      <c r="Q4" s="35">
        <v>120</v>
      </c>
      <c r="R4" s="35">
        <v>0.81</v>
      </c>
      <c r="S4" s="36">
        <v>2050</v>
      </c>
      <c r="T4" s="36">
        <v>0.6</v>
      </c>
      <c r="U4" s="36">
        <v>0.47</v>
      </c>
    </row>
    <row r="5" spans="1:21" x14ac:dyDescent="0.3">
      <c r="A5" s="1" t="s">
        <v>2</v>
      </c>
      <c r="B5" s="37">
        <v>14</v>
      </c>
      <c r="C5" s="37">
        <v>1</v>
      </c>
      <c r="D5" s="38">
        <v>306</v>
      </c>
      <c r="E5" s="38">
        <v>0.69</v>
      </c>
      <c r="F5" s="38">
        <v>0.61</v>
      </c>
      <c r="G5" s="37">
        <v>13</v>
      </c>
      <c r="H5" s="37">
        <v>0.92</v>
      </c>
      <c r="I5" s="38">
        <v>294</v>
      </c>
      <c r="J5" s="38">
        <v>0.66</v>
      </c>
      <c r="K5" s="38">
        <v>0.61</v>
      </c>
      <c r="L5" s="37">
        <v>12</v>
      </c>
      <c r="M5" s="37">
        <v>0.83</v>
      </c>
      <c r="N5" s="38">
        <v>269</v>
      </c>
      <c r="O5" s="38">
        <v>0.62</v>
      </c>
      <c r="P5" s="37">
        <v>0.53</v>
      </c>
      <c r="Q5" s="37">
        <v>14</v>
      </c>
      <c r="R5" s="37">
        <v>0.79</v>
      </c>
      <c r="S5" s="38">
        <v>267</v>
      </c>
      <c r="T5" s="38">
        <v>0.61</v>
      </c>
      <c r="U5" s="38">
        <v>0.52</v>
      </c>
    </row>
    <row r="6" spans="1:21" s="3" customFormat="1" x14ac:dyDescent="0.3">
      <c r="A6" s="2" t="s">
        <v>3</v>
      </c>
      <c r="B6" s="42">
        <v>79</v>
      </c>
      <c r="C6" s="42">
        <v>0.91</v>
      </c>
      <c r="D6" s="43">
        <v>2601</v>
      </c>
      <c r="E6" s="43">
        <v>0.79</v>
      </c>
      <c r="F6" s="43">
        <v>0.69</v>
      </c>
      <c r="G6" s="42">
        <v>99</v>
      </c>
      <c r="H6" s="42">
        <v>0.94</v>
      </c>
      <c r="I6" s="43">
        <v>2591</v>
      </c>
      <c r="J6" s="43">
        <v>0.76</v>
      </c>
      <c r="K6" s="43">
        <v>0.65</v>
      </c>
      <c r="L6" s="42">
        <v>79</v>
      </c>
      <c r="M6" s="42">
        <v>0.94</v>
      </c>
      <c r="N6" s="43">
        <v>2577</v>
      </c>
      <c r="O6" s="43">
        <v>0.71</v>
      </c>
      <c r="P6" s="42">
        <v>0.63</v>
      </c>
      <c r="Q6" s="42">
        <v>76</v>
      </c>
      <c r="R6" s="42">
        <v>0.91</v>
      </c>
      <c r="S6" s="43">
        <v>2591</v>
      </c>
      <c r="T6" s="43">
        <v>0.7</v>
      </c>
      <c r="U6" s="43">
        <v>0.56999999999999995</v>
      </c>
    </row>
    <row r="7" spans="1:21" s="7" customFormat="1" x14ac:dyDescent="0.3">
      <c r="A7" s="6" t="s">
        <v>4</v>
      </c>
      <c r="B7" s="35">
        <v>168</v>
      </c>
      <c r="C7" s="35">
        <v>0.9</v>
      </c>
      <c r="D7" s="36">
        <v>4389</v>
      </c>
      <c r="E7" s="36">
        <v>0.75</v>
      </c>
      <c r="F7" s="36">
        <v>0.64</v>
      </c>
      <c r="G7" s="35">
        <v>194</v>
      </c>
      <c r="H7" s="35">
        <v>0.89</v>
      </c>
      <c r="I7" s="36">
        <v>4295</v>
      </c>
      <c r="J7" s="36">
        <v>0.73</v>
      </c>
      <c r="K7" s="36">
        <v>0.62</v>
      </c>
      <c r="L7" s="35">
        <v>175</v>
      </c>
      <c r="M7" s="35">
        <v>0.92</v>
      </c>
      <c r="N7" s="36">
        <v>4196</v>
      </c>
      <c r="O7" s="36">
        <v>0.69</v>
      </c>
      <c r="P7" s="35">
        <v>0.6</v>
      </c>
      <c r="Q7" s="35">
        <v>169</v>
      </c>
      <c r="R7" s="35">
        <v>0.85</v>
      </c>
      <c r="S7" s="36">
        <v>4187</v>
      </c>
      <c r="T7" s="36">
        <v>0.68</v>
      </c>
      <c r="U7" s="36">
        <v>0.56000000000000005</v>
      </c>
    </row>
    <row r="8" spans="1:21" s="3" customFormat="1" x14ac:dyDescent="0.3">
      <c r="A8" s="2" t="s">
        <v>5</v>
      </c>
      <c r="B8" s="42">
        <v>52</v>
      </c>
      <c r="C8" s="42">
        <v>0.9</v>
      </c>
      <c r="D8" s="43">
        <v>1140</v>
      </c>
      <c r="E8" s="38">
        <v>0.73</v>
      </c>
      <c r="F8" s="43">
        <v>0.63</v>
      </c>
      <c r="G8" s="42">
        <v>51</v>
      </c>
      <c r="H8" s="42">
        <v>0.98</v>
      </c>
      <c r="I8" s="43">
        <v>1063</v>
      </c>
      <c r="J8" s="38">
        <v>0.67</v>
      </c>
      <c r="K8" s="43">
        <v>0.56000000000000005</v>
      </c>
      <c r="L8" s="42">
        <v>48</v>
      </c>
      <c r="M8" s="42">
        <v>0.9</v>
      </c>
      <c r="N8" s="43">
        <v>1014</v>
      </c>
      <c r="O8" s="38">
        <v>0.55000000000000004</v>
      </c>
      <c r="P8" s="42">
        <v>0.45</v>
      </c>
      <c r="Q8" s="42">
        <v>55</v>
      </c>
      <c r="R8" s="42">
        <v>0.82</v>
      </c>
      <c r="S8" s="43">
        <v>1004</v>
      </c>
      <c r="T8" s="38">
        <v>0.54</v>
      </c>
      <c r="U8" s="43">
        <v>0.43</v>
      </c>
    </row>
    <row r="9" spans="1:21" s="7" customFormat="1" x14ac:dyDescent="0.3">
      <c r="A9" s="6" t="s">
        <v>6</v>
      </c>
      <c r="B9" s="35">
        <f>12+31</f>
        <v>43</v>
      </c>
      <c r="C9" s="35">
        <f>(7+28)/B9</f>
        <v>0.81395348837209303</v>
      </c>
      <c r="D9" s="35">
        <f>5+27+139</f>
        <v>171</v>
      </c>
      <c r="E9" s="35">
        <f>(2+22+110)/D9</f>
        <v>0.783625730994152</v>
      </c>
      <c r="F9" s="35">
        <f>(2+17+81)/D9</f>
        <v>0.58479532163742687</v>
      </c>
      <c r="G9" s="35">
        <f>11+36</f>
        <v>47</v>
      </c>
      <c r="H9" s="35">
        <f>(10+35)/G9</f>
        <v>0.95744680851063835</v>
      </c>
      <c r="I9" s="35">
        <f>5+27+160</f>
        <v>192</v>
      </c>
      <c r="J9" s="35">
        <f>(2+19+122)/I9</f>
        <v>0.74479166666666663</v>
      </c>
      <c r="K9" s="35">
        <f>(2+11+89)/I9</f>
        <v>0.53125</v>
      </c>
      <c r="L9" s="35">
        <f>14+38</f>
        <v>52</v>
      </c>
      <c r="M9" s="35">
        <f>(13+29)/L9</f>
        <v>0.80769230769230771</v>
      </c>
      <c r="N9" s="35">
        <f>3+30+165</f>
        <v>198</v>
      </c>
      <c r="O9" s="35">
        <f>(9+93)/N9</f>
        <v>0.51515151515151514</v>
      </c>
      <c r="P9" s="35">
        <f>(7+71)/N9</f>
        <v>0.39393939393939392</v>
      </c>
      <c r="Q9" s="35">
        <f>15+39</f>
        <v>54</v>
      </c>
      <c r="R9" s="35">
        <f>(12+30)/Q9</f>
        <v>0.77777777777777779</v>
      </c>
      <c r="S9" s="35">
        <f>4+21+198</f>
        <v>223</v>
      </c>
      <c r="T9" s="35">
        <f>(8+127)/S9</f>
        <v>0.60538116591928248</v>
      </c>
      <c r="U9" s="35">
        <f>(8+88)/S9</f>
        <v>0.43049327354260092</v>
      </c>
    </row>
    <row r="10" spans="1:21" x14ac:dyDescent="0.3">
      <c r="A10" s="1" t="s">
        <v>7</v>
      </c>
      <c r="B10" s="37">
        <f>54+37</f>
        <v>91</v>
      </c>
      <c r="C10" s="37">
        <f>(47+36)/B10</f>
        <v>0.91208791208791207</v>
      </c>
      <c r="D10" s="38">
        <f>493+566</f>
        <v>1059</v>
      </c>
      <c r="E10" s="38">
        <f>(379+437)/D10</f>
        <v>0.77053824362606227</v>
      </c>
      <c r="F10" s="38">
        <f>(306+359)/D10</f>
        <v>0.62795089707271012</v>
      </c>
      <c r="G10" s="37">
        <f>57+35</f>
        <v>92</v>
      </c>
      <c r="H10" s="37">
        <f>(49+31)/G10</f>
        <v>0.86956521739130432</v>
      </c>
      <c r="I10" s="38">
        <f>498+509</f>
        <v>1007</v>
      </c>
      <c r="J10" s="38">
        <f>(333+368)/I10</f>
        <v>0.69612711022840124</v>
      </c>
      <c r="K10" s="38">
        <f>(275+294)/I10</f>
        <v>0.56504468718967227</v>
      </c>
      <c r="L10" s="37">
        <f>39+26</f>
        <v>65</v>
      </c>
      <c r="M10" s="37">
        <f>(32+26)/L10</f>
        <v>0.89230769230769236</v>
      </c>
      <c r="N10" s="38">
        <f>453+492</f>
        <v>945</v>
      </c>
      <c r="O10" s="38">
        <f>(304+336)/N10</f>
        <v>0.67724867724867721</v>
      </c>
      <c r="P10" s="37">
        <f>(225+274)/N10</f>
        <v>0.52804232804232809</v>
      </c>
      <c r="Q10" s="37">
        <f>41+33</f>
        <v>74</v>
      </c>
      <c r="R10" s="37">
        <f>(34+28)/Q10</f>
        <v>0.83783783783783783</v>
      </c>
      <c r="S10" s="38">
        <f>452+480</f>
        <v>932</v>
      </c>
      <c r="T10" s="38">
        <f>(311+327)/S10</f>
        <v>0.68454935622317592</v>
      </c>
      <c r="U10" s="38">
        <f>(231+258)/S10</f>
        <v>0.52467811158798283</v>
      </c>
    </row>
    <row r="11" spans="1:21" x14ac:dyDescent="0.3">
      <c r="A11" s="1" t="s">
        <v>8</v>
      </c>
      <c r="B11" s="37">
        <f>21+20</f>
        <v>41</v>
      </c>
      <c r="C11" s="37">
        <f>(20+20)/B11</f>
        <v>0.97560975609756095</v>
      </c>
      <c r="D11" s="37">
        <f>567+556</f>
        <v>1123</v>
      </c>
      <c r="E11" s="38">
        <f>(433+397)/D11</f>
        <v>0.73909171861086376</v>
      </c>
      <c r="F11" s="37">
        <f>(380+334)/D11</f>
        <v>0.63579697239536959</v>
      </c>
      <c r="G11" s="37">
        <f>27+19</f>
        <v>46</v>
      </c>
      <c r="H11" s="37">
        <f>(23+18)/G11</f>
        <v>0.89130434782608692</v>
      </c>
      <c r="I11" s="37">
        <f>590+544</f>
        <v>1134</v>
      </c>
      <c r="J11" s="38">
        <f>(424+386)/I11</f>
        <v>0.7142857142857143</v>
      </c>
      <c r="K11" s="37">
        <f>(264+332)/I11</f>
        <v>0.52557319223985888</v>
      </c>
      <c r="L11" s="37">
        <f>29+22</f>
        <v>51</v>
      </c>
      <c r="M11" s="37">
        <f>(28+22)/L11</f>
        <v>0.98039215686274506</v>
      </c>
      <c r="N11" s="37">
        <f>558+547</f>
        <v>1105</v>
      </c>
      <c r="O11" s="38">
        <f>(368+370)/N11</f>
        <v>0.66787330316742077</v>
      </c>
      <c r="P11" s="37">
        <f>(310+317)/N11</f>
        <v>0.56742081447963799</v>
      </c>
      <c r="Q11" s="37">
        <f>28+20</f>
        <v>48</v>
      </c>
      <c r="R11" s="37">
        <f>(22+17)/Q11</f>
        <v>0.8125</v>
      </c>
      <c r="S11" s="37">
        <f>533+588</f>
        <v>1121</v>
      </c>
      <c r="T11" s="38">
        <f>(336+375)/S11</f>
        <v>0.63425512934879569</v>
      </c>
      <c r="U11" s="37">
        <f>(268+300)/S11</f>
        <v>0.50669045495093668</v>
      </c>
    </row>
    <row r="12" spans="1:21" x14ac:dyDescent="0.3">
      <c r="A12" s="1" t="s">
        <v>9</v>
      </c>
      <c r="B12" s="37">
        <f>18+11</f>
        <v>29</v>
      </c>
      <c r="C12" s="37">
        <f>(16+10)/B12</f>
        <v>0.89655172413793105</v>
      </c>
      <c r="D12" s="38">
        <f>725+892</f>
        <v>1617</v>
      </c>
      <c r="E12" s="38">
        <f>(524+685)/D12</f>
        <v>0.74768089053803344</v>
      </c>
      <c r="F12" s="38">
        <f>(454+600)/D12</f>
        <v>0.65182436611008043</v>
      </c>
      <c r="G12" s="37">
        <f>16+18</f>
        <v>34</v>
      </c>
      <c r="H12" s="37">
        <f>(16+17)/G12</f>
        <v>0.97058823529411764</v>
      </c>
      <c r="I12" s="38">
        <f>711+896</f>
        <v>1607</v>
      </c>
      <c r="J12" s="38">
        <f>(498+663)/I12</f>
        <v>0.72246421904169256</v>
      </c>
      <c r="K12" s="38">
        <f>(420+567)/I12</f>
        <v>0.61418792781580589</v>
      </c>
      <c r="L12" s="37">
        <f>17+20</f>
        <v>37</v>
      </c>
      <c r="M12" s="37">
        <f>(17+20)/L12</f>
        <v>1</v>
      </c>
      <c r="N12" s="38">
        <f>785+891</f>
        <v>1676</v>
      </c>
      <c r="O12" s="38">
        <f>(507+623)/N12</f>
        <v>0.67422434367541761</v>
      </c>
      <c r="P12" s="37">
        <f>(442+561)/N12</f>
        <v>0.59844868735083534</v>
      </c>
      <c r="Q12" s="37">
        <f>23+9</f>
        <v>32</v>
      </c>
      <c r="R12" s="37">
        <f>(22+9)/Q12</f>
        <v>0.96875</v>
      </c>
      <c r="S12" s="38">
        <f>843+885</f>
        <v>1728</v>
      </c>
      <c r="T12" s="38">
        <f>(540+590)/S12</f>
        <v>0.65393518518518523</v>
      </c>
      <c r="U12" s="38">
        <f>(437+496)/S12</f>
        <v>0.53993055555555558</v>
      </c>
    </row>
    <row r="13" spans="1:21" s="3" customFormat="1" x14ac:dyDescent="0.3">
      <c r="A13" s="2" t="s">
        <v>10</v>
      </c>
      <c r="B13" s="42">
        <f>12+4</f>
        <v>16</v>
      </c>
      <c r="C13" s="37">
        <f>(10+4)/B13</f>
        <v>0.875</v>
      </c>
      <c r="D13" s="42">
        <f>1218+341</f>
        <v>1559</v>
      </c>
      <c r="E13" s="43">
        <f>(889+237)/D13</f>
        <v>0.72225785760102634</v>
      </c>
      <c r="F13" s="42">
        <f>(788+217)/D13</f>
        <v>0.64464400256574728</v>
      </c>
      <c r="G13" s="42">
        <f>22+4</f>
        <v>26</v>
      </c>
      <c r="H13" s="37">
        <f>(20+4)/G13</f>
        <v>0.92307692307692313</v>
      </c>
      <c r="I13" s="42">
        <f>1129+289</f>
        <v>1418</v>
      </c>
      <c r="J13" s="43">
        <f>(821+198)/I13</f>
        <v>0.71861777150916784</v>
      </c>
      <c r="K13" s="42">
        <f>(713+179)/I13</f>
        <v>0.6290550070521862</v>
      </c>
      <c r="L13" s="42">
        <f>17+1</f>
        <v>18</v>
      </c>
      <c r="M13" s="42">
        <f>(16+1)/L13</f>
        <v>0.94444444444444442</v>
      </c>
      <c r="N13" s="42">
        <f>1026+260</f>
        <v>1286</v>
      </c>
      <c r="O13" s="43">
        <f>(690+166)/N13</f>
        <v>0.66562986003110425</v>
      </c>
      <c r="P13" s="37">
        <f>(606+156)/N13</f>
        <v>0.59253499222395023</v>
      </c>
      <c r="Q13" s="42">
        <f>9+7</f>
        <v>16</v>
      </c>
      <c r="R13" s="37">
        <f>(7+7)/Q13</f>
        <v>0.875</v>
      </c>
      <c r="S13" s="42">
        <f>956+231</f>
        <v>1187</v>
      </c>
      <c r="T13" s="43">
        <f>(629+140)/S13</f>
        <v>0.64785172704296545</v>
      </c>
      <c r="U13" s="42">
        <f>(545+128)/S13</f>
        <v>0.56697556866048859</v>
      </c>
    </row>
    <row r="14" spans="1:21" s="7" customFormat="1" x14ac:dyDescent="0.3">
      <c r="A14" s="6" t="s">
        <v>11</v>
      </c>
      <c r="B14" s="35">
        <v>110</v>
      </c>
      <c r="C14" s="35">
        <v>0.91</v>
      </c>
      <c r="D14" s="36">
        <v>3068</v>
      </c>
      <c r="E14" s="36">
        <v>0.8</v>
      </c>
      <c r="F14" s="36">
        <v>0.7</v>
      </c>
      <c r="G14" s="35">
        <v>120</v>
      </c>
      <c r="H14" s="35">
        <v>0.92</v>
      </c>
      <c r="I14" s="36">
        <v>3068</v>
      </c>
      <c r="J14" s="36">
        <v>0.77</v>
      </c>
      <c r="K14" s="36">
        <v>0.67</v>
      </c>
      <c r="L14" s="35">
        <v>125</v>
      </c>
      <c r="M14" s="35">
        <v>0.94</v>
      </c>
      <c r="N14" s="36">
        <v>3116</v>
      </c>
      <c r="O14" s="36">
        <v>0.75</v>
      </c>
      <c r="P14" s="35">
        <v>0.65</v>
      </c>
      <c r="Q14" s="35">
        <v>126</v>
      </c>
      <c r="R14" s="35">
        <v>0.86</v>
      </c>
      <c r="S14" s="36">
        <v>3026</v>
      </c>
      <c r="T14" s="36">
        <v>0.74</v>
      </c>
      <c r="U14" s="36">
        <v>0.61</v>
      </c>
    </row>
    <row r="15" spans="1:21" x14ac:dyDescent="0.3">
      <c r="A15" s="1" t="s">
        <v>12</v>
      </c>
      <c r="B15" s="37">
        <f>6+12</f>
        <v>18</v>
      </c>
      <c r="C15" s="37">
        <f>(6+10)/B15</f>
        <v>0.88888888888888884</v>
      </c>
      <c r="D15" s="38">
        <f>111+108</f>
        <v>219</v>
      </c>
      <c r="E15" s="38">
        <f>(81+83)/D15</f>
        <v>0.74885844748858443</v>
      </c>
      <c r="F15" s="38">
        <f>(67+68)/D15</f>
        <v>0.61643835616438358</v>
      </c>
      <c r="G15" s="37">
        <f>9+9</f>
        <v>18</v>
      </c>
      <c r="H15" s="37">
        <f>(8+9)/G15</f>
        <v>0.94444444444444442</v>
      </c>
      <c r="I15" s="38">
        <f>94+89</f>
        <v>183</v>
      </c>
      <c r="J15" s="38">
        <f>(60+62)/I15</f>
        <v>0.66666666666666663</v>
      </c>
      <c r="K15" s="38">
        <f>(49+47)/I15</f>
        <v>0.52459016393442626</v>
      </c>
      <c r="L15" s="37">
        <f>6+6</f>
        <v>12</v>
      </c>
      <c r="M15" s="37">
        <f>(6+4)/L15</f>
        <v>0.83333333333333337</v>
      </c>
      <c r="N15" s="38">
        <f>86+83</f>
        <v>169</v>
      </c>
      <c r="O15" s="38">
        <f>(49+52)/N15</f>
        <v>0.59763313609467461</v>
      </c>
      <c r="P15" s="37">
        <f>(38+36)/N15</f>
        <v>0.43786982248520712</v>
      </c>
      <c r="Q15" s="37">
        <f>3+7</f>
        <v>10</v>
      </c>
      <c r="R15" s="37">
        <f>(3+6)/Q15</f>
        <v>0.9</v>
      </c>
      <c r="S15" s="38">
        <f>91+96</f>
        <v>187</v>
      </c>
      <c r="T15" s="38">
        <f>(52+51)/S15</f>
        <v>0.55080213903743314</v>
      </c>
      <c r="U15" s="38">
        <f>(36+35)/S15</f>
        <v>0.37967914438502676</v>
      </c>
    </row>
    <row r="16" spans="1:21" x14ac:dyDescent="0.3">
      <c r="A16" s="1" t="s">
        <v>13</v>
      </c>
      <c r="B16" s="37">
        <v>9</v>
      </c>
      <c r="C16" s="37">
        <v>0.89</v>
      </c>
      <c r="D16" s="38">
        <v>184</v>
      </c>
      <c r="E16" s="38">
        <v>0.77</v>
      </c>
      <c r="F16" s="38">
        <v>0.66</v>
      </c>
      <c r="G16" s="37">
        <v>9</v>
      </c>
      <c r="H16" s="37">
        <v>1</v>
      </c>
      <c r="I16" s="38">
        <v>176</v>
      </c>
      <c r="J16" s="38">
        <v>0.74</v>
      </c>
      <c r="K16" s="38">
        <v>0.59</v>
      </c>
      <c r="L16" s="37">
        <v>9</v>
      </c>
      <c r="M16" s="37">
        <v>0.78</v>
      </c>
      <c r="N16" s="38">
        <v>168</v>
      </c>
      <c r="O16" s="38">
        <v>0.76</v>
      </c>
      <c r="P16" s="37">
        <v>0.67</v>
      </c>
      <c r="Q16" s="37">
        <v>6</v>
      </c>
      <c r="R16" s="37">
        <f>0.83</f>
        <v>0.83</v>
      </c>
      <c r="S16" s="38">
        <v>177</v>
      </c>
      <c r="T16" s="38">
        <v>0.75</v>
      </c>
      <c r="U16" s="38">
        <v>0.66</v>
      </c>
    </row>
    <row r="17" spans="1:25" s="3" customFormat="1" x14ac:dyDescent="0.3">
      <c r="A17" s="2" t="s">
        <v>14</v>
      </c>
      <c r="B17" s="42">
        <f>6+37</f>
        <v>43</v>
      </c>
      <c r="C17" s="42">
        <f>(6+35)/B17</f>
        <v>0.95348837209302328</v>
      </c>
      <c r="D17" s="43">
        <f>254+898</f>
        <v>1152</v>
      </c>
      <c r="E17" s="43">
        <f>(186+702)/D17</f>
        <v>0.77083333333333337</v>
      </c>
      <c r="F17" s="43">
        <f>(149+612)/D17</f>
        <v>0.66059027777777779</v>
      </c>
      <c r="G17" s="42">
        <f>5+41</f>
        <v>46</v>
      </c>
      <c r="H17" s="42">
        <f>(5+40)/G17</f>
        <v>0.97826086956521741</v>
      </c>
      <c r="I17" s="43">
        <f>227+840</f>
        <v>1067</v>
      </c>
      <c r="J17" s="43">
        <f>(170+599)/I17</f>
        <v>0.72071227741330834</v>
      </c>
      <c r="K17" s="43">
        <f>(140+516)/I17</f>
        <v>0.61480787253983127</v>
      </c>
      <c r="L17" s="42">
        <f>6+36</f>
        <v>42</v>
      </c>
      <c r="M17" s="42">
        <f>(5+34)/L17</f>
        <v>0.9285714285714286</v>
      </c>
      <c r="N17" s="43">
        <f>175+793</f>
        <v>968</v>
      </c>
      <c r="O17" s="43">
        <f>(113+476)/N17</f>
        <v>0.60847107438016534</v>
      </c>
      <c r="P17" s="42">
        <f>(91+396)/N17</f>
        <v>0.50309917355371903</v>
      </c>
      <c r="Q17" s="42">
        <f>3+43</f>
        <v>46</v>
      </c>
      <c r="R17" s="42">
        <f>(3+36)/Q17</f>
        <v>0.84782608695652173</v>
      </c>
      <c r="S17" s="43">
        <f>188+766</f>
        <v>954</v>
      </c>
      <c r="T17" s="43">
        <f>(283+463)/S17</f>
        <v>0.78197064989517817</v>
      </c>
      <c r="U17" s="43">
        <f>(97+373)/S17</f>
        <v>0.49266247379454925</v>
      </c>
    </row>
    <row r="18" spans="1:25" x14ac:dyDescent="0.3">
      <c r="A18" s="1" t="s">
        <v>20</v>
      </c>
      <c r="B18" s="38"/>
      <c r="C18" s="38">
        <v>3</v>
      </c>
      <c r="D18" s="38"/>
      <c r="E18" s="38"/>
      <c r="F18" s="38"/>
      <c r="G18" s="38"/>
      <c r="H18" s="38">
        <v>3</v>
      </c>
      <c r="I18" s="38"/>
      <c r="J18" s="38"/>
      <c r="K18" s="38"/>
      <c r="L18" s="38"/>
      <c r="M18" s="38">
        <v>3</v>
      </c>
      <c r="N18" s="38"/>
      <c r="O18" s="38"/>
      <c r="P18" s="38"/>
      <c r="Q18" s="38"/>
      <c r="R18" s="38">
        <v>3</v>
      </c>
      <c r="S18" s="38"/>
      <c r="T18" s="38"/>
      <c r="U18" s="38"/>
      <c r="V18" s="14"/>
    </row>
    <row r="19" spans="1:25" x14ac:dyDescent="0.3">
      <c r="H19" s="12"/>
      <c r="I19" s="13"/>
      <c r="J19" s="12"/>
      <c r="K19" s="13"/>
      <c r="M19" s="12"/>
      <c r="N19" s="12"/>
      <c r="O19" s="13"/>
      <c r="P19" s="12"/>
      <c r="Q19" s="13"/>
      <c r="S19" s="12"/>
      <c r="T19" s="12"/>
      <c r="U19" s="13"/>
      <c r="V19" s="12"/>
      <c r="W19" s="13"/>
      <c r="Y19" s="12"/>
    </row>
    <row r="20" spans="1:25" x14ac:dyDescent="0.3">
      <c r="B20" s="38" t="s">
        <v>74</v>
      </c>
      <c r="C20" s="38"/>
      <c r="D20" s="38"/>
      <c r="E20" s="38"/>
      <c r="F20" s="38"/>
      <c r="G20" s="38"/>
      <c r="H20" s="45"/>
      <c r="I20" s="46"/>
      <c r="J20" s="38"/>
      <c r="M20" s="12"/>
      <c r="S20" s="12"/>
      <c r="Y20" s="12"/>
    </row>
    <row r="21" spans="1:25" x14ac:dyDescent="0.3">
      <c r="B21" s="41" t="s">
        <v>55</v>
      </c>
      <c r="M21" s="15"/>
      <c r="S21" s="15"/>
      <c r="Y21" s="15"/>
    </row>
    <row r="22" spans="1:25" x14ac:dyDescent="0.3">
      <c r="M22" s="12"/>
      <c r="S22" s="12"/>
      <c r="Y22" s="12"/>
    </row>
    <row r="23" spans="1:25" x14ac:dyDescent="0.3">
      <c r="M23" s="15"/>
      <c r="S23" s="15"/>
      <c r="Y23" s="15"/>
    </row>
    <row r="24" spans="1:25" x14ac:dyDescent="0.3">
      <c r="M24" s="15"/>
      <c r="S24" s="15"/>
      <c r="Y24" s="15"/>
    </row>
    <row r="26" spans="1:25" x14ac:dyDescent="0.3">
      <c r="M26" s="12"/>
      <c r="S26" s="12"/>
      <c r="Y26" s="12"/>
    </row>
    <row r="27" spans="1:25" x14ac:dyDescent="0.3">
      <c r="M27" s="12"/>
      <c r="S27" s="12"/>
      <c r="Y27" s="12"/>
    </row>
    <row r="28" spans="1:25" x14ac:dyDescent="0.3">
      <c r="M28" s="12"/>
      <c r="S28" s="12"/>
      <c r="Y28" s="12"/>
    </row>
    <row r="29" spans="1:25" x14ac:dyDescent="0.3">
      <c r="M29" s="12"/>
      <c r="S29" s="12"/>
      <c r="Y29" s="12"/>
    </row>
    <row r="30" spans="1:25" x14ac:dyDescent="0.3">
      <c r="F30" t="s">
        <v>23</v>
      </c>
      <c r="M30" s="12"/>
      <c r="S30" s="12"/>
      <c r="Y30" s="12"/>
    </row>
    <row r="31" spans="1:25" x14ac:dyDescent="0.3">
      <c r="M31" s="12"/>
      <c r="S31" s="12"/>
      <c r="Y31" s="12"/>
    </row>
    <row r="32" spans="1:25" x14ac:dyDescent="0.3">
      <c r="M32" s="12"/>
      <c r="S32" s="12"/>
      <c r="Y32" s="12"/>
    </row>
    <row r="33" spans="13:25" x14ac:dyDescent="0.3">
      <c r="M33" s="12"/>
      <c r="S33" s="12"/>
      <c r="Y33" s="12"/>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2"/>
  <sheetViews>
    <sheetView zoomScale="120" zoomScaleNormal="120" workbookViewId="0">
      <pane xSplit="1" ySplit="1" topLeftCell="B2" activePane="bottomRight" state="frozen"/>
      <selection pane="topRight" activeCell="B1" sqref="B1"/>
      <selection pane="bottomLeft" activeCell="A2" sqref="A2"/>
      <selection pane="bottomRight"/>
    </sheetView>
  </sheetViews>
  <sheetFormatPr defaultColWidth="8.77734375" defaultRowHeight="14.4" x14ac:dyDescent="0.3"/>
  <cols>
    <col min="1" max="1" width="8.77734375" style="1"/>
  </cols>
  <sheetData>
    <row r="1" spans="1:7" s="1" customFormat="1" x14ac:dyDescent="0.3">
      <c r="A1" s="1" t="s">
        <v>22</v>
      </c>
      <c r="B1" s="1" t="s">
        <v>19</v>
      </c>
      <c r="C1" s="1" t="s">
        <v>18</v>
      </c>
      <c r="D1" s="1" t="s">
        <v>17</v>
      </c>
      <c r="E1" s="1" t="s">
        <v>21</v>
      </c>
      <c r="F1" s="1" t="s">
        <v>25</v>
      </c>
      <c r="G1" s="1" t="s">
        <v>16</v>
      </c>
    </row>
    <row r="2" spans="1:7" x14ac:dyDescent="0.3">
      <c r="A2" s="1">
        <v>2015</v>
      </c>
      <c r="B2" s="38">
        <v>224</v>
      </c>
      <c r="C2" s="37">
        <f>188/B2</f>
        <v>0.8392857142857143</v>
      </c>
      <c r="D2" s="38">
        <v>5191</v>
      </c>
      <c r="E2" s="37">
        <f>3383/D2</f>
        <v>0.65170487382007325</v>
      </c>
      <c r="F2" s="37">
        <f>2326/D2</f>
        <v>0.44808322095935271</v>
      </c>
      <c r="G2" s="37">
        <f>2759/D2</f>
        <v>0.53149682142169141</v>
      </c>
    </row>
    <row r="3" spans="1:7" x14ac:dyDescent="0.3">
      <c r="A3" s="1">
        <v>2016</v>
      </c>
      <c r="B3" s="38">
        <v>223</v>
      </c>
      <c r="C3" s="37">
        <f>204/B3</f>
        <v>0.91479820627802688</v>
      </c>
      <c r="D3" s="38">
        <v>5210</v>
      </c>
      <c r="E3" s="37">
        <f>3466/D3</f>
        <v>0.6652591170825336</v>
      </c>
      <c r="F3" s="37">
        <f>2318/D3</f>
        <v>0.44491362763915548</v>
      </c>
      <c r="G3" s="37">
        <f>2969/D3</f>
        <v>0.56986564299424181</v>
      </c>
    </row>
    <row r="4" spans="1:7" x14ac:dyDescent="0.3">
      <c r="A4" s="1">
        <v>2017</v>
      </c>
      <c r="B4" s="38">
        <v>245</v>
      </c>
      <c r="C4" s="37">
        <f>223/B4</f>
        <v>0.91020408163265309</v>
      </c>
      <c r="D4" s="38">
        <v>5358</v>
      </c>
      <c r="E4" s="37">
        <f>3834/D4</f>
        <v>0.71556550951847708</v>
      </c>
      <c r="F4" s="37">
        <f>2427/D4</f>
        <v>0.45296752519596867</v>
      </c>
      <c r="G4" s="37">
        <f>3246/D4</f>
        <v>0.60582306830907051</v>
      </c>
    </row>
    <row r="5" spans="1:7" x14ac:dyDescent="0.3">
      <c r="A5" s="1">
        <v>2018</v>
      </c>
      <c r="B5" s="38">
        <v>220</v>
      </c>
      <c r="C5" s="37">
        <f>198/B5</f>
        <v>0.9</v>
      </c>
      <c r="D5" s="38">
        <v>5529</v>
      </c>
      <c r="E5" s="37">
        <f>4115/D5</f>
        <v>0.74425755109423042</v>
      </c>
      <c r="F5" s="37">
        <f>2798/D5</f>
        <v>0.5060589618375837</v>
      </c>
      <c r="G5" s="37">
        <f>3538/D5</f>
        <v>0.63989871586181946</v>
      </c>
    </row>
    <row r="6" spans="1:7" x14ac:dyDescent="0.3">
      <c r="A6" s="1">
        <v>2015</v>
      </c>
      <c r="B6" s="39">
        <v>935</v>
      </c>
      <c r="C6" s="40">
        <f>737/B6</f>
        <v>0.78823529411764703</v>
      </c>
      <c r="D6" s="41">
        <v>21201</v>
      </c>
      <c r="E6" s="40">
        <f>12190/D6</f>
        <v>0.57497287863780011</v>
      </c>
      <c r="F6" s="40">
        <f>7626/D6</f>
        <v>0.35970001415027592</v>
      </c>
      <c r="G6" s="40">
        <f>9234/D6</f>
        <v>0.43554549313711616</v>
      </c>
    </row>
    <row r="7" spans="1:7" x14ac:dyDescent="0.3">
      <c r="A7" s="1">
        <v>2016</v>
      </c>
      <c r="B7" s="39">
        <v>979</v>
      </c>
      <c r="C7" s="40">
        <f>812/B7</f>
        <v>0.82941777323799792</v>
      </c>
      <c r="D7" s="41">
        <v>22510</v>
      </c>
      <c r="E7" s="40">
        <f>13154/D7</f>
        <v>0.58436250555308755</v>
      </c>
      <c r="F7" s="40">
        <f>8369/D7</f>
        <v>0.37179031541537094</v>
      </c>
      <c r="G7" s="40">
        <f>10738/D7</f>
        <v>0.4770324300310973</v>
      </c>
    </row>
    <row r="8" spans="1:7" x14ac:dyDescent="0.3">
      <c r="A8" s="1">
        <v>2017</v>
      </c>
      <c r="B8" s="39">
        <v>981</v>
      </c>
      <c r="C8" s="40">
        <f>876/B8</f>
        <v>0.89296636085626913</v>
      </c>
      <c r="D8" s="41">
        <v>23131</v>
      </c>
      <c r="E8" s="40">
        <f>15309/D8</f>
        <v>0.66183909039816691</v>
      </c>
      <c r="F8" s="40">
        <f>9029/D8</f>
        <v>0.39034196532791493</v>
      </c>
      <c r="G8" s="40">
        <f>12416/D8</f>
        <v>0.53676883835545375</v>
      </c>
    </row>
    <row r="9" spans="1:7" x14ac:dyDescent="0.3">
      <c r="A9" s="1">
        <v>2018</v>
      </c>
      <c r="B9" s="39">
        <v>979</v>
      </c>
      <c r="C9" s="40">
        <f>849/B9</f>
        <v>0.86721144024514807</v>
      </c>
      <c r="D9" s="41">
        <v>23530</v>
      </c>
      <c r="E9" s="40">
        <f>16689/D9</f>
        <v>0.70926476838079044</v>
      </c>
      <c r="F9" s="40">
        <f>10969/D9</f>
        <v>0.46617084572885675</v>
      </c>
      <c r="G9" s="40">
        <f>13888/D9</f>
        <v>0.59022524436889079</v>
      </c>
    </row>
    <row r="11" spans="1:7" x14ac:dyDescent="0.3">
      <c r="B11" s="38" t="s">
        <v>75</v>
      </c>
    </row>
    <row r="12" spans="1:7" x14ac:dyDescent="0.3">
      <c r="B12" s="41" t="s">
        <v>55</v>
      </c>
    </row>
  </sheetData>
  <pageMargins left="0.7" right="0.7" top="0.75" bottom="0.75" header="0.3" footer="0.3"/>
  <pageSetup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zoomScale="120" zoomScaleNormal="120" workbookViewId="0">
      <selection activeCell="D1" sqref="D1"/>
    </sheetView>
  </sheetViews>
  <sheetFormatPr defaultColWidth="8.77734375" defaultRowHeight="14.4" x14ac:dyDescent="0.3"/>
  <cols>
    <col min="1" max="1" width="25.33203125" customWidth="1"/>
  </cols>
  <sheetData>
    <row r="1" spans="1:11" x14ac:dyDescent="0.3">
      <c r="A1" t="s">
        <v>24</v>
      </c>
      <c r="D1" t="s">
        <v>76</v>
      </c>
    </row>
    <row r="2" spans="1:11" x14ac:dyDescent="0.3">
      <c r="J2" s="9"/>
      <c r="K2" s="9"/>
    </row>
    <row r="4" spans="1:11" x14ac:dyDescent="0.3">
      <c r="A4" t="s">
        <v>44</v>
      </c>
      <c r="B4" s="30">
        <v>1316756</v>
      </c>
    </row>
    <row r="5" spans="1:11" x14ac:dyDescent="0.3">
      <c r="B5" s="30"/>
    </row>
    <row r="6" spans="1:11" x14ac:dyDescent="0.3">
      <c r="A6" t="s">
        <v>54</v>
      </c>
    </row>
    <row r="8" spans="1:11" x14ac:dyDescent="0.3">
      <c r="A8" s="11" t="s">
        <v>45</v>
      </c>
      <c r="B8" s="12">
        <v>209177</v>
      </c>
    </row>
    <row r="9" spans="1:11" x14ac:dyDescent="0.3">
      <c r="A9" t="s">
        <v>46</v>
      </c>
      <c r="B9" s="12">
        <v>176862</v>
      </c>
      <c r="C9" s="9"/>
      <c r="D9" s="9"/>
      <c r="E9" s="9"/>
      <c r="F9" s="9"/>
    </row>
    <row r="10" spans="1:11" x14ac:dyDescent="0.3">
      <c r="A10" t="s">
        <v>47</v>
      </c>
      <c r="B10" s="12">
        <v>157574</v>
      </c>
    </row>
    <row r="11" spans="1:11" x14ac:dyDescent="0.3">
      <c r="A11" t="s">
        <v>48</v>
      </c>
      <c r="B11" s="31">
        <v>58988</v>
      </c>
    </row>
    <row r="12" spans="1:11" x14ac:dyDescent="0.3">
      <c r="A12" t="s">
        <v>49</v>
      </c>
      <c r="B12" s="31">
        <v>58457</v>
      </c>
    </row>
    <row r="13" spans="1:11" x14ac:dyDescent="0.3">
      <c r="A13" s="10" t="s">
        <v>50</v>
      </c>
      <c r="B13" s="31">
        <v>44731</v>
      </c>
    </row>
    <row r="14" spans="1:11" x14ac:dyDescent="0.3">
      <c r="A14" s="10" t="s">
        <v>51</v>
      </c>
      <c r="B14" s="31">
        <v>36134</v>
      </c>
    </row>
    <row r="15" spans="1:11" x14ac:dyDescent="0.3">
      <c r="A15" s="10" t="s">
        <v>52</v>
      </c>
      <c r="B15" s="31">
        <v>35328</v>
      </c>
    </row>
    <row r="16" spans="1:11" x14ac:dyDescent="0.3">
      <c r="A16" t="s">
        <v>53</v>
      </c>
      <c r="B16" s="12">
        <v>28264</v>
      </c>
    </row>
    <row r="19" spans="1:2" x14ac:dyDescent="0.3">
      <c r="A19" t="s">
        <v>56</v>
      </c>
      <c r="B19" s="16"/>
    </row>
    <row r="20" spans="1:2" x14ac:dyDescent="0.3">
      <c r="A20" t="s">
        <v>57</v>
      </c>
    </row>
    <row r="21" spans="1:2" x14ac:dyDescent="0.3">
      <c r="B21" t="s">
        <v>58</v>
      </c>
    </row>
    <row r="22" spans="1:2" x14ac:dyDescent="0.3">
      <c r="B22" t="s">
        <v>59</v>
      </c>
    </row>
    <row r="23" spans="1:2" x14ac:dyDescent="0.3">
      <c r="B23" t="s">
        <v>60</v>
      </c>
    </row>
    <row r="24" spans="1:2" x14ac:dyDescent="0.3">
      <c r="B24" t="s">
        <v>61</v>
      </c>
    </row>
    <row r="25" spans="1:2" x14ac:dyDescent="0.3">
      <c r="B25" t="s">
        <v>62</v>
      </c>
    </row>
    <row r="26" spans="1:2" x14ac:dyDescent="0.3">
      <c r="B26" t="s">
        <v>63</v>
      </c>
    </row>
    <row r="27" spans="1:2" x14ac:dyDescent="0.3">
      <c r="B27" t="s">
        <v>64</v>
      </c>
    </row>
    <row r="28" spans="1:2" x14ac:dyDescent="0.3">
      <c r="B28" s="44" t="s">
        <v>65</v>
      </c>
    </row>
    <row r="29" spans="1:2" x14ac:dyDescent="0.3">
      <c r="B29" t="s">
        <v>66</v>
      </c>
    </row>
    <row r="30" spans="1:2" x14ac:dyDescent="0.3">
      <c r="B30" t="s">
        <v>67</v>
      </c>
    </row>
    <row r="31" spans="1:2" x14ac:dyDescent="0.3">
      <c r="B31" s="1" t="s">
        <v>68</v>
      </c>
    </row>
    <row r="33" spans="2:2" x14ac:dyDescent="0.3">
      <c r="B33" s="8" t="s">
        <v>69</v>
      </c>
    </row>
    <row r="34" spans="2:2" x14ac:dyDescent="0.3">
      <c r="B34" s="8" t="s">
        <v>70</v>
      </c>
    </row>
    <row r="35" spans="2:2" x14ac:dyDescent="0.3">
      <c r="B35" s="8" t="s">
        <v>71</v>
      </c>
    </row>
    <row r="36" spans="2:2" x14ac:dyDescent="0.3">
      <c r="B36" s="8" t="s">
        <v>72</v>
      </c>
    </row>
    <row r="37" spans="2:2" x14ac:dyDescent="0.3">
      <c r="B37" s="8" t="s">
        <v>73</v>
      </c>
    </row>
    <row r="39" spans="2:2" x14ac:dyDescent="0.3">
      <c r="B39" s="8"/>
    </row>
  </sheetData>
  <hyperlinks>
    <hyperlink ref="B33" r:id="rId1"/>
    <hyperlink ref="B35" r:id="rId2"/>
    <hyperlink ref="B36" r:id="rId3"/>
    <hyperlink ref="B34" r:id="rId4"/>
    <hyperlink ref="B37" r:id="rId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heetViews>
  <sheetFormatPr defaultColWidth="11.5546875" defaultRowHeight="14.4" x14ac:dyDescent="0.3"/>
  <cols>
    <col min="1" max="1" width="13" bestFit="1" customWidth="1"/>
    <col min="2" max="2" width="52" customWidth="1"/>
    <col min="3" max="3" width="32" customWidth="1"/>
  </cols>
  <sheetData>
    <row r="1" spans="1:3" x14ac:dyDescent="0.3">
      <c r="A1" s="19" t="s">
        <v>28</v>
      </c>
      <c r="B1" s="20" t="s">
        <v>29</v>
      </c>
      <c r="C1" s="21" t="s">
        <v>35</v>
      </c>
    </row>
    <row r="2" spans="1:3" x14ac:dyDescent="0.3">
      <c r="A2" s="19" t="s">
        <v>31</v>
      </c>
      <c r="B2" s="22" t="s">
        <v>27</v>
      </c>
      <c r="C2" s="23"/>
    </row>
    <row r="3" spans="1:3" ht="43.2" x14ac:dyDescent="0.3">
      <c r="A3" s="24" t="s">
        <v>30</v>
      </c>
      <c r="B3" s="18" t="s">
        <v>36</v>
      </c>
      <c r="C3" s="25" t="s">
        <v>37</v>
      </c>
    </row>
    <row r="4" spans="1:3" x14ac:dyDescent="0.3">
      <c r="A4" s="26" t="s">
        <v>32</v>
      </c>
      <c r="B4" s="22" t="s">
        <v>26</v>
      </c>
      <c r="C4" s="23"/>
    </row>
    <row r="5" spans="1:3" ht="28.8" x14ac:dyDescent="0.3">
      <c r="A5" s="26" t="s">
        <v>33</v>
      </c>
      <c r="B5" s="17" t="s">
        <v>34</v>
      </c>
      <c r="C5" s="27" t="s">
        <v>38</v>
      </c>
    </row>
    <row r="6" spans="1:3" x14ac:dyDescent="0.3">
      <c r="A6" s="26" t="s">
        <v>39</v>
      </c>
      <c r="B6" s="17" t="s">
        <v>40</v>
      </c>
      <c r="C6" s="27" t="s">
        <v>38</v>
      </c>
    </row>
    <row r="7" spans="1:3" x14ac:dyDescent="0.3">
      <c r="A7" s="26" t="s">
        <v>41</v>
      </c>
      <c r="B7" s="18" t="s">
        <v>42</v>
      </c>
      <c r="C7" s="28" t="s">
        <v>38</v>
      </c>
    </row>
    <row r="8" spans="1:3" x14ac:dyDescent="0.3">
      <c r="A8" s="29" t="s">
        <v>43</v>
      </c>
    </row>
    <row r="9" spans="1:3" x14ac:dyDescent="0.3">
      <c r="B9" s="16"/>
    </row>
    <row r="10" spans="1:3" x14ac:dyDescent="0.3">
      <c r="A10" s="1" t="s">
        <v>23</v>
      </c>
      <c r="B10" s="16"/>
    </row>
    <row r="11" spans="1:3" x14ac:dyDescent="0.3">
      <c r="B11" s="16"/>
    </row>
    <row r="12" spans="1:3" x14ac:dyDescent="0.3">
      <c r="B12" s="16"/>
    </row>
    <row r="13" spans="1:3" x14ac:dyDescent="0.3">
      <c r="B13" s="16"/>
    </row>
    <row r="14" spans="1:3" x14ac:dyDescent="0.3">
      <c r="B14" s="16"/>
    </row>
    <row r="15" spans="1:3" x14ac:dyDescent="0.3">
      <c r="B15" s="16"/>
    </row>
    <row r="16" spans="1:3" x14ac:dyDescent="0.3">
      <c r="B16" s="16"/>
    </row>
    <row r="17" spans="2:2" x14ac:dyDescent="0.3">
      <c r="B17" s="16"/>
    </row>
    <row r="18" spans="2:2" x14ac:dyDescent="0.3">
      <c r="B18" s="16"/>
    </row>
    <row r="19" spans="2:2" x14ac:dyDescent="0.3">
      <c r="B19" s="16"/>
    </row>
    <row r="20" spans="2:2" x14ac:dyDescent="0.3">
      <c r="B20" s="16"/>
    </row>
    <row r="21" spans="2:2" x14ac:dyDescent="0.3">
      <c r="B21" s="16"/>
    </row>
    <row r="22" spans="2:2" x14ac:dyDescent="0.3">
      <c r="B22" s="16"/>
    </row>
    <row r="23" spans="2:2" x14ac:dyDescent="0.3">
      <c r="B23" s="16"/>
    </row>
    <row r="24" spans="2:2" x14ac:dyDescent="0.3">
      <c r="B24" s="16"/>
    </row>
    <row r="25" spans="2:2" x14ac:dyDescent="0.3">
      <c r="B25" s="16"/>
    </row>
    <row r="26" spans="2:2" x14ac:dyDescent="0.3">
      <c r="B26" s="16"/>
    </row>
    <row r="27" spans="2:2" x14ac:dyDescent="0.3">
      <c r="B27"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Stratified_Data</vt:lpstr>
      <vt:lpstr>Total_Data</vt:lpstr>
      <vt:lpstr>Comments</vt:lpstr>
      <vt:lpstr>Indicator definitions</vt:lpstr>
    </vt:vector>
  </TitlesOfParts>
  <Company>Johns Hopkins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2020-05-23T13:38:33Z</dcterms:created>
  <dcterms:modified xsi:type="dcterms:W3CDTF">2020-10-06T19:24:34Z</dcterms:modified>
</cp:coreProperties>
</file>