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melissaschnure/Dropbox/Documents_local/Hopkins/PhD/EHE/Suppression data/21. San Antonio/"/>
    </mc:Choice>
  </mc:AlternateContent>
  <xr:revisionPtr revIDLastSave="0" documentId="13_ncr:1_{49BB8339-E587-E74F-A7BE-F496F5BEEFC0}" xr6:coauthVersionLast="45" xr6:coauthVersionMax="45" xr10:uidLastSave="{00000000-0000-0000-0000-000000000000}"/>
  <bookViews>
    <workbookView xWindow="60" yWindow="540" windowWidth="38180" windowHeight="19440" xr2:uid="{00000000-000D-0000-FFFF-FFFF00000000}"/>
  </bookViews>
  <sheets>
    <sheet name="Stratified_Data" sheetId="1" r:id="rId1"/>
    <sheet name="Total_Data" sheetId="4" r:id="rId2"/>
    <sheet name="Comments" sheetId="2" r:id="rId3"/>
    <sheet name="Indicator definitions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P17" i="1"/>
  <c r="O17" i="1"/>
  <c r="N17" i="1"/>
  <c r="O16" i="1"/>
  <c r="P16" i="1"/>
  <c r="P15" i="1"/>
  <c r="O15" i="1"/>
  <c r="N16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6" i="1"/>
  <c r="O6" i="1"/>
  <c r="N6" i="1"/>
  <c r="P5" i="1"/>
  <c r="O5" i="1"/>
  <c r="N5" i="1"/>
  <c r="P4" i="1"/>
  <c r="O4" i="1"/>
  <c r="N4" i="1"/>
  <c r="P3" i="1"/>
  <c r="O3" i="1"/>
  <c r="P8" i="1"/>
  <c r="O8" i="1"/>
  <c r="N8" i="1"/>
  <c r="P7" i="1"/>
  <c r="O7" i="1"/>
  <c r="N7" i="1"/>
  <c r="N3" i="1"/>
  <c r="M16" i="1"/>
  <c r="M15" i="1"/>
  <c r="F13" i="1"/>
  <c r="F12" i="1"/>
  <c r="F11" i="1"/>
  <c r="F10" i="1"/>
  <c r="F9" i="1"/>
  <c r="F4" i="1"/>
  <c r="F6" i="1"/>
  <c r="F5" i="1"/>
  <c r="D3" i="1"/>
  <c r="J3" i="1"/>
  <c r="I3" i="1"/>
  <c r="D5" i="4"/>
  <c r="X3" i="1"/>
  <c r="R3" i="1"/>
  <c r="Q13" i="1"/>
  <c r="Q12" i="1"/>
  <c r="Q11" i="1"/>
  <c r="Q10" i="1"/>
  <c r="Q9" i="1"/>
  <c r="V17" i="1"/>
  <c r="S16" i="1"/>
  <c r="V16" i="1"/>
  <c r="S15" i="1"/>
  <c r="V15" i="1"/>
  <c r="V14" i="1"/>
  <c r="V13" i="1"/>
  <c r="V12" i="1"/>
  <c r="V11" i="1"/>
  <c r="V10" i="1"/>
  <c r="V9" i="1"/>
  <c r="V5" i="1"/>
  <c r="V4" i="1"/>
  <c r="V6" i="1"/>
  <c r="V8" i="1"/>
  <c r="V7" i="1"/>
  <c r="U17" i="1"/>
  <c r="U16" i="1"/>
  <c r="U15" i="1"/>
  <c r="U14" i="1"/>
  <c r="U13" i="1"/>
  <c r="U12" i="1"/>
  <c r="U11" i="1"/>
  <c r="U10" i="1"/>
  <c r="U9" i="1"/>
  <c r="U6" i="1"/>
  <c r="U5" i="1"/>
  <c r="U4" i="1"/>
  <c r="U8" i="1"/>
  <c r="U7" i="1"/>
  <c r="T17" i="1"/>
  <c r="T16" i="1"/>
  <c r="T15" i="1"/>
  <c r="T14" i="1"/>
  <c r="T13" i="1"/>
  <c r="T12" i="1"/>
  <c r="T11" i="1"/>
  <c r="T10" i="1"/>
  <c r="T9" i="1"/>
  <c r="T5" i="1"/>
  <c r="T4" i="1"/>
  <c r="T6" i="1"/>
  <c r="T8" i="1"/>
  <c r="T7" i="1"/>
  <c r="V3" i="1"/>
  <c r="U3" i="1"/>
  <c r="T3" i="1"/>
  <c r="B17" i="1"/>
  <c r="B16" i="1"/>
  <c r="B15" i="1"/>
  <c r="B14" i="1"/>
  <c r="B8" i="1"/>
  <c r="B7" i="1"/>
  <c r="B5" i="1"/>
  <c r="B4" i="1"/>
  <c r="B6" i="1"/>
</calcChain>
</file>

<file path=xl/sharedStrings.xml><?xml version="1.0" encoding="utf-8"?>
<sst xmlns="http://schemas.openxmlformats.org/spreadsheetml/2006/main" count="85" uniqueCount="59">
  <si>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</si>
  <si>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</si>
  <si>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</si>
  <si>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</si>
  <si>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</si>
  <si>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</si>
  <si>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</si>
  <si>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</si>
  <si>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</si>
  <si>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</si>
  <si>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</si>
  <si>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</si>
  <si>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</si>
  <si>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</si>
  <si>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</si>
  <si>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</si>
  <si>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</si>
  <si>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</si>
  <si>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</si>
  <si>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</si>
  <si>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</si>
  <si>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</si>
  <si>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</si>
  <si>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 xml:space="preserve"> </t>
  </si>
  <si>
    <t xml:space="preserve">Specific EHE priority counties: </t>
  </si>
  <si>
    <t>retained</t>
  </si>
  <si>
    <t>Individuals living with diagnosed HIV</t>
  </si>
  <si>
    <t>Individuals diagnosed with HIV in that year</t>
  </si>
  <si>
    <t>Indicator</t>
  </si>
  <si>
    <t>Definition</t>
  </si>
  <si>
    <t>Linked (%)</t>
  </si>
  <si>
    <t>New (n)</t>
  </si>
  <si>
    <t>Prevalent (n)</t>
  </si>
  <si>
    <t>Engaged (%)</t>
  </si>
  <si>
    <t>“Receipt of care” (defined as ≥1 test (CD4 or viral load)), or “In care”  (documented care ≥1 time)</t>
  </si>
  <si>
    <t>Denominator</t>
  </si>
  <si>
    <t>Individuals who visited an HIV heath care provider (had ≥1 documented test) within 1 month after receiving a diagnosis of HIV</t>
  </si>
  <si>
    <t>Individuals receiving a diagnosis of HIV in a given year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</si>
  <si>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</si>
  <si>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</si>
  <si>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</si>
  <si>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</si>
  <si>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</si>
  <si>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</si>
  <si>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>Bexar county (2,003,554)</t>
  </si>
  <si>
    <t>MSA total: 2,550,960</t>
  </si>
  <si>
    <t>Bexar largest by far of 8 counties</t>
  </si>
  <si>
    <t xml:space="preserve">Other counties in MSA: </t>
  </si>
  <si>
    <t>https://www.sanantonio.gov/Portals/0/Files/health/News/Reports/STDs/STDs2018.pdf</t>
  </si>
  <si>
    <t>https://www.sanantonio.gov/Portals/0/Files/health/News/Reports/Fast-TrackCitiesSAReporttoCommunity.pdf</t>
  </si>
  <si>
    <t>http://www.fast-trackcities.org/cities/san-antonio-bexar-county</t>
  </si>
  <si>
    <t xml:space="preserve">Bexar/San Antonio: </t>
  </si>
  <si>
    <t xml:space="preserve">Texas: </t>
  </si>
  <si>
    <t>https://txhivsyndicateorg.files.wordpress.com/2017/08/2017-2021-texas-hiv-plan.pdf</t>
  </si>
  <si>
    <t>Bexar county data</t>
  </si>
  <si>
    <t>Texas data</t>
  </si>
  <si>
    <t>http://www.fast-trackcities.org/sites/default/files/San%20Antonio%20Transitional%20Grant%20Area%20Integrated%20HIV%20Prevention%20and%20Care%20Plan%202017-2021.pdf</t>
  </si>
  <si>
    <t>Texas suppression in 2014 = 57%; San Antonio TGA comparable (below)</t>
  </si>
  <si>
    <t>San Antonio TGA (Ryan 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</si>
</sst>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quotePrefix="1"/>
    <xf numFmtId="0" fontId="2" fillId="0" borderId="0" xfId="1"/>
    <xf numFmtId="0" fontId="0" fillId="0" borderId="0" xfId="0" applyFill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0" fontId="0" fillId="0" borderId="0" xfId="0" applyNumberFormat="1"/>
    <xf numFmtId="0" fontId="0" fillId="0" borderId="0" xfId="2" applyNumberFormat="1" applyFont="1"/>
    <xf numFmtId="3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1" xfId="0" applyFill="1" applyBorder="1"/>
    <xf numFmtId="0" fontId="0" fillId="2" borderId="0" xfId="2" applyNumberFormat="1" applyFont="1" applyFill="1"/>
    <xf numFmtId="0" fontId="0" fillId="2" borderId="0" xfId="0" applyNumberFormat="1" applyFill="1"/>
    <xf numFmtId="172" fontId="0" fillId="2" borderId="2" xfId="0" applyNumberFormat="1" applyFill="1" applyBorder="1"/>
    <xf numFmtId="172" fontId="0" fillId="2" borderId="3" xfId="0" applyNumberFormat="1" applyFill="1" applyBorder="1"/>
    <xf numFmtId="172" fontId="0" fillId="2" borderId="0" xfId="0" applyNumberFormat="1" applyFill="1" applyBorder="1"/>
    <xf numFmtId="172" fontId="0" fillId="2" borderId="1" xfId="0" applyNumberFormat="1" applyFill="1" applyBorder="1"/>
    <xf numFmtId="172" fontId="0" fillId="2" borderId="0" xfId="0" applyNumberFormat="1" applyFill="1"/>
    <xf numFmtId="172" fontId="0" fillId="0" borderId="0" xfId="0" applyNumberFormat="1"/>
    <xf numFmtId="0" fontId="0" fillId="3" borderId="2" xfId="0" applyFill="1" applyBorder="1"/>
    <xf numFmtId="172" fontId="0" fillId="3" borderId="2" xfId="0" applyNumberFormat="1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1" xfId="0" applyFill="1" applyBorder="1"/>
    <xf numFmtId="2" fontId="0" fillId="3" borderId="3" xfId="0" applyNumberFormat="1" applyFill="1" applyBorder="1"/>
    <xf numFmtId="0" fontId="0" fillId="3" borderId="0" xfId="0" applyFill="1"/>
    <xf numFmtId="9" fontId="0" fillId="3" borderId="0" xfId="2" applyFont="1" applyFill="1"/>
    <xf numFmtId="0" fontId="0" fillId="3" borderId="0" xfId="0" applyFont="1" applyFill="1"/>
    <xf numFmtId="0" fontId="0" fillId="3" borderId="0" xfId="0" applyNumberFormat="1" applyFill="1"/>
    <xf numFmtId="0" fontId="0" fillId="2" borderId="0" xfId="0" applyFont="1" applyFill="1"/>
    <xf numFmtId="1" fontId="0" fillId="3" borderId="2" xfId="0" applyNumberFormat="1" applyFill="1" applyBorder="1"/>
    <xf numFmtId="172" fontId="0" fillId="3" borderId="3" xfId="0" applyNumberFormat="1" applyFill="1" applyBorder="1"/>
    <xf numFmtId="172" fontId="0" fillId="3" borderId="0" xfId="0" applyNumberFormat="1" applyFill="1" applyBorder="1"/>
    <xf numFmtId="172" fontId="0" fillId="3" borderId="1" xfId="0" applyNumberFormat="1" applyFill="1" applyBorder="1"/>
    <xf numFmtId="0" fontId="0" fillId="3" borderId="0" xfId="2" applyNumberFormat="1" applyFont="1" applyFill="1"/>
    <xf numFmtId="172" fontId="0" fillId="3" borderId="0" xfId="0" applyNumberFormat="1" applyFill="1"/>
    <xf numFmtId="0" fontId="0" fillId="4" borderId="2" xfId="0" applyFill="1" applyBorder="1"/>
    <xf numFmtId="172" fontId="0" fillId="4" borderId="2" xfId="0" applyNumberFormat="1" applyFill="1" applyBorder="1"/>
    <xf numFmtId="0" fontId="0" fillId="4" borderId="3" xfId="0" applyFill="1" applyBorder="1"/>
    <xf numFmtId="172" fontId="0" fillId="4" borderId="3" xfId="0" applyNumberFormat="1" applyFill="1" applyBorder="1"/>
    <xf numFmtId="0" fontId="0" fillId="4" borderId="0" xfId="0" applyFill="1" applyBorder="1"/>
    <xf numFmtId="172" fontId="0" fillId="4" borderId="0" xfId="0" applyNumberFormat="1" applyFill="1" applyBorder="1"/>
    <xf numFmtId="0" fontId="0" fillId="4" borderId="1" xfId="0" applyFill="1" applyBorder="1"/>
    <xf numFmtId="172" fontId="0" fillId="4" borderId="1" xfId="0" applyNumberFormat="1" applyFill="1" applyBorder="1"/>
    <xf numFmtId="0" fontId="0" fillId="4" borderId="0" xfId="2" applyNumberFormat="1" applyFont="1" applyFill="1"/>
    <xf numFmtId="0" fontId="0" fillId="4" borderId="0" xfId="0" applyNumberFormat="1" applyFill="1"/>
    <xf numFmtId="172" fontId="0" fillId="4" borderId="0" xfId="0" applyNumberFormat="1" applyFill="1"/>
    <xf numFmtId="0" fontId="0" fillId="4" borderId="0" xfId="0" applyFill="1"/>
    <xf numFmtId="3" fontId="0" fillId="4" borderId="0" xfId="0" applyNumberFormat="1" applyFill="1"/>
    <xf numFmtId="0" fontId="1" fillId="3" borderId="1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13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0" fillId="3" borderId="14" xfId="0" applyFill="1" applyBorder="1"/>
    <xf numFmtId="172" fontId="0" fillId="3" borderId="7" xfId="0" applyNumberFormat="1" applyFill="1" applyBorder="1"/>
    <xf numFmtId="1" fontId="0" fillId="3" borderId="12" xfId="0" applyNumberFormat="1" applyFill="1" applyBorder="1"/>
    <xf numFmtId="0" fontId="0" fillId="3" borderId="4" xfId="0" applyFill="1" applyBorder="1"/>
    <xf numFmtId="1" fontId="0" fillId="3" borderId="13" xfId="0" applyNumberFormat="1" applyFill="1" applyBorder="1"/>
    <xf numFmtId="0" fontId="0" fillId="3" borderId="6" xfId="0" applyFill="1" applyBorder="1"/>
    <xf numFmtId="1" fontId="0" fillId="3" borderId="15" xfId="0" applyNumberFormat="1" applyFill="1" applyBorder="1"/>
    <xf numFmtId="0" fontId="0" fillId="3" borderId="5" xfId="0" applyFill="1" applyBorder="1"/>
    <xf numFmtId="2" fontId="0" fillId="3" borderId="4" xfId="0" applyNumberFormat="1" applyFill="1" applyBorder="1"/>
    <xf numFmtId="2" fontId="0" fillId="3" borderId="6" xfId="0" applyNumberFormat="1" applyFill="1" applyBorder="1"/>
    <xf numFmtId="2" fontId="0" fillId="3" borderId="5" xfId="0" applyNumberForma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0" fillId="3" borderId="11" xfId="0" applyFill="1" applyBorder="1"/>
    <xf numFmtId="1" fontId="0" fillId="3" borderId="8" xfId="0" applyNumberFormat="1" applyFill="1" applyBorder="1"/>
    <xf numFmtId="1" fontId="0" fillId="3" borderId="9" xfId="0" applyNumberFormat="1" applyFill="1" applyBorder="1"/>
    <xf numFmtId="1" fontId="0" fillId="3" borderId="10" xfId="0" applyNumberFormat="1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12" xfId="0" applyFill="1" applyBorder="1"/>
    <xf numFmtId="172" fontId="0" fillId="3" borderId="4" xfId="0" applyNumberFormat="1" applyFill="1" applyBorder="1"/>
    <xf numFmtId="0" fontId="0" fillId="3" borderId="13" xfId="0" applyFill="1" applyBorder="1"/>
    <xf numFmtId="172" fontId="0" fillId="3" borderId="6" xfId="0" applyNumberFormat="1" applyFill="1" applyBorder="1"/>
    <xf numFmtId="0" fontId="0" fillId="3" borderId="15" xfId="0" applyFill="1" applyBorder="1"/>
    <xf numFmtId="172" fontId="0" fillId="3" borderId="5" xfId="0" applyNumberFormat="1" applyFill="1" applyBorder="1"/>
    <xf numFmtId="0" fontId="1" fillId="4" borderId="1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13" xfId="0" applyFont="1" applyFill="1" applyBorder="1"/>
    <xf numFmtId="0" fontId="1" fillId="4" borderId="0" xfId="0" applyFont="1" applyFill="1" applyBorder="1"/>
    <xf numFmtId="0" fontId="1" fillId="4" borderId="6" xfId="0" applyFont="1" applyFill="1" applyBorder="1"/>
    <xf numFmtId="0" fontId="0" fillId="4" borderId="14" xfId="0" applyFill="1" applyBorder="1"/>
    <xf numFmtId="172" fontId="0" fillId="4" borderId="7" xfId="0" applyNumberFormat="1" applyFill="1" applyBorder="1"/>
    <xf numFmtId="0" fontId="0" fillId="4" borderId="12" xfId="0" applyFill="1" applyBorder="1"/>
    <xf numFmtId="172" fontId="0" fillId="4" borderId="4" xfId="0" applyNumberFormat="1" applyFill="1" applyBorder="1"/>
    <xf numFmtId="0" fontId="0" fillId="4" borderId="13" xfId="0" applyFill="1" applyBorder="1"/>
    <xf numFmtId="172" fontId="0" fillId="4" borderId="6" xfId="0" applyNumberFormat="1" applyFill="1" applyBorder="1"/>
    <xf numFmtId="0" fontId="0" fillId="4" borderId="15" xfId="0" applyFill="1" applyBorder="1"/>
    <xf numFmtId="172" fontId="0" fillId="4" borderId="5" xfId="0" applyNumberFormat="1" applyFill="1" applyBorder="1"/>
    <xf numFmtId="1" fontId="0" fillId="4" borderId="13" xfId="0" applyNumberFormat="1" applyFill="1" applyBorder="1"/>
    <xf numFmtId="1" fontId="0" fillId="4" borderId="15" xfId="0" applyNumberFormat="1" applyFill="1" applyBorder="1"/>
    <xf numFmtId="0" fontId="1" fillId="2" borderId="1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3" xfId="0" applyFont="1" applyFill="1" applyBorder="1"/>
    <xf numFmtId="0" fontId="1" fillId="2" borderId="0" xfId="0" applyFont="1" applyFill="1" applyBorder="1"/>
    <xf numFmtId="0" fontId="1" fillId="2" borderId="6" xfId="0" applyFont="1" applyFill="1" applyBorder="1"/>
    <xf numFmtId="0" fontId="0" fillId="2" borderId="14" xfId="0" applyFill="1" applyBorder="1"/>
    <xf numFmtId="172" fontId="0" fillId="2" borderId="7" xfId="0" applyNumberFormat="1" applyFill="1" applyBorder="1"/>
    <xf numFmtId="0" fontId="0" fillId="2" borderId="12" xfId="0" applyFill="1" applyBorder="1"/>
    <xf numFmtId="172" fontId="0" fillId="2" borderId="4" xfId="0" applyNumberFormat="1" applyFill="1" applyBorder="1"/>
    <xf numFmtId="0" fontId="0" fillId="2" borderId="13" xfId="0" applyFill="1" applyBorder="1"/>
    <xf numFmtId="172" fontId="0" fillId="2" borderId="6" xfId="0" applyNumberFormat="1" applyFill="1" applyBorder="1"/>
    <xf numFmtId="0" fontId="0" fillId="2" borderId="15" xfId="0" applyFill="1" applyBorder="1"/>
    <xf numFmtId="172" fontId="0" fillId="2" borderId="5" xfId="0" applyNumberFormat="1" applyFill="1" applyBorder="1"/>
    <xf numFmtId="1" fontId="0" fillId="2" borderId="13" xfId="0" applyNumberFormat="1" applyFill="1" applyBorder="1"/>
    <xf numFmtId="1" fontId="0" fillId="2" borderId="15" xfId="0" applyNumberFormat="1" applyFill="1" applyBorder="1"/>
    <xf numFmtId="0" fontId="0" fillId="2" borderId="7" xfId="0" applyFill="1" applyBorder="1"/>
    <xf numFmtId="0" fontId="0" fillId="0" borderId="12" xfId="0" applyBorder="1"/>
    <xf numFmtId="0" fontId="0" fillId="0" borderId="4" xfId="0" applyBorder="1"/>
    <xf numFmtId="0" fontId="0" fillId="0" borderId="13" xfId="0" applyBorder="1"/>
    <xf numFmtId="0" fontId="0" fillId="0" borderId="6" xfId="0" applyBorder="1"/>
    <xf numFmtId="0" fontId="0" fillId="0" borderId="15" xfId="0" applyBorder="1"/>
    <xf numFmtId="0" fontId="0" fillId="0" borderId="5" xfId="0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22</xdr:row>
      <xdr:rowOff>95250</xdr:rowOff>
    </xdr:from>
    <xdr:to>
      <xdr:col>11</xdr:col>
      <xdr:colOff>176546</xdr:colOff>
      <xdr:row>41</xdr:row>
      <xdr:rowOff>69342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B56022-D5F0-C142-BCDE-F0172F1B5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4286250"/>
          <a:ext cx="8876045" cy="35935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st-trackcities.org/cities/san-antonio-bexar-county" TargetMode="External"/><Relationship Id="rId2" Type="http://schemas.openxmlformats.org/officeDocument/2006/relationships/hyperlink" Target="https://www.sanantonio.gov/Portals/0/Files/health/News/Reports/Fast-TrackCitiesSAReporttoCommunity.pdf" TargetMode="External"/><Relationship Id="rId1" Type="http://schemas.openxmlformats.org/officeDocument/2006/relationships/hyperlink" Target="https://www.sanantonio.gov/Portals/0/Files/health/News/Reports/STDs/STDs2018.pdf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www.fast-trackcities.org/sites/default/files/San%20Antonio%20Transitional%20Grant%20Area%20Integrated%20HIV%20Prevention%20and%20Care%20Plan%202017-2021.pdf" TargetMode="External"/><Relationship Id="rId4" Type="http://schemas.openxmlformats.org/officeDocument/2006/relationships/hyperlink" Target="https://txhivsyndicateorg.files.wordpress.com/2017/08/2017-2021-texas-hiv-pla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4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8.83203125" defaultRowHeight="15" x14ac:dyDescent="0.2"/>
  <cols>
    <col min="1" max="1" width="13.33203125" style="1" customWidth="1"/>
  </cols>
  <sheetData>
    <row r="1" spans="1:24" s="1" customFormat="1" x14ac:dyDescent="0.2">
      <c r="A1" s="1" t="s">
        <v>22</v>
      </c>
      <c r="B1" s="75" t="s">
        <v>19</v>
      </c>
      <c r="C1" s="76" t="s">
        <v>17</v>
      </c>
      <c r="D1" s="77" t="s">
        <v>16</v>
      </c>
      <c r="E1" s="92" t="s">
        <v>19</v>
      </c>
      <c r="F1" s="92" t="s">
        <v>19</v>
      </c>
      <c r="G1" s="75" t="s">
        <v>19</v>
      </c>
      <c r="H1" s="76" t="s">
        <v>17</v>
      </c>
      <c r="I1" s="76" t="s">
        <v>25</v>
      </c>
      <c r="J1" s="77" t="s">
        <v>16</v>
      </c>
      <c r="K1" s="107" t="s">
        <v>19</v>
      </c>
      <c r="L1" s="108" t="s">
        <v>18</v>
      </c>
      <c r="M1" s="108" t="s">
        <v>17</v>
      </c>
      <c r="N1" s="108" t="s">
        <v>21</v>
      </c>
      <c r="O1" s="108" t="s">
        <v>25</v>
      </c>
      <c r="P1" s="109" t="s">
        <v>16</v>
      </c>
      <c r="Q1" s="123" t="s">
        <v>19</v>
      </c>
      <c r="R1" s="124" t="s">
        <v>18</v>
      </c>
      <c r="S1" s="124" t="s">
        <v>17</v>
      </c>
      <c r="T1" s="124" t="s">
        <v>21</v>
      </c>
      <c r="U1" s="124" t="s">
        <v>25</v>
      </c>
      <c r="V1" s="125" t="s">
        <v>16</v>
      </c>
      <c r="W1" s="123" t="s">
        <v>19</v>
      </c>
      <c r="X1" s="125" t="s">
        <v>18</v>
      </c>
    </row>
    <row r="2" spans="1:24" s="1" customFormat="1" x14ac:dyDescent="0.2">
      <c r="A2" s="1" t="s">
        <v>15</v>
      </c>
      <c r="B2" s="78">
        <v>2018</v>
      </c>
      <c r="C2" s="79">
        <v>2018</v>
      </c>
      <c r="D2" s="80">
        <v>2018</v>
      </c>
      <c r="E2" s="93">
        <v>2017</v>
      </c>
      <c r="F2" s="93">
        <v>2016</v>
      </c>
      <c r="G2" s="78">
        <v>2015</v>
      </c>
      <c r="H2" s="79">
        <v>2015</v>
      </c>
      <c r="I2" s="79">
        <v>2015</v>
      </c>
      <c r="J2" s="80">
        <v>2015</v>
      </c>
      <c r="K2" s="110">
        <v>2014</v>
      </c>
      <c r="L2" s="111">
        <v>2014</v>
      </c>
      <c r="M2" s="111">
        <v>2014</v>
      </c>
      <c r="N2" s="111">
        <v>2014</v>
      </c>
      <c r="O2" s="111">
        <v>2014</v>
      </c>
      <c r="P2" s="112">
        <v>2014</v>
      </c>
      <c r="Q2" s="126">
        <v>2014</v>
      </c>
      <c r="R2" s="127">
        <v>2014</v>
      </c>
      <c r="S2" s="127">
        <v>2014</v>
      </c>
      <c r="T2" s="127">
        <v>2014</v>
      </c>
      <c r="U2" s="127">
        <v>2014</v>
      </c>
      <c r="V2" s="128">
        <v>2014</v>
      </c>
      <c r="W2" s="126">
        <v>2013</v>
      </c>
      <c r="X2" s="128">
        <v>2013</v>
      </c>
    </row>
    <row r="3" spans="1:24" s="5" customFormat="1" x14ac:dyDescent="0.2">
      <c r="A3" s="4" t="s">
        <v>0</v>
      </c>
      <c r="B3" s="81">
        <v>338</v>
      </c>
      <c r="C3" s="56">
        <v>6893</v>
      </c>
      <c r="D3" s="82">
        <f>4337/C3</f>
        <v>0.62918903235166113</v>
      </c>
      <c r="E3" s="94">
        <v>352</v>
      </c>
      <c r="F3" s="94">
        <v>360</v>
      </c>
      <c r="G3" s="81">
        <v>368</v>
      </c>
      <c r="H3" s="45">
        <v>6343</v>
      </c>
      <c r="I3" s="46">
        <f>4547/H3</f>
        <v>0.71685322402648588</v>
      </c>
      <c r="J3" s="82">
        <f>3878/H3</f>
        <v>0.61138262651742081</v>
      </c>
      <c r="K3" s="113">
        <v>327</v>
      </c>
      <c r="L3" s="62">
        <f>0.65+0.18</f>
        <v>0.83000000000000007</v>
      </c>
      <c r="M3" s="62">
        <v>5814</v>
      </c>
      <c r="N3" s="63">
        <f>4517/M3</f>
        <v>0.77691778465772277</v>
      </c>
      <c r="O3" s="63">
        <f>4197/M3</f>
        <v>0.72187822497420018</v>
      </c>
      <c r="P3" s="114">
        <f>3333/M3</f>
        <v>0.5732714138286894</v>
      </c>
      <c r="Q3" s="129">
        <v>4405</v>
      </c>
      <c r="R3" s="33">
        <f>0.62+0.19</f>
        <v>0.81</v>
      </c>
      <c r="S3" s="33">
        <v>80073</v>
      </c>
      <c r="T3" s="39">
        <f>61229/S3</f>
        <v>0.76466474342162771</v>
      </c>
      <c r="U3" s="39">
        <f>55940/S3</f>
        <v>0.69861251607907782</v>
      </c>
      <c r="V3" s="130">
        <f>45231/S3</f>
        <v>0.56487205425049647</v>
      </c>
      <c r="W3" s="129">
        <v>4259</v>
      </c>
      <c r="X3" s="139">
        <f>0.61+0.18</f>
        <v>0.79</v>
      </c>
    </row>
    <row r="4" spans="1:24" s="7" customFormat="1" x14ac:dyDescent="0.2">
      <c r="A4" s="6" t="s">
        <v>1</v>
      </c>
      <c r="B4" s="83">
        <f>0.175*B3</f>
        <v>59.15</v>
      </c>
      <c r="C4" s="47"/>
      <c r="D4" s="84"/>
      <c r="E4" s="95"/>
      <c r="F4" s="95">
        <f>0.144*F3</f>
        <v>51.839999999999996</v>
      </c>
      <c r="G4" s="101"/>
      <c r="H4" s="47"/>
      <c r="I4" s="57"/>
      <c r="J4" s="102"/>
      <c r="K4" s="115"/>
      <c r="L4" s="64"/>
      <c r="M4" s="64">
        <v>876</v>
      </c>
      <c r="N4" s="65">
        <f>617/M4</f>
        <v>0.704337899543379</v>
      </c>
      <c r="O4" s="65">
        <f>568/M4</f>
        <v>0.64840182648401823</v>
      </c>
      <c r="P4" s="116">
        <f>425/M4</f>
        <v>0.48515981735159819</v>
      </c>
      <c r="Q4" s="131">
        <v>1649</v>
      </c>
      <c r="R4" s="34"/>
      <c r="S4" s="34">
        <v>29895</v>
      </c>
      <c r="T4" s="40">
        <f>22285/S4</f>
        <v>0.74544238166917542</v>
      </c>
      <c r="U4" s="40">
        <f>19802/S4</f>
        <v>0.66238501421642415</v>
      </c>
      <c r="V4" s="132">
        <f>14862/S4</f>
        <v>0.49713998996487707</v>
      </c>
      <c r="W4" s="140"/>
      <c r="X4" s="141"/>
    </row>
    <row r="5" spans="1:24" s="9" customFormat="1" x14ac:dyDescent="0.2">
      <c r="A5" s="8" t="s">
        <v>2</v>
      </c>
      <c r="B5" s="85">
        <f>0.607*B3</f>
        <v>205.166</v>
      </c>
      <c r="C5" s="48"/>
      <c r="D5" s="86"/>
      <c r="E5" s="96"/>
      <c r="F5" s="96">
        <f>0.667*F3</f>
        <v>240.12</v>
      </c>
      <c r="G5" s="103"/>
      <c r="H5" s="48"/>
      <c r="I5" s="58"/>
      <c r="J5" s="104"/>
      <c r="K5" s="117"/>
      <c r="L5" s="66"/>
      <c r="M5" s="66">
        <v>3411</v>
      </c>
      <c r="N5" s="67">
        <f>2770/M5</f>
        <v>0.81207856933450606</v>
      </c>
      <c r="O5" s="67">
        <f>2575/M5</f>
        <v>0.75491058340662565</v>
      </c>
      <c r="P5" s="118">
        <f>2052/M5</f>
        <v>0.60158311345646442</v>
      </c>
      <c r="Q5" s="133">
        <v>1650</v>
      </c>
      <c r="R5" s="35"/>
      <c r="S5" s="35">
        <v>24607</v>
      </c>
      <c r="T5" s="41">
        <f>18273/S5</f>
        <v>0.74259357093509981</v>
      </c>
      <c r="U5" s="41">
        <f>16850/S5</f>
        <v>0.68476449790709959</v>
      </c>
      <c r="V5" s="134">
        <f>13998/S5</f>
        <v>0.56886251879546468</v>
      </c>
      <c r="W5" s="142"/>
      <c r="X5" s="143"/>
    </row>
    <row r="6" spans="1:24" s="3" customFormat="1" x14ac:dyDescent="0.2">
      <c r="A6" s="2" t="s">
        <v>3</v>
      </c>
      <c r="B6" s="87">
        <f>0.169*B3</f>
        <v>57.122000000000007</v>
      </c>
      <c r="C6" s="49"/>
      <c r="D6" s="88"/>
      <c r="E6" s="97"/>
      <c r="F6" s="97">
        <f>0.169*F3</f>
        <v>60.84</v>
      </c>
      <c r="G6" s="105"/>
      <c r="H6" s="49"/>
      <c r="I6" s="59"/>
      <c r="J6" s="106"/>
      <c r="K6" s="119"/>
      <c r="L6" s="68"/>
      <c r="M6" s="68">
        <v>1299</v>
      </c>
      <c r="N6" s="69">
        <f>950/M6</f>
        <v>0.73133179368745194</v>
      </c>
      <c r="O6" s="69">
        <f>889/M6</f>
        <v>0.68437259430331021</v>
      </c>
      <c r="P6" s="120">
        <f>731/M6</f>
        <v>0.56274056966897612</v>
      </c>
      <c r="Q6" s="135">
        <v>919</v>
      </c>
      <c r="R6" s="36"/>
      <c r="S6" s="36">
        <v>22184</v>
      </c>
      <c r="T6" s="42">
        <f>17907/S6</f>
        <v>0.80720338983050843</v>
      </c>
      <c r="U6" s="42">
        <f>16694/S6</f>
        <v>0.75252434186801298</v>
      </c>
      <c r="V6" s="136">
        <f>14327/S6</f>
        <v>0.64582582041110714</v>
      </c>
      <c r="W6" s="144"/>
      <c r="X6" s="145"/>
    </row>
    <row r="7" spans="1:24" s="7" customFormat="1" x14ac:dyDescent="0.2">
      <c r="A7" s="6" t="s">
        <v>4</v>
      </c>
      <c r="B7" s="83">
        <f>0.86*B3</f>
        <v>290.68</v>
      </c>
      <c r="C7" s="47"/>
      <c r="D7" s="84"/>
      <c r="E7" s="95"/>
      <c r="F7" s="98"/>
      <c r="G7" s="101"/>
      <c r="H7" s="47"/>
      <c r="I7" s="57"/>
      <c r="J7" s="102"/>
      <c r="K7" s="115"/>
      <c r="L7" s="64"/>
      <c r="M7" s="64">
        <v>4919</v>
      </c>
      <c r="N7" s="65">
        <f>3083/M7</f>
        <v>0.62675340516365119</v>
      </c>
      <c r="O7" s="65">
        <f>3531/M7</f>
        <v>0.71782882699735717</v>
      </c>
      <c r="P7" s="116">
        <f>2836/M7</f>
        <v>0.57653994714372836</v>
      </c>
      <c r="Q7" s="131">
        <v>3582</v>
      </c>
      <c r="R7" s="34"/>
      <c r="S7" s="34">
        <v>62723</v>
      </c>
      <c r="T7" s="40">
        <f>47818/S7</f>
        <v>0.76236787143472096</v>
      </c>
      <c r="U7" s="40">
        <f>43688/S7</f>
        <v>0.69652280662595856</v>
      </c>
      <c r="V7" s="132">
        <f>35714/S7</f>
        <v>0.56939240788865331</v>
      </c>
      <c r="W7" s="140"/>
      <c r="X7" s="141"/>
    </row>
    <row r="8" spans="1:24" s="3" customFormat="1" x14ac:dyDescent="0.2">
      <c r="A8" s="2" t="s">
        <v>5</v>
      </c>
      <c r="B8" s="87">
        <f>0.14*B3</f>
        <v>47.320000000000007</v>
      </c>
      <c r="C8" s="48"/>
      <c r="D8" s="88"/>
      <c r="E8" s="97"/>
      <c r="F8" s="99"/>
      <c r="G8" s="105"/>
      <c r="H8" s="49"/>
      <c r="I8" s="59"/>
      <c r="J8" s="106"/>
      <c r="K8" s="119"/>
      <c r="L8" s="68"/>
      <c r="M8" s="68">
        <v>895</v>
      </c>
      <c r="N8" s="69">
        <f>714/M8</f>
        <v>0.79776536312849167</v>
      </c>
      <c r="O8" s="69">
        <f>666/M8</f>
        <v>0.7441340782122905</v>
      </c>
      <c r="P8" s="120">
        <f>497/M8</f>
        <v>0.55530726256983243</v>
      </c>
      <c r="Q8" s="135">
        <v>823</v>
      </c>
      <c r="R8" s="36"/>
      <c r="S8" s="36">
        <v>17350</v>
      </c>
      <c r="T8" s="42">
        <f>13481/S8</f>
        <v>0.77700288184438038</v>
      </c>
      <c r="U8" s="42">
        <f>12252/S8</f>
        <v>0.70616714697406335</v>
      </c>
      <c r="V8" s="136">
        <f>9517/S8</f>
        <v>0.5485302593659942</v>
      </c>
      <c r="W8" s="144"/>
      <c r="X8" s="145"/>
    </row>
    <row r="9" spans="1:24" s="7" customFormat="1" x14ac:dyDescent="0.2">
      <c r="A9" s="6" t="s">
        <v>6</v>
      </c>
      <c r="B9" s="83"/>
      <c r="C9" s="50"/>
      <c r="D9" s="89"/>
      <c r="E9" s="95"/>
      <c r="F9" s="95">
        <f>0.233*F3</f>
        <v>83.88000000000001</v>
      </c>
      <c r="G9" s="101"/>
      <c r="H9" s="47"/>
      <c r="I9" s="57"/>
      <c r="J9" s="102"/>
      <c r="K9" s="115"/>
      <c r="L9" s="64"/>
      <c r="M9" s="64">
        <v>322</v>
      </c>
      <c r="N9" s="65">
        <f>253/M9</f>
        <v>0.7857142857142857</v>
      </c>
      <c r="O9" s="65">
        <f>200/M9</f>
        <v>0.6211180124223602</v>
      </c>
      <c r="P9" s="116">
        <f>132/M9</f>
        <v>0.40993788819875776</v>
      </c>
      <c r="Q9" s="131">
        <f>215+917</f>
        <v>1132</v>
      </c>
      <c r="R9" s="34"/>
      <c r="S9" s="34">
        <v>3945</v>
      </c>
      <c r="T9" s="40">
        <f>3056/S9</f>
        <v>0.77465145754119136</v>
      </c>
      <c r="U9" s="40">
        <f>2344/S9</f>
        <v>0.59416983523447398</v>
      </c>
      <c r="V9" s="132">
        <f>1624/S9</f>
        <v>0.41166032953105197</v>
      </c>
      <c r="W9" s="140"/>
      <c r="X9" s="141"/>
    </row>
    <row r="10" spans="1:24" s="9" customFormat="1" x14ac:dyDescent="0.2">
      <c r="A10" s="8" t="s">
        <v>7</v>
      </c>
      <c r="B10" s="85"/>
      <c r="C10" s="48"/>
      <c r="D10" s="86"/>
      <c r="E10" s="96"/>
      <c r="F10" s="96">
        <f>0.4*F3</f>
        <v>144</v>
      </c>
      <c r="G10" s="103"/>
      <c r="H10" s="48"/>
      <c r="I10" s="58"/>
      <c r="J10" s="104"/>
      <c r="K10" s="117"/>
      <c r="L10" s="66"/>
      <c r="M10" s="66">
        <v>1127</v>
      </c>
      <c r="N10" s="67">
        <f>853/M10</f>
        <v>0.75687666370896189</v>
      </c>
      <c r="O10" s="67">
        <f>756/M10</f>
        <v>0.67080745341614911</v>
      </c>
      <c r="P10" s="118">
        <f>545/M10</f>
        <v>0.48358473824312331</v>
      </c>
      <c r="Q10" s="133">
        <f>847+594</f>
        <v>1441</v>
      </c>
      <c r="R10" s="35"/>
      <c r="S10" s="35">
        <v>14917</v>
      </c>
      <c r="T10" s="41">
        <f>11120/S10</f>
        <v>0.74545820205135083</v>
      </c>
      <c r="U10" s="41">
        <f>9526/S10</f>
        <v>0.63860025474291082</v>
      </c>
      <c r="V10" s="134">
        <f>7140/S10</f>
        <v>0.47864852182074141</v>
      </c>
      <c r="W10" s="142"/>
      <c r="X10" s="143"/>
    </row>
    <row r="11" spans="1:24" s="9" customFormat="1" x14ac:dyDescent="0.2">
      <c r="A11" s="8" t="s">
        <v>8</v>
      </c>
      <c r="B11" s="85"/>
      <c r="C11" s="48"/>
      <c r="D11" s="90"/>
      <c r="E11" s="96"/>
      <c r="F11" s="96">
        <f>0.181*F3</f>
        <v>65.16</v>
      </c>
      <c r="G11" s="103"/>
      <c r="H11" s="48"/>
      <c r="I11" s="58"/>
      <c r="J11" s="104"/>
      <c r="K11" s="117"/>
      <c r="L11" s="66"/>
      <c r="M11" s="66">
        <v>1265</v>
      </c>
      <c r="N11" s="67">
        <f>983/M11</f>
        <v>0.7770750988142292</v>
      </c>
      <c r="O11" s="67">
        <f>909/M11</f>
        <v>0.71857707509881419</v>
      </c>
      <c r="P11" s="118">
        <f>696/M11</f>
        <v>0.55019762845849807</v>
      </c>
      <c r="Q11" s="133">
        <f>488+404</f>
        <v>892</v>
      </c>
      <c r="R11" s="35"/>
      <c r="S11" s="35">
        <v>19763</v>
      </c>
      <c r="T11" s="41">
        <f>14480/S11</f>
        <v>0.73268228507817634</v>
      </c>
      <c r="U11" s="41">
        <f>13486/S11</f>
        <v>0.68238627738703639</v>
      </c>
      <c r="V11" s="134">
        <f>10652/S11</f>
        <v>0.53898699590143195</v>
      </c>
      <c r="W11" s="142"/>
      <c r="X11" s="143"/>
    </row>
    <row r="12" spans="1:24" s="9" customFormat="1" x14ac:dyDescent="0.2">
      <c r="A12" s="8" t="s">
        <v>9</v>
      </c>
      <c r="B12" s="85"/>
      <c r="C12" s="48"/>
      <c r="D12" s="86"/>
      <c r="E12" s="96"/>
      <c r="F12" s="96">
        <f>(0.526/2)*F3</f>
        <v>94.68</v>
      </c>
      <c r="G12" s="85"/>
      <c r="H12" s="48"/>
      <c r="I12" s="58"/>
      <c r="J12" s="104"/>
      <c r="K12" s="121"/>
      <c r="L12" s="66"/>
      <c r="M12" s="66">
        <v>1891</v>
      </c>
      <c r="N12" s="67">
        <f>1499/M12</f>
        <v>0.79270227392913806</v>
      </c>
      <c r="O12" s="67">
        <f>1434/M12</f>
        <v>0.75832892649391859</v>
      </c>
      <c r="P12" s="118">
        <f>1188/M12</f>
        <v>0.62823902696985723</v>
      </c>
      <c r="Q12" s="137">
        <f>921/2</f>
        <v>460.5</v>
      </c>
      <c r="R12" s="35"/>
      <c r="S12" s="35">
        <v>24976</v>
      </c>
      <c r="T12" s="41">
        <f>19616/S12</f>
        <v>0.78539397821909029</v>
      </c>
      <c r="U12" s="41">
        <f>18477/S12</f>
        <v>0.73979019859064699</v>
      </c>
      <c r="V12" s="134">
        <f>15319/S12</f>
        <v>0.61334881486226778</v>
      </c>
      <c r="W12" s="142"/>
      <c r="X12" s="143"/>
    </row>
    <row r="13" spans="1:24" s="3" customFormat="1" x14ac:dyDescent="0.2">
      <c r="A13" s="2" t="s">
        <v>10</v>
      </c>
      <c r="B13" s="87"/>
      <c r="C13" s="49"/>
      <c r="D13" s="91"/>
      <c r="E13" s="97"/>
      <c r="F13" s="96">
        <f>(0.526/2)*F3</f>
        <v>94.68</v>
      </c>
      <c r="G13" s="87"/>
      <c r="H13" s="49"/>
      <c r="I13" s="59"/>
      <c r="J13" s="106"/>
      <c r="K13" s="122"/>
      <c r="L13" s="68"/>
      <c r="M13" s="68">
        <v>1182</v>
      </c>
      <c r="N13" s="69">
        <f>911/M13</f>
        <v>0.77072758037225042</v>
      </c>
      <c r="O13" s="69">
        <f>881/M13</f>
        <v>0.74534686971235198</v>
      </c>
      <c r="P13" s="120">
        <f>758/M13</f>
        <v>0.64128595600676819</v>
      </c>
      <c r="Q13" s="138">
        <f>921/2</f>
        <v>460.5</v>
      </c>
      <c r="R13" s="36"/>
      <c r="S13" s="36">
        <v>16144</v>
      </c>
      <c r="T13" s="42">
        <f>12410/S13</f>
        <v>0.76870664023785928</v>
      </c>
      <c r="U13" s="42">
        <f>11859/S13</f>
        <v>0.73457631318136773</v>
      </c>
      <c r="V13" s="136">
        <f>10295/S13</f>
        <v>0.63769821605550048</v>
      </c>
      <c r="W13" s="144"/>
      <c r="X13" s="145"/>
    </row>
    <row r="14" spans="1:24" s="7" customFormat="1" x14ac:dyDescent="0.2">
      <c r="A14" s="6" t="s">
        <v>11</v>
      </c>
      <c r="B14" s="83">
        <f>0.731*B3</f>
        <v>247.078</v>
      </c>
      <c r="C14" s="47"/>
      <c r="D14" s="84"/>
      <c r="E14" s="95"/>
      <c r="F14" s="98"/>
      <c r="G14" s="101"/>
      <c r="H14" s="47"/>
      <c r="I14" s="57"/>
      <c r="J14" s="102"/>
      <c r="K14" s="115"/>
      <c r="L14" s="64"/>
      <c r="M14" s="64">
        <v>4007</v>
      </c>
      <c r="N14" s="65">
        <f>3137/M14</f>
        <v>0.7828799600698777</v>
      </c>
      <c r="O14" s="65">
        <f>2907/M14</f>
        <v>0.72548040928375346</v>
      </c>
      <c r="P14" s="116">
        <f>2363/M14</f>
        <v>0.58971799351135512</v>
      </c>
      <c r="Q14" s="131">
        <v>3078</v>
      </c>
      <c r="R14" s="34"/>
      <c r="S14" s="34">
        <v>46842</v>
      </c>
      <c r="T14" s="40">
        <f>36373/S14</f>
        <v>0.77650399214380261</v>
      </c>
      <c r="U14" s="40">
        <f>33146/S14</f>
        <v>0.70761282609623843</v>
      </c>
      <c r="V14" s="132">
        <f>27773/S14</f>
        <v>0.59290807395072798</v>
      </c>
      <c r="W14" s="140"/>
      <c r="X14" s="141"/>
    </row>
    <row r="15" spans="1:24" s="9" customFormat="1" x14ac:dyDescent="0.2">
      <c r="A15" s="8" t="s">
        <v>12</v>
      </c>
      <c r="B15" s="85">
        <f>0.056*B3</f>
        <v>18.928000000000001</v>
      </c>
      <c r="C15" s="48"/>
      <c r="D15" s="86"/>
      <c r="E15" s="96"/>
      <c r="F15" s="100"/>
      <c r="G15" s="103"/>
      <c r="H15" s="48"/>
      <c r="I15" s="58"/>
      <c r="J15" s="104"/>
      <c r="K15" s="117"/>
      <c r="L15" s="66"/>
      <c r="M15" s="66">
        <f>841/2</f>
        <v>420.5</v>
      </c>
      <c r="N15" s="67">
        <f>(613/2)/M15</f>
        <v>0.7288941736028538</v>
      </c>
      <c r="O15" s="67">
        <f>(574/2)/M15</f>
        <v>0.68252080856123665</v>
      </c>
      <c r="P15" s="118">
        <f>(420/2)/M15</f>
        <v>0.49940546967895361</v>
      </c>
      <c r="Q15" s="133">
        <v>240</v>
      </c>
      <c r="R15" s="35"/>
      <c r="S15" s="35">
        <f>13239/2</f>
        <v>6619.5</v>
      </c>
      <c r="T15" s="41">
        <f>(9829/2)/S15</f>
        <v>0.74242767580632973</v>
      </c>
      <c r="U15" s="41">
        <f>(9034/2)/S15</f>
        <v>0.68237782309842132</v>
      </c>
      <c r="V15" s="134">
        <f>(6600/2)/S15</f>
        <v>0.49852707908452298</v>
      </c>
      <c r="W15" s="142"/>
      <c r="X15" s="143"/>
    </row>
    <row r="16" spans="1:24" s="9" customFormat="1" x14ac:dyDescent="0.2">
      <c r="A16" s="8" t="s">
        <v>13</v>
      </c>
      <c r="B16" s="85">
        <f>0.056*B3</f>
        <v>18.928000000000001</v>
      </c>
      <c r="C16" s="48"/>
      <c r="D16" s="86"/>
      <c r="E16" s="96"/>
      <c r="F16" s="100"/>
      <c r="G16" s="103"/>
      <c r="H16" s="48"/>
      <c r="I16" s="58"/>
      <c r="J16" s="104"/>
      <c r="K16" s="117"/>
      <c r="L16" s="66"/>
      <c r="M16" s="66">
        <f>841/2</f>
        <v>420.5</v>
      </c>
      <c r="N16" s="67">
        <f>(613/2)/M16</f>
        <v>0.7288941736028538</v>
      </c>
      <c r="O16" s="67">
        <f>(574/2)/M16</f>
        <v>0.68252080856123665</v>
      </c>
      <c r="P16" s="118">
        <f>(420/2)/M16</f>
        <v>0.49940546967895361</v>
      </c>
      <c r="Q16" s="133">
        <v>116</v>
      </c>
      <c r="R16" s="35"/>
      <c r="S16" s="35">
        <f>13239/2</f>
        <v>6619.5</v>
      </c>
      <c r="T16" s="41">
        <f>(9829/2)/S16</f>
        <v>0.74242767580632973</v>
      </c>
      <c r="U16" s="41">
        <f>(9034/2)/S16</f>
        <v>0.68237782309842132</v>
      </c>
      <c r="V16" s="134">
        <f>(6600/2)/S16</f>
        <v>0.49852707908452298</v>
      </c>
      <c r="W16" s="142"/>
      <c r="X16" s="143"/>
    </row>
    <row r="17" spans="1:24" s="3" customFormat="1" x14ac:dyDescent="0.2">
      <c r="A17" s="2" t="s">
        <v>14</v>
      </c>
      <c r="B17" s="87">
        <f>0.151*B3</f>
        <v>51.037999999999997</v>
      </c>
      <c r="C17" s="49"/>
      <c r="D17" s="88"/>
      <c r="E17" s="97"/>
      <c r="F17" s="99"/>
      <c r="G17" s="105"/>
      <c r="H17" s="49"/>
      <c r="I17" s="59"/>
      <c r="J17" s="106"/>
      <c r="K17" s="119"/>
      <c r="L17" s="68"/>
      <c r="M17" s="68">
        <v>904</v>
      </c>
      <c r="N17" s="69">
        <f>723/M17</f>
        <v>0.7997787610619469</v>
      </c>
      <c r="O17" s="69">
        <f>676/M17</f>
        <v>0.74778761061946908</v>
      </c>
      <c r="P17" s="120">
        <f>521/M17</f>
        <v>0.57632743362831862</v>
      </c>
      <c r="Q17" s="135">
        <v>952</v>
      </c>
      <c r="R17" s="36"/>
      <c r="S17" s="36">
        <v>19059</v>
      </c>
      <c r="T17" s="42">
        <f>14409/S17</f>
        <v>0.75602077758539277</v>
      </c>
      <c r="U17" s="42">
        <f>13113/S17</f>
        <v>0.68802140720919247</v>
      </c>
      <c r="V17" s="136">
        <f>10373/S17</f>
        <v>0.54425730625950997</v>
      </c>
      <c r="W17" s="144"/>
      <c r="X17" s="145"/>
    </row>
    <row r="18" spans="1:24" x14ac:dyDescent="0.2">
      <c r="A18" s="1" t="s">
        <v>20</v>
      </c>
      <c r="B18" s="51"/>
      <c r="C18" s="51"/>
      <c r="D18" s="52"/>
      <c r="E18" s="51"/>
      <c r="F18" s="51"/>
      <c r="G18" s="60"/>
      <c r="H18" s="54"/>
      <c r="I18" s="61"/>
      <c r="J18" s="61"/>
      <c r="K18" s="70"/>
      <c r="L18" s="71">
        <v>3</v>
      </c>
      <c r="M18" s="71"/>
      <c r="N18" s="71"/>
      <c r="O18" s="72"/>
      <c r="P18" s="72"/>
      <c r="Q18" s="37"/>
      <c r="R18" s="38">
        <v>3</v>
      </c>
      <c r="S18" s="38"/>
      <c r="T18" s="38"/>
      <c r="U18" s="43"/>
      <c r="V18" s="43"/>
      <c r="X18">
        <v>3</v>
      </c>
    </row>
    <row r="19" spans="1:24" x14ac:dyDescent="0.2">
      <c r="C19" s="15"/>
      <c r="D19" s="15"/>
      <c r="G19" s="15"/>
      <c r="H19" s="16"/>
      <c r="I19" s="16"/>
      <c r="J19" s="16"/>
    </row>
    <row r="20" spans="1:24" x14ac:dyDescent="0.2">
      <c r="C20" s="16"/>
      <c r="D20" s="15"/>
      <c r="G20" s="16"/>
      <c r="H20" s="16"/>
      <c r="I20" s="17"/>
      <c r="J20" s="16"/>
      <c r="K20" s="16"/>
      <c r="Q20" s="16"/>
    </row>
    <row r="21" spans="1:24" x14ac:dyDescent="0.2">
      <c r="B21" s="53" t="s">
        <v>54</v>
      </c>
      <c r="C21" s="54"/>
      <c r="D21" s="18"/>
      <c r="G21" s="16"/>
      <c r="H21" s="16"/>
      <c r="I21" s="17"/>
      <c r="J21" s="16"/>
      <c r="K21" s="16"/>
      <c r="Q21" s="16"/>
    </row>
    <row r="22" spans="1:24" x14ac:dyDescent="0.2">
      <c r="B22" s="73" t="s">
        <v>58</v>
      </c>
      <c r="C22" s="71"/>
      <c r="D22" s="74"/>
      <c r="G22" s="16"/>
      <c r="H22" s="16"/>
      <c r="I22" s="17"/>
      <c r="J22" s="16"/>
      <c r="K22" s="16"/>
      <c r="Q22" s="16"/>
    </row>
    <row r="23" spans="1:24" x14ac:dyDescent="0.2">
      <c r="B23" s="55" t="s">
        <v>55</v>
      </c>
      <c r="C23" s="16"/>
      <c r="D23" s="18"/>
      <c r="F23" s="16"/>
      <c r="G23" s="16"/>
      <c r="H23" s="16"/>
      <c r="I23" s="17"/>
      <c r="J23" s="16"/>
      <c r="K23" s="16"/>
      <c r="Q23" s="16"/>
    </row>
    <row r="24" spans="1:24" x14ac:dyDescent="0.2">
      <c r="C24" s="16"/>
      <c r="D24" s="18"/>
      <c r="F24" s="16"/>
      <c r="G24" s="16"/>
      <c r="H24" s="16"/>
      <c r="I24" s="17"/>
      <c r="J24" s="16"/>
      <c r="K24" s="16"/>
      <c r="Q24" s="16"/>
    </row>
    <row r="25" spans="1:24" x14ac:dyDescent="0.2">
      <c r="C25" s="16"/>
      <c r="D25" s="16"/>
      <c r="F25" s="16"/>
      <c r="G25" s="16"/>
      <c r="H25" s="16"/>
      <c r="I25" s="17"/>
      <c r="J25" s="16"/>
      <c r="K25" s="16"/>
      <c r="Q25" s="16"/>
    </row>
    <row r="26" spans="1:24" x14ac:dyDescent="0.2">
      <c r="C26" s="16"/>
      <c r="D26" s="15"/>
      <c r="F26" s="16"/>
      <c r="G26" s="16"/>
      <c r="H26" s="16"/>
      <c r="I26" s="17"/>
      <c r="J26" s="16"/>
      <c r="K26" s="16"/>
      <c r="Q26" s="16"/>
    </row>
    <row r="27" spans="1:24" x14ac:dyDescent="0.2">
      <c r="C27" s="16"/>
      <c r="D27" s="15"/>
      <c r="F27" s="16"/>
      <c r="G27" s="16"/>
      <c r="H27" s="16"/>
      <c r="I27" s="17"/>
      <c r="J27" s="16"/>
      <c r="K27" s="16"/>
      <c r="Q27" s="16"/>
    </row>
    <row r="28" spans="1:24" x14ac:dyDescent="0.2">
      <c r="C28" s="16"/>
      <c r="D28" s="15"/>
      <c r="F28" s="16"/>
      <c r="G28" s="16"/>
      <c r="H28" s="16"/>
      <c r="I28" s="17"/>
      <c r="J28" s="16"/>
      <c r="K28" s="16"/>
      <c r="Q28" s="16"/>
    </row>
    <row r="29" spans="1:24" x14ac:dyDescent="0.2">
      <c r="C29" s="16"/>
      <c r="D29" s="15"/>
      <c r="F29" s="16"/>
      <c r="G29" s="16"/>
      <c r="H29" s="16"/>
      <c r="I29" s="17"/>
      <c r="J29" s="16"/>
      <c r="K29" s="16"/>
      <c r="Q29" s="16"/>
    </row>
    <row r="30" spans="1:24" x14ac:dyDescent="0.2">
      <c r="C30" s="16"/>
      <c r="D30" s="15"/>
      <c r="F30" s="16"/>
      <c r="G30" s="16"/>
      <c r="H30" s="16"/>
      <c r="I30" s="17"/>
      <c r="J30" s="16"/>
      <c r="K30" s="16"/>
      <c r="Q30" s="16"/>
    </row>
    <row r="31" spans="1:24" x14ac:dyDescent="0.2">
      <c r="C31" s="16"/>
      <c r="D31" s="15"/>
      <c r="F31" s="16"/>
      <c r="G31" s="16"/>
      <c r="H31" s="16"/>
      <c r="I31" s="16"/>
      <c r="J31" s="16"/>
      <c r="K31" s="16"/>
      <c r="Q31" s="16"/>
    </row>
    <row r="32" spans="1:24" x14ac:dyDescent="0.2">
      <c r="C32" s="16"/>
      <c r="D32" s="15"/>
      <c r="F32" s="16"/>
      <c r="G32" s="16"/>
      <c r="H32" s="16"/>
      <c r="I32" s="16"/>
      <c r="J32" s="16"/>
      <c r="K32" s="16"/>
      <c r="Q32" s="16"/>
    </row>
    <row r="33" spans="3:17" x14ac:dyDescent="0.2">
      <c r="C33" s="16"/>
      <c r="D33" s="15"/>
      <c r="F33" s="16"/>
      <c r="G33" s="16"/>
      <c r="H33" s="16"/>
      <c r="I33" s="16"/>
      <c r="J33" s="16"/>
      <c r="K33" s="16"/>
      <c r="Q33" s="16"/>
    </row>
    <row r="34" spans="3:17" x14ac:dyDescent="0.2">
      <c r="C34" s="16"/>
      <c r="F34" s="16"/>
      <c r="G34" s="16"/>
      <c r="K34" s="16"/>
      <c r="Q34" s="16"/>
    </row>
    <row r="35" spans="3:17" x14ac:dyDescent="0.2">
      <c r="C35" s="16"/>
      <c r="F35" s="16"/>
      <c r="G35" s="16"/>
      <c r="K35" s="16"/>
      <c r="Q35" s="16"/>
    </row>
    <row r="36" spans="3:17" x14ac:dyDescent="0.2">
      <c r="C36" s="16"/>
      <c r="D36" s="16"/>
      <c r="F36" s="16"/>
      <c r="G36" s="16"/>
      <c r="H36" s="16"/>
      <c r="I36" s="16"/>
      <c r="J36" s="16"/>
      <c r="K36" s="16"/>
      <c r="Q36" s="16"/>
    </row>
    <row r="37" spans="3:17" x14ac:dyDescent="0.2">
      <c r="C37" s="16"/>
      <c r="F37" s="16"/>
      <c r="G37" s="16"/>
      <c r="I37" s="17"/>
      <c r="J37" s="16"/>
      <c r="K37" s="16"/>
      <c r="Q37" s="16"/>
    </row>
    <row r="38" spans="3:17" x14ac:dyDescent="0.2">
      <c r="C38" s="16"/>
      <c r="F38" s="16"/>
      <c r="G38" s="16"/>
      <c r="I38" s="16"/>
      <c r="J38" s="16"/>
      <c r="K38" s="16"/>
      <c r="Q38" s="16"/>
    </row>
    <row r="39" spans="3:17" x14ac:dyDescent="0.2">
      <c r="C39" s="16"/>
      <c r="F39" s="16"/>
      <c r="G39" s="16"/>
      <c r="I39" s="16"/>
      <c r="J39" s="16"/>
      <c r="K39" s="16"/>
      <c r="Q39" s="16"/>
    </row>
    <row r="40" spans="3:17" x14ac:dyDescent="0.2">
      <c r="C40" s="16"/>
      <c r="F40" s="16"/>
      <c r="G40" s="16"/>
      <c r="I40" s="16"/>
      <c r="J40" s="16"/>
    </row>
    <row r="41" spans="3:17" x14ac:dyDescent="0.2">
      <c r="C41" s="16"/>
      <c r="D41" s="16"/>
      <c r="F41" s="16"/>
      <c r="G41" s="16"/>
      <c r="H41" s="16"/>
    </row>
    <row r="42" spans="3:17" x14ac:dyDescent="0.2">
      <c r="C42" s="16"/>
      <c r="F42" s="16"/>
      <c r="G42" s="16"/>
      <c r="I42" s="16"/>
    </row>
    <row r="43" spans="3:17" x14ac:dyDescent="0.2">
      <c r="C43" s="16"/>
      <c r="F43" s="16"/>
      <c r="G43" s="16"/>
    </row>
    <row r="44" spans="3:17" x14ac:dyDescent="0.2">
      <c r="C44" s="16"/>
      <c r="F44" s="16"/>
      <c r="G44" s="16"/>
    </row>
    <row r="45" spans="3:17" x14ac:dyDescent="0.2">
      <c r="C45" s="16"/>
      <c r="F45" s="16"/>
      <c r="G45" s="16"/>
      <c r="J45" s="16"/>
    </row>
    <row r="46" spans="3:17" x14ac:dyDescent="0.2">
      <c r="C46" s="16"/>
      <c r="F46" s="16"/>
      <c r="G46" s="16"/>
      <c r="J46" s="16"/>
    </row>
    <row r="47" spans="3:17" x14ac:dyDescent="0.2">
      <c r="C47" s="16"/>
      <c r="D47" s="16"/>
      <c r="F47" s="16"/>
      <c r="G47" s="16"/>
      <c r="H47" s="16"/>
      <c r="J47" s="16"/>
    </row>
    <row r="48" spans="3:17" x14ac:dyDescent="0.2">
      <c r="C48" s="16"/>
      <c r="D48" s="16"/>
      <c r="F48" s="16"/>
      <c r="G48" s="16"/>
      <c r="H48" s="16"/>
      <c r="I48" s="16"/>
      <c r="J48" s="16"/>
    </row>
    <row r="49" spans="3:10" x14ac:dyDescent="0.2">
      <c r="C49" s="16"/>
      <c r="D49" s="16"/>
      <c r="F49" s="16"/>
      <c r="G49" s="16"/>
      <c r="H49" s="16"/>
      <c r="I49" s="16"/>
      <c r="J49" s="16"/>
    </row>
    <row r="50" spans="3:10" x14ac:dyDescent="0.2">
      <c r="C50" s="16"/>
      <c r="D50" s="16"/>
      <c r="F50" s="16"/>
      <c r="G50" s="16"/>
      <c r="H50" s="16"/>
      <c r="I50" s="16"/>
      <c r="J50" s="16"/>
    </row>
    <row r="51" spans="3:10" x14ac:dyDescent="0.2">
      <c r="C51" s="16"/>
      <c r="D51" s="16"/>
      <c r="F51" s="16"/>
      <c r="G51" s="16"/>
      <c r="H51" s="16"/>
      <c r="I51" s="16"/>
      <c r="J51" s="16"/>
    </row>
    <row r="52" spans="3:10" x14ac:dyDescent="0.2">
      <c r="C52" s="16"/>
      <c r="D52" s="16"/>
      <c r="F52" s="16"/>
      <c r="G52" s="16"/>
      <c r="H52" s="16"/>
      <c r="I52" s="16"/>
      <c r="J52" s="16"/>
    </row>
    <row r="53" spans="3:10" x14ac:dyDescent="0.2">
      <c r="C53" s="16"/>
      <c r="D53" s="16"/>
      <c r="F53" s="16"/>
      <c r="G53" s="16"/>
      <c r="H53" s="16"/>
      <c r="I53" s="16"/>
      <c r="J53" s="16"/>
    </row>
    <row r="54" spans="3:10" x14ac:dyDescent="0.2">
      <c r="C54" s="16"/>
      <c r="D54" s="16"/>
      <c r="F54" s="16"/>
      <c r="G54" s="16"/>
      <c r="H54" s="16"/>
      <c r="I54" s="16"/>
      <c r="J54" s="16"/>
    </row>
    <row r="55" spans="3:10" x14ac:dyDescent="0.2">
      <c r="C55" s="16"/>
      <c r="D55" s="16"/>
      <c r="F55" s="16"/>
      <c r="G55" s="16"/>
      <c r="H55" s="16"/>
      <c r="I55" s="16"/>
      <c r="J55" s="16"/>
    </row>
    <row r="56" spans="3:10" x14ac:dyDescent="0.2">
      <c r="C56" s="16"/>
      <c r="D56" s="16"/>
      <c r="F56" s="16"/>
      <c r="G56" s="16"/>
      <c r="H56" s="16"/>
      <c r="I56" s="16"/>
      <c r="J56" s="16"/>
    </row>
    <row r="57" spans="3:10" x14ac:dyDescent="0.2">
      <c r="C57" s="16"/>
      <c r="D57" s="16"/>
      <c r="F57" s="16"/>
      <c r="G57" s="16"/>
      <c r="H57" s="16"/>
      <c r="I57" s="16"/>
      <c r="J57" s="16"/>
    </row>
    <row r="58" spans="3:10" x14ac:dyDescent="0.2">
      <c r="C58" s="16"/>
      <c r="D58" s="16"/>
      <c r="F58" s="16"/>
      <c r="G58" s="16"/>
      <c r="H58" s="16"/>
      <c r="I58" s="16"/>
      <c r="J58" s="16"/>
    </row>
    <row r="59" spans="3:10" x14ac:dyDescent="0.2">
      <c r="C59" s="16"/>
      <c r="D59" s="16"/>
      <c r="F59" s="16"/>
      <c r="G59" s="16"/>
      <c r="H59" s="16"/>
      <c r="I59" s="16"/>
      <c r="J59" s="16"/>
    </row>
    <row r="60" spans="3:10" x14ac:dyDescent="0.2">
      <c r="C60" s="16"/>
      <c r="D60" s="16"/>
      <c r="F60" s="16"/>
      <c r="G60" s="16"/>
      <c r="H60" s="16"/>
      <c r="I60" s="16"/>
      <c r="J60" s="16"/>
    </row>
    <row r="61" spans="3:10" x14ac:dyDescent="0.2">
      <c r="C61" s="16"/>
      <c r="D61" s="16"/>
      <c r="F61" s="16"/>
      <c r="G61" s="16"/>
      <c r="H61" s="16"/>
      <c r="I61" s="16"/>
      <c r="J61" s="16"/>
    </row>
    <row r="62" spans="3:10" x14ac:dyDescent="0.2">
      <c r="C62" s="16"/>
      <c r="D62" s="16"/>
      <c r="F62" s="16"/>
      <c r="G62" s="16"/>
      <c r="H62" s="16"/>
      <c r="I62" s="16"/>
      <c r="J62" s="16"/>
    </row>
    <row r="63" spans="3:10" x14ac:dyDescent="0.2">
      <c r="C63" s="16"/>
      <c r="D63" s="16"/>
      <c r="F63" s="16"/>
      <c r="G63" s="16"/>
      <c r="H63" s="16"/>
      <c r="I63" s="16"/>
      <c r="J63" s="16"/>
    </row>
    <row r="64" spans="3:10" x14ac:dyDescent="0.2">
      <c r="C64" s="16"/>
      <c r="D64" s="16"/>
      <c r="F64" s="16"/>
      <c r="G64" s="16"/>
      <c r="H64" s="16"/>
      <c r="I64" s="16"/>
      <c r="J64" s="16"/>
    </row>
    <row r="65" spans="3:10" x14ac:dyDescent="0.2">
      <c r="C65" s="16"/>
      <c r="D65" s="16"/>
      <c r="F65" s="16"/>
      <c r="G65" s="16"/>
      <c r="H65" s="16"/>
      <c r="I65" s="16"/>
      <c r="J65" s="16"/>
    </row>
    <row r="66" spans="3:10" x14ac:dyDescent="0.2">
      <c r="C66" s="16"/>
      <c r="D66" s="16"/>
      <c r="F66" s="16"/>
      <c r="G66" s="16"/>
      <c r="H66" s="16"/>
      <c r="I66" s="16"/>
      <c r="J66" s="16"/>
    </row>
    <row r="67" spans="3:10" x14ac:dyDescent="0.2">
      <c r="C67" s="16"/>
      <c r="D67" s="16"/>
      <c r="F67" s="16"/>
      <c r="G67" s="16"/>
      <c r="H67" s="16"/>
      <c r="I67" s="16"/>
      <c r="J67" s="16"/>
    </row>
    <row r="68" spans="3:10" x14ac:dyDescent="0.2">
      <c r="C68" s="16"/>
      <c r="D68" s="16"/>
      <c r="F68" s="16"/>
      <c r="G68" s="16"/>
      <c r="H68" s="16"/>
      <c r="I68" s="16"/>
      <c r="J68" s="16"/>
    </row>
    <row r="69" spans="3:10" x14ac:dyDescent="0.2">
      <c r="C69" s="16"/>
      <c r="D69" s="16"/>
      <c r="F69" s="16"/>
      <c r="G69" s="16"/>
      <c r="H69" s="16"/>
      <c r="I69" s="16"/>
      <c r="J69" s="16"/>
    </row>
    <row r="70" spans="3:10" x14ac:dyDescent="0.2">
      <c r="C70" s="16"/>
      <c r="D70" s="16"/>
      <c r="F70" s="16"/>
      <c r="G70" s="16"/>
      <c r="H70" s="16"/>
      <c r="I70" s="16"/>
      <c r="J70" s="16"/>
    </row>
    <row r="71" spans="3:10" x14ac:dyDescent="0.2">
      <c r="D71" s="16"/>
      <c r="H71" s="16"/>
      <c r="I71" s="16"/>
      <c r="J71" s="16"/>
    </row>
    <row r="72" spans="3:10" x14ac:dyDescent="0.2">
      <c r="D72" s="16"/>
      <c r="H72" s="16"/>
      <c r="I72" s="16"/>
    </row>
    <row r="73" spans="3:10" x14ac:dyDescent="0.2">
      <c r="D73" s="16"/>
      <c r="H73" s="16"/>
      <c r="I73" s="16"/>
    </row>
    <row r="74" spans="3:10" x14ac:dyDescent="0.2">
      <c r="I74" s="1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baseColWidth="10" defaultColWidth="8.83203125" defaultRowHeight="15" x14ac:dyDescent="0.2"/>
  <cols>
    <col min="1" max="1" width="8.83203125" style="1"/>
  </cols>
  <sheetData>
    <row r="1" spans="1:7" s="1" customFormat="1" x14ac:dyDescent="0.2">
      <c r="A1" s="1" t="s">
        <v>22</v>
      </c>
      <c r="B1" s="1" t="s">
        <v>19</v>
      </c>
      <c r="C1" s="1" t="s">
        <v>18</v>
      </c>
      <c r="D1" s="1" t="s">
        <v>17</v>
      </c>
      <c r="E1" s="1" t="s">
        <v>21</v>
      </c>
      <c r="F1" s="1" t="s">
        <v>25</v>
      </c>
      <c r="G1" s="1" t="s">
        <v>16</v>
      </c>
    </row>
    <row r="2" spans="1:7" x14ac:dyDescent="0.2">
      <c r="A2" s="1">
        <v>2015</v>
      </c>
      <c r="B2">
        <v>368</v>
      </c>
      <c r="D2">
        <v>6343</v>
      </c>
      <c r="F2" s="44">
        <v>0.71685322402648588</v>
      </c>
      <c r="G2" s="44">
        <v>0.61138262651742081</v>
      </c>
    </row>
    <row r="3" spans="1:7" x14ac:dyDescent="0.2">
      <c r="A3" s="1">
        <v>2016</v>
      </c>
      <c r="B3">
        <v>360</v>
      </c>
    </row>
    <row r="4" spans="1:7" x14ac:dyDescent="0.2">
      <c r="A4" s="1">
        <v>2017</v>
      </c>
      <c r="B4">
        <v>352</v>
      </c>
    </row>
    <row r="5" spans="1:7" x14ac:dyDescent="0.2">
      <c r="A5" s="1">
        <v>2018</v>
      </c>
      <c r="B5">
        <v>338</v>
      </c>
      <c r="D5">
        <f>0.81*8510</f>
        <v>6893.1</v>
      </c>
      <c r="G5">
        <v>0.63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zoomScale="120" zoomScaleNormal="120" workbookViewId="0">
      <selection activeCell="E6" sqref="E6"/>
    </sheetView>
  </sheetViews>
  <sheetFormatPr baseColWidth="10" defaultColWidth="8.83203125" defaultRowHeight="15" x14ac:dyDescent="0.2"/>
  <cols>
    <col min="1" max="1" width="25.33203125" customWidth="1"/>
  </cols>
  <sheetData>
    <row r="1" spans="1:12" x14ac:dyDescent="0.2">
      <c r="A1" t="s">
        <v>24</v>
      </c>
    </row>
    <row r="2" spans="1:12" x14ac:dyDescent="0.2">
      <c r="K2" s="12"/>
      <c r="L2" s="12"/>
    </row>
    <row r="3" spans="1:12" x14ac:dyDescent="0.2">
      <c r="A3" t="s">
        <v>44</v>
      </c>
    </row>
    <row r="4" spans="1:12" x14ac:dyDescent="0.2">
      <c r="B4" s="10"/>
    </row>
    <row r="5" spans="1:12" x14ac:dyDescent="0.2">
      <c r="A5" t="s">
        <v>47</v>
      </c>
    </row>
    <row r="6" spans="1:12" x14ac:dyDescent="0.2">
      <c r="A6" t="s">
        <v>46</v>
      </c>
    </row>
    <row r="7" spans="1:12" x14ac:dyDescent="0.2">
      <c r="A7" s="14" t="s">
        <v>45</v>
      </c>
    </row>
    <row r="8" spans="1:12" x14ac:dyDescent="0.2">
      <c r="B8" s="12"/>
      <c r="C8" s="12"/>
      <c r="D8" s="12"/>
      <c r="E8" s="12"/>
      <c r="F8" s="12"/>
      <c r="G8" s="12"/>
    </row>
    <row r="9" spans="1:12" x14ac:dyDescent="0.2">
      <c r="B9" s="11"/>
    </row>
    <row r="10" spans="1:12" x14ac:dyDescent="0.2">
      <c r="A10" s="13" t="s">
        <v>51</v>
      </c>
      <c r="B10" s="11"/>
    </row>
    <row r="11" spans="1:12" x14ac:dyDescent="0.2">
      <c r="A11" s="11" t="s">
        <v>48</v>
      </c>
      <c r="B11" s="11"/>
    </row>
    <row r="13" spans="1:12" x14ac:dyDescent="0.2">
      <c r="A13" s="11" t="s">
        <v>50</v>
      </c>
    </row>
    <row r="14" spans="1:12" x14ac:dyDescent="0.2">
      <c r="A14" s="11"/>
      <c r="B14" s="11"/>
    </row>
    <row r="15" spans="1:12" x14ac:dyDescent="0.2">
      <c r="A15" s="11" t="s">
        <v>49</v>
      </c>
    </row>
    <row r="16" spans="1:12" x14ac:dyDescent="0.2">
      <c r="A16" s="11" t="s">
        <v>56</v>
      </c>
    </row>
    <row r="17" spans="1:1" x14ac:dyDescent="0.2">
      <c r="A17" s="11"/>
    </row>
    <row r="19" spans="1:1" x14ac:dyDescent="0.2">
      <c r="A19" t="s">
        <v>52</v>
      </c>
    </row>
    <row r="20" spans="1:1" x14ac:dyDescent="0.2">
      <c r="A20" s="11" t="s">
        <v>53</v>
      </c>
    </row>
    <row r="22" spans="1:1" x14ac:dyDescent="0.2">
      <c r="A22" t="s">
        <v>57</v>
      </c>
    </row>
  </sheetData>
  <hyperlinks>
    <hyperlink ref="A11" r:id="rId1" xr:uid="{9FBA0F08-59CE-804F-B7C2-DD58CE34182A}"/>
    <hyperlink ref="A15" r:id="rId2" xr:uid="{0F08ADA2-0C53-6B4F-979C-B7A68C9DEA88}"/>
    <hyperlink ref="A13" r:id="rId3" xr:uid="{4A5A1704-9FDB-884D-9A7D-46B255B3FA9A}"/>
    <hyperlink ref="A20" r:id="rId4" xr:uid="{ACF6E8E3-CBB9-A24C-A67E-7F0D13DBB8BB}"/>
    <hyperlink ref="A16" r:id="rId5" xr:uid="{B8A119CD-02C7-9140-976E-C73EA1122418}"/>
  </hyperlinks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D82F-C49B-E645-9ED1-742B79A009E4}">
  <dimension ref="A1:C27"/>
  <sheetViews>
    <sheetView workbookViewId="0"/>
  </sheetViews>
  <sheetFormatPr baseColWidth="10" defaultRowHeight="15" x14ac:dyDescent="0.2"/>
  <cols>
    <col min="1" max="1" width="13" bestFit="1" customWidth="1"/>
    <col min="2" max="2" width="52" customWidth="1"/>
    <col min="3" max="3" width="32" customWidth="1"/>
  </cols>
  <sheetData>
    <row r="1" spans="1:3" ht="16" x14ac:dyDescent="0.2">
      <c r="A1" s="22" t="s">
        <v>28</v>
      </c>
      <c r="B1" s="23" t="s">
        <v>29</v>
      </c>
      <c r="C1" s="24" t="s">
        <v>35</v>
      </c>
    </row>
    <row r="2" spans="1:3" ht="16" x14ac:dyDescent="0.2">
      <c r="A2" s="22" t="s">
        <v>31</v>
      </c>
      <c r="B2" s="25" t="s">
        <v>27</v>
      </c>
      <c r="C2" s="26"/>
    </row>
    <row r="3" spans="1:3" ht="48" x14ac:dyDescent="0.2">
      <c r="A3" s="27" t="s">
        <v>30</v>
      </c>
      <c r="B3" s="21" t="s">
        <v>36</v>
      </c>
      <c r="C3" s="28" t="s">
        <v>37</v>
      </c>
    </row>
    <row r="4" spans="1:3" ht="16" x14ac:dyDescent="0.2">
      <c r="A4" s="29" t="s">
        <v>32</v>
      </c>
      <c r="B4" s="25" t="s">
        <v>26</v>
      </c>
      <c r="C4" s="26"/>
    </row>
    <row r="5" spans="1:3" ht="32" x14ac:dyDescent="0.2">
      <c r="A5" s="29" t="s">
        <v>33</v>
      </c>
      <c r="B5" s="20" t="s">
        <v>34</v>
      </c>
      <c r="C5" s="30" t="s">
        <v>38</v>
      </c>
    </row>
    <row r="6" spans="1:3" ht="16" x14ac:dyDescent="0.2">
      <c r="A6" s="29" t="s">
        <v>39</v>
      </c>
      <c r="B6" s="20" t="s">
        <v>40</v>
      </c>
      <c r="C6" s="30" t="s">
        <v>38</v>
      </c>
    </row>
    <row r="7" spans="1:3" ht="16" x14ac:dyDescent="0.2">
      <c r="A7" s="29" t="s">
        <v>41</v>
      </c>
      <c r="B7" s="21" t="s">
        <v>42</v>
      </c>
      <c r="C7" s="31" t="s">
        <v>38</v>
      </c>
    </row>
    <row r="8" spans="1:3" x14ac:dyDescent="0.2">
      <c r="A8" s="32" t="s">
        <v>43</v>
      </c>
    </row>
    <row r="9" spans="1:3" x14ac:dyDescent="0.2">
      <c r="B9" s="19"/>
    </row>
    <row r="10" spans="1:3" x14ac:dyDescent="0.2">
      <c r="A10" s="1" t="s">
        <v>23</v>
      </c>
      <c r="B10" s="19"/>
    </row>
    <row r="11" spans="1:3" x14ac:dyDescent="0.2">
      <c r="B11" s="19"/>
    </row>
    <row r="12" spans="1:3" x14ac:dyDescent="0.2">
      <c r="B12" s="19"/>
    </row>
    <row r="13" spans="1:3" x14ac:dyDescent="0.2">
      <c r="B13" s="19"/>
    </row>
    <row r="14" spans="1:3" x14ac:dyDescent="0.2">
      <c r="B14" s="19"/>
    </row>
    <row r="15" spans="1:3" x14ac:dyDescent="0.2">
      <c r="B15" s="19"/>
    </row>
    <row r="16" spans="1:3" x14ac:dyDescent="0.2">
      <c r="B16" s="19"/>
    </row>
    <row r="17" spans="2:2" x14ac:dyDescent="0.2">
      <c r="B17" s="19"/>
    </row>
    <row r="18" spans="2:2" x14ac:dyDescent="0.2">
      <c r="B18" s="19"/>
    </row>
    <row r="19" spans="2:2" x14ac:dyDescent="0.2">
      <c r="B19" s="19"/>
    </row>
    <row r="20" spans="2:2" x14ac:dyDescent="0.2">
      <c r="B20" s="19"/>
    </row>
    <row r="21" spans="2:2" x14ac:dyDescent="0.2">
      <c r="B21" s="19"/>
    </row>
    <row r="22" spans="2:2" x14ac:dyDescent="0.2">
      <c r="B22" s="19"/>
    </row>
    <row r="23" spans="2:2" x14ac:dyDescent="0.2">
      <c r="B23" s="19"/>
    </row>
    <row r="24" spans="2:2" x14ac:dyDescent="0.2">
      <c r="B24" s="19"/>
    </row>
    <row r="25" spans="2:2" x14ac:dyDescent="0.2">
      <c r="B25" s="19"/>
    </row>
    <row r="26" spans="2:2" x14ac:dyDescent="0.2">
      <c r="B26" s="19"/>
    </row>
    <row r="27" spans="2:2" x14ac:dyDescent="0.2">
      <c r="B2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Stratified_Data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2020-05-23T13:38:33Z</dcterms:created>
  <dcterms:modified xsi:type="dcterms:W3CDTF">2020-07-30T18:59:39Z</dcterms:modified>
</cp:coreProperties>
</file>