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B6FEBA42-5919-C94F-A992-5B25761CDF42}" xr6:coauthVersionLast="45" xr6:coauthVersionMax="45" xr10:uidLastSave="{00000000-0000-0000-0000-000000000000}"/>
  <bookViews>
    <workbookView xWindow="0" yWindow="540" windowWidth="38240" windowHeight="19440" xr2:uid="{00000000-000D-0000-FFFF-FFFF00000000}"/>
  </bookViews>
  <sheets>
    <sheet name="Stratified_Data" sheetId="8" r:id="rId1"/>
    <sheet name="Total_Data" sheetId="9" r:id="rId2"/>
    <sheet name="Stratified_Data-Alameda" sheetId="6" r:id="rId3"/>
    <sheet name="Total_Data-Alameda" sheetId="7" r:id="rId4"/>
    <sheet name="Stratified_Data-SF" sheetId="1" r:id="rId5"/>
    <sheet name="Total_Data-SF" sheetId="4" r:id="rId6"/>
    <sheet name="Comments" sheetId="2" r:id="rId7"/>
    <sheet name="Indicator definitions" sheetId="5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E4" i="8"/>
  <c r="E5" i="8"/>
  <c r="E6" i="8"/>
  <c r="E7" i="8"/>
  <c r="E8" i="8"/>
  <c r="E9" i="8"/>
  <c r="E10" i="8"/>
  <c r="E11" i="8"/>
  <c r="E12" i="8"/>
  <c r="E13" i="8"/>
  <c r="E3" i="8"/>
  <c r="C4" i="8"/>
  <c r="C5" i="8"/>
  <c r="C6" i="8"/>
  <c r="C7" i="8"/>
  <c r="C8" i="8"/>
  <c r="C9" i="8"/>
  <c r="C10" i="8"/>
  <c r="C11" i="8"/>
  <c r="C12" i="8"/>
  <c r="C13" i="8"/>
  <c r="C3" i="8"/>
  <c r="D5" i="8"/>
  <c r="D6" i="8"/>
  <c r="D7" i="8"/>
  <c r="D8" i="8"/>
  <c r="D9" i="8"/>
  <c r="D10" i="8"/>
  <c r="D11" i="8"/>
  <c r="D12" i="8"/>
  <c r="D13" i="8"/>
  <c r="D4" i="8"/>
  <c r="B4" i="8"/>
  <c r="B5" i="8"/>
  <c r="B6" i="8"/>
  <c r="B7" i="8"/>
  <c r="B8" i="8"/>
  <c r="B9" i="8"/>
  <c r="B10" i="8"/>
  <c r="B11" i="8"/>
  <c r="B12" i="8"/>
  <c r="B13" i="8"/>
  <c r="AA3" i="8"/>
  <c r="AB3" i="8"/>
  <c r="AC3" i="8"/>
  <c r="AD3" i="8"/>
  <c r="AE3" i="8"/>
  <c r="Z3" i="8"/>
  <c r="U3" i="8"/>
  <c r="V3" i="8"/>
  <c r="W3" i="8"/>
  <c r="X3" i="8"/>
  <c r="Y3" i="8"/>
  <c r="T3" i="8"/>
  <c r="O3" i="8"/>
  <c r="P3" i="8"/>
  <c r="Q3" i="8"/>
  <c r="R3" i="8"/>
  <c r="S3" i="8"/>
  <c r="N3" i="8"/>
  <c r="I3" i="8"/>
  <c r="J3" i="8"/>
  <c r="K3" i="8"/>
  <c r="L3" i="8"/>
  <c r="M3" i="8"/>
  <c r="H3" i="8"/>
  <c r="D3" i="8"/>
  <c r="B3" i="8"/>
  <c r="G3" i="9"/>
  <c r="G4" i="9"/>
  <c r="G5" i="9"/>
  <c r="G6" i="9"/>
  <c r="G2" i="9"/>
  <c r="F3" i="9"/>
  <c r="F4" i="9"/>
  <c r="F5" i="9"/>
  <c r="F6" i="9"/>
  <c r="F2" i="9"/>
  <c r="E2" i="9"/>
  <c r="E6" i="9"/>
  <c r="E5" i="9"/>
  <c r="E4" i="9"/>
  <c r="E3" i="9"/>
  <c r="D3" i="9"/>
  <c r="D4" i="9"/>
  <c r="D5" i="9"/>
  <c r="D6" i="9"/>
  <c r="D2" i="9"/>
  <c r="C3" i="9"/>
  <c r="C4" i="9"/>
  <c r="C5" i="9"/>
  <c r="C6" i="9"/>
  <c r="C2" i="9"/>
  <c r="B3" i="9"/>
  <c r="B4" i="9"/>
  <c r="B5" i="9"/>
  <c r="B6" i="9"/>
  <c r="B2" i="9"/>
  <c r="Z3" i="6"/>
  <c r="B2" i="7"/>
  <c r="G9" i="6"/>
  <c r="G13" i="6"/>
  <c r="G12" i="6"/>
  <c r="G11" i="6"/>
  <c r="G10" i="6"/>
  <c r="F13" i="6"/>
  <c r="F12" i="6"/>
  <c r="F11" i="6"/>
  <c r="F10" i="6"/>
  <c r="F9" i="6"/>
  <c r="E13" i="6"/>
  <c r="E12" i="6"/>
  <c r="E11" i="6"/>
  <c r="E10" i="6"/>
  <c r="E9" i="6"/>
  <c r="D13" i="6"/>
  <c r="D12" i="6"/>
  <c r="D11" i="6"/>
  <c r="D10" i="6"/>
  <c r="D9" i="6"/>
  <c r="C13" i="6"/>
  <c r="C12" i="6"/>
  <c r="C11" i="6"/>
  <c r="C10" i="6"/>
  <c r="B13" i="6"/>
  <c r="B12" i="6"/>
  <c r="B11" i="6"/>
  <c r="B10" i="6"/>
  <c r="L3" i="1"/>
  <c r="R3" i="1"/>
  <c r="X3" i="1"/>
  <c r="AD3" i="1"/>
  <c r="F2" i="4"/>
  <c r="F3" i="4"/>
  <c r="F4" i="4"/>
  <c r="F5" i="4"/>
  <c r="G13" i="1"/>
  <c r="G12" i="1"/>
  <c r="G11" i="1"/>
  <c r="G10" i="1"/>
  <c r="F13" i="1"/>
  <c r="F12" i="1"/>
  <c r="F11" i="1"/>
  <c r="F10" i="1"/>
  <c r="E13" i="1"/>
  <c r="E12" i="1"/>
  <c r="E11" i="1"/>
  <c r="E10" i="1"/>
  <c r="D13" i="1"/>
  <c r="D12" i="1"/>
  <c r="D11" i="1"/>
  <c r="D10" i="1"/>
  <c r="C12" i="1"/>
  <c r="C11" i="1"/>
  <c r="C10" i="1"/>
  <c r="B13" i="1"/>
  <c r="B12" i="1"/>
  <c r="B11" i="1"/>
  <c r="B10" i="1"/>
</calcChain>
</file>

<file path=xl/sharedStrings.xml><?xml version="1.0" encoding="utf-8"?>
<sst xmlns="http://schemas.openxmlformats.org/spreadsheetml/2006/main" count="200" uniqueCount="55">
  <si>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</si>
  <si>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</si>
  <si>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</si>
  <si>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</si>
  <si>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</si>
  <si>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</si>
  <si>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</si>
  <si>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</si>
  <si>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</si>
  <si>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</si>
  <si>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</si>
  <si>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</si>
  <si>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</si>
  <si>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</si>
  <si>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</si>
  <si>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</si>
  <si>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</si>
  <si>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</si>
  <si>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</si>
  <si>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</si>
  <si>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</si>
  <si>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</si>
  <si>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</si>
  <si>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</si>
  <si>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</si>
  <si>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</si>
  <si>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</si>
  <si>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</si>
  <si>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</si>
  <si>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</si>
  <si>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</si>
  <si>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</si>
  <si>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</si>
  <si>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</si>
  <si>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</si>
  <si>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</si>
  <si>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</si>
  <si>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</si>
  <si>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</si>
  <si>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</si>
  <si>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</si>
  <si>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</si>
  <si>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</si>
  <si>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</si>
  <si>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Alameda County</t>
  </si>
  <si>
    <t>Contra Costa County</t>
  </si>
  <si>
    <t>San Mateo County</t>
  </si>
  <si>
    <t>Marin County</t>
  </si>
  <si>
    <t xml:space="preserve">Rest of MSA: </t>
  </si>
  <si>
    <t>San Francisco (city and county)</t>
  </si>
  <si>
    <t>San Francisco Department of Public Health HIV Epidemiology Annual Reports:</t>
  </si>
  <si>
    <t>https://www.sfdph.org/dph/comupg/oprograms/HIVepiSec/HIVepiSecReports.asp</t>
  </si>
  <si>
    <t>Alameda County Public Health Department HIV Reports:</t>
  </si>
  <si>
    <t>http://www.acphd.org/data-reports/reports-by-topic/communicable-disease.aspx#HIV</t>
  </si>
  <si>
    <t>Alameda - 3; SF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</si>
</sst>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3" fontId="0" fillId="0" borderId="0" xfId="0" quotePrefix="1" applyNumberFormat="1"/>
    <xf numFmtId="0" fontId="1" fillId="0" borderId="11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6" xfId="0" applyFont="1" applyBorder="1"/>
    <xf numFmtId="0" fontId="0" fillId="0" borderId="13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5" xfId="0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5" xfId="0" applyNumberFormat="1" applyFill="1" applyBorder="1"/>
    <xf numFmtId="0" fontId="0" fillId="0" borderId="14" xfId="0" applyFill="1" applyBorder="1"/>
    <xf numFmtId="0" fontId="0" fillId="0" borderId="5" xfId="0" applyBorder="1"/>
    <xf numFmtId="0" fontId="4" fillId="0" borderId="1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13" xfId="0" applyBorder="1"/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1" xfId="0" applyFill="1" applyBorder="1"/>
    <xf numFmtId="0" fontId="0" fillId="0" borderId="12" xfId="0" applyFill="1" applyBorder="1"/>
    <xf numFmtId="1" fontId="0" fillId="0" borderId="12" xfId="0" applyNumberFormat="1" applyFill="1" applyBorder="1"/>
    <xf numFmtId="1" fontId="0" fillId="0" borderId="11" xfId="0" applyNumberFormat="1" applyFill="1" applyBorder="1"/>
    <xf numFmtId="1" fontId="0" fillId="0" borderId="14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Font="1" applyFill="1" applyBorder="1"/>
    <xf numFmtId="0" fontId="5" fillId="0" borderId="0" xfId="0" applyFont="1"/>
    <xf numFmtId="2" fontId="0" fillId="0" borderId="0" xfId="0" applyNumberFormat="1"/>
    <xf numFmtId="165" fontId="0" fillId="0" borderId="3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165" fontId="0" fillId="0" borderId="4" xfId="0" applyNumberFormat="1" applyFill="1" applyBorder="1"/>
    <xf numFmtId="165" fontId="0" fillId="0" borderId="6" xfId="0" applyNumberFormat="1" applyFill="1" applyBorder="1"/>
    <xf numFmtId="165" fontId="0" fillId="0" borderId="5" xfId="0" applyNumberFormat="1" applyFill="1" applyBorder="1"/>
    <xf numFmtId="165" fontId="0" fillId="0" borderId="0" xfId="0" applyNumberFormat="1" applyBorder="1"/>
    <xf numFmtId="165" fontId="0" fillId="0" borderId="2" xfId="0" applyNumberFormat="1" applyFill="1" applyBorder="1"/>
    <xf numFmtId="1" fontId="0" fillId="0" borderId="2" xfId="0" applyNumberFormat="1" applyFill="1" applyBorder="1"/>
    <xf numFmtId="165" fontId="0" fillId="0" borderId="2" xfId="0" applyNumberFormat="1" applyBorder="1"/>
    <xf numFmtId="165" fontId="0" fillId="0" borderId="7" xfId="0" applyNumberFormat="1" applyBorder="1"/>
    <xf numFmtId="1" fontId="0" fillId="0" borderId="13" xfId="0" applyNumberFormat="1" applyFill="1" applyBorder="1"/>
    <xf numFmtId="1" fontId="0" fillId="0" borderId="2" xfId="0" applyNumberFormat="1" applyBorder="1"/>
    <xf numFmtId="165" fontId="0" fillId="0" borderId="7" xfId="0" applyNumberFormat="1" applyFill="1" applyBorder="1"/>
    <xf numFmtId="0" fontId="0" fillId="2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cphd.org/data-reports/reports-by-topic/communicable-disease.aspx" TargetMode="External"/><Relationship Id="rId1" Type="http://schemas.openxmlformats.org/officeDocument/2006/relationships/hyperlink" Target="https://www.sfdph.org/dph/comupg/oprograms/HIVepiSec/HIVepiSecReport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7117-3F88-554A-9E75-3B06FCBC4BF3}">
  <sheetPr>
    <tabColor rgb="FFFFFF00"/>
  </sheetPr>
  <dimension ref="A1:AE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  <col min="8" max="9" width="9" bestFit="1" customWidth="1"/>
    <col min="10" max="10" width="9.6640625" bestFit="1" customWidth="1"/>
    <col min="11" max="13" width="9" bestFit="1" customWidth="1"/>
  </cols>
  <sheetData>
    <row r="1" spans="1:31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  <c r="H1" s="50" t="s">
        <v>19</v>
      </c>
      <c r="I1" s="6" t="s">
        <v>18</v>
      </c>
      <c r="J1" s="6" t="s">
        <v>17</v>
      </c>
      <c r="K1" s="6" t="s">
        <v>21</v>
      </c>
      <c r="L1" s="6" t="s">
        <v>25</v>
      </c>
      <c r="M1" s="51" t="s">
        <v>16</v>
      </c>
      <c r="N1" s="64" t="s">
        <v>19</v>
      </c>
      <c r="O1" s="65" t="s">
        <v>18</v>
      </c>
      <c r="P1" s="65" t="s">
        <v>17</v>
      </c>
      <c r="Q1" s="65" t="s">
        <v>21</v>
      </c>
      <c r="R1" s="65" t="s">
        <v>25</v>
      </c>
      <c r="S1" s="66" t="s">
        <v>16</v>
      </c>
      <c r="T1" s="64" t="s">
        <v>19</v>
      </c>
      <c r="U1" s="65" t="s">
        <v>18</v>
      </c>
      <c r="V1" s="65" t="s">
        <v>17</v>
      </c>
      <c r="W1" s="65" t="s">
        <v>21</v>
      </c>
      <c r="X1" s="65" t="s">
        <v>25</v>
      </c>
      <c r="Y1" s="66" t="s">
        <v>16</v>
      </c>
      <c r="Z1" s="64" t="s">
        <v>19</v>
      </c>
      <c r="AA1" s="65" t="s">
        <v>18</v>
      </c>
      <c r="AB1" s="65" t="s">
        <v>17</v>
      </c>
      <c r="AC1" s="65" t="s">
        <v>21</v>
      </c>
      <c r="AD1" s="65" t="s">
        <v>25</v>
      </c>
      <c r="AE1" s="66" t="s">
        <v>16</v>
      </c>
    </row>
    <row r="2" spans="1:31" s="1" customFormat="1" x14ac:dyDescent="0.2">
      <c r="A2" s="1" t="s">
        <v>15</v>
      </c>
      <c r="B2" s="52">
        <v>2017</v>
      </c>
      <c r="C2" s="8">
        <v>2017</v>
      </c>
      <c r="D2" s="8">
        <v>2017</v>
      </c>
      <c r="E2" s="8">
        <v>2017</v>
      </c>
      <c r="F2" s="8">
        <v>2017</v>
      </c>
      <c r="G2" s="53">
        <v>2017</v>
      </c>
      <c r="H2" s="52">
        <v>2016</v>
      </c>
      <c r="I2" s="8">
        <v>2016</v>
      </c>
      <c r="J2" s="8">
        <v>2016</v>
      </c>
      <c r="K2" s="8">
        <v>2016</v>
      </c>
      <c r="L2" s="8">
        <v>2016</v>
      </c>
      <c r="M2" s="53">
        <v>2016</v>
      </c>
      <c r="N2" s="67">
        <v>2015</v>
      </c>
      <c r="O2" s="68">
        <v>2015</v>
      </c>
      <c r="P2" s="68">
        <v>2015</v>
      </c>
      <c r="Q2" s="68">
        <v>2015</v>
      </c>
      <c r="R2" s="68">
        <v>2015</v>
      </c>
      <c r="S2" s="69">
        <v>2015</v>
      </c>
      <c r="T2" s="67">
        <v>2014</v>
      </c>
      <c r="U2" s="68">
        <v>2014</v>
      </c>
      <c r="V2" s="68">
        <v>2014</v>
      </c>
      <c r="W2" s="68">
        <v>2014</v>
      </c>
      <c r="X2" s="68">
        <v>2014</v>
      </c>
      <c r="Y2" s="69">
        <v>2014</v>
      </c>
      <c r="Z2" s="67">
        <v>2013</v>
      </c>
      <c r="AA2" s="68">
        <v>2013</v>
      </c>
      <c r="AB2" s="68">
        <v>2013</v>
      </c>
      <c r="AC2" s="68">
        <v>2013</v>
      </c>
      <c r="AD2" s="68">
        <v>2013</v>
      </c>
      <c r="AE2" s="69">
        <v>2013</v>
      </c>
    </row>
    <row r="3" spans="1:31" s="5" customFormat="1" x14ac:dyDescent="0.2">
      <c r="A3" s="4" t="s">
        <v>0</v>
      </c>
      <c r="B3" s="54">
        <f>SUM('Stratified_Data-Alameda'!B3,'Stratified_Data-SF'!B3)</f>
        <v>487</v>
      </c>
      <c r="C3" s="96">
        <f>(SUM(('Stratified_Data-Alameda'!C3*'Stratified_Data-Alameda'!B3),('Stratified_Data-SF'!C3*'Stratified_Data-SF'!B3)))/B3</f>
        <v>0.80002053388090355</v>
      </c>
      <c r="D3" s="95">
        <f>Total_Data!D6</f>
        <v>18519</v>
      </c>
      <c r="E3" s="96">
        <f>(SUM(('Stratified_Data-Alameda'!E3*'Stratified_Data-Alameda'!$D3),('Stratified_Data-SF'!E3*'Stratified_Data-SF'!$D3)))/$D3</f>
        <v>0.8025598574437065</v>
      </c>
      <c r="F3" s="94">
        <f>(SUM(('Stratified_Data-Alameda'!F3*'Stratified_Data-Alameda'!$D3),('Stratified_Data-SF'!F3*'Stratified_Data-SF'!$D3)))/$D3</f>
        <v>0.59503990496247083</v>
      </c>
      <c r="G3" s="100">
        <f>(SUM(('Stratified_Data-Alameda'!G3*'Stratified_Data-Alameda'!$D3),('Stratified_Data-SF'!G3*'Stratified_Data-SF'!$D3)))/$D3</f>
        <v>0.72914979210540531</v>
      </c>
      <c r="H3" s="98">
        <f>Total_Data!B5</f>
        <v>507</v>
      </c>
      <c r="I3" s="96">
        <f>Total_Data!C5</f>
        <v>0.8042248520710058</v>
      </c>
      <c r="J3" s="99">
        <f>Total_Data!D5</f>
        <v>18495</v>
      </c>
      <c r="K3" s="96">
        <f>Total_Data!E5</f>
        <v>0.80293711814003788</v>
      </c>
      <c r="L3" s="96">
        <f>Total_Data!F5</f>
        <v>0.6090201567991349</v>
      </c>
      <c r="M3" s="97">
        <f>Total_Data!G5</f>
        <v>0.72234874290348738</v>
      </c>
      <c r="N3" s="70">
        <f>Total_Data!B4</f>
        <v>524</v>
      </c>
      <c r="O3" s="96">
        <f>Total_Data!C4</f>
        <v>0.77951335877862604</v>
      </c>
      <c r="P3" s="5">
        <f>Total_Data!D4</f>
        <v>18895</v>
      </c>
      <c r="Q3" s="96">
        <f>Total_Data!E4</f>
        <v>0.80383159566022755</v>
      </c>
      <c r="R3" s="96">
        <f>Total_Data!F4</f>
        <v>0.60588062450383706</v>
      </c>
      <c r="S3" s="97">
        <f>Total_Data!G4</f>
        <v>0.72109118814501194</v>
      </c>
      <c r="T3" s="70">
        <f>Total_Data!B3</f>
        <v>538</v>
      </c>
      <c r="U3" s="96">
        <f>Total_Data!C3</f>
        <v>0.8111728624535316</v>
      </c>
      <c r="V3" s="5">
        <f>Total_Data!D3</f>
        <v>18615</v>
      </c>
      <c r="W3" s="96">
        <f>Total_Data!E3</f>
        <v>0.80239307010475414</v>
      </c>
      <c r="X3" s="82">
        <f>Total_Data!F3</f>
        <v>0.61534904109589039</v>
      </c>
      <c r="Y3" s="97">
        <f>Total_Data!G3</f>
        <v>0.6974862207896857</v>
      </c>
      <c r="Z3" s="70">
        <f>Total_Data!B2</f>
        <v>613</v>
      </c>
      <c r="AA3" s="96">
        <f>Total_Data!C2</f>
        <v>0.73070146818923332</v>
      </c>
      <c r="AB3" s="5">
        <f>Total_Data!D2</f>
        <v>19419</v>
      </c>
      <c r="AC3" s="96">
        <f>Total_Data!E2</f>
        <v>0.75598949482465638</v>
      </c>
      <c r="AD3" s="82">
        <f>Total_Data!F2</f>
        <v>0.59414361192646381</v>
      </c>
      <c r="AE3" s="97">
        <f>Total_Data!G2</f>
        <v>0.64689901642721048</v>
      </c>
    </row>
    <row r="4" spans="1:31" s="7" customFormat="1" x14ac:dyDescent="0.2">
      <c r="A4" s="6" t="s">
        <v>1</v>
      </c>
      <c r="B4" s="77">
        <f>SUM('Stratified_Data-Alameda'!B4,'Stratified_Data-SF'!B4)</f>
        <v>128</v>
      </c>
      <c r="C4" s="87">
        <f>(SUM(('Stratified_Data-Alameda'!C4*'Stratified_Data-Alameda'!B4),('Stratified_Data-SF'!C4*'Stratified_Data-SF'!B4)))/B4</f>
        <v>0.83050000000000002</v>
      </c>
      <c r="D4" s="17">
        <f>SUM('Stratified_Data-Alameda'!D4,'Stratified_Data-SF'!D4)</f>
        <v>3809</v>
      </c>
      <c r="E4" s="87">
        <f>(SUM(('Stratified_Data-Alameda'!E4*'Stratified_Data-Alameda'!$D4),('Stratified_Data-SF'!E4*'Stratified_Data-SF'!$D4)))/$D4</f>
        <v>0.79611919138881604</v>
      </c>
      <c r="F4" s="87">
        <f>(SUM(('Stratified_Data-Alameda'!F4*'Stratified_Data-Alameda'!$D4),('Stratified_Data-SF'!F4*'Stratified_Data-SF'!$D4)))/$D4</f>
        <v>0.59223838277763197</v>
      </c>
      <c r="G4" s="90">
        <f>(SUM(('Stratified_Data-Alameda'!G4*'Stratified_Data-Alameda'!$D4),('Stratified_Data-SF'!G4*'Stratified_Data-SF'!$D4)))/$D4</f>
        <v>0.67826489892360209</v>
      </c>
      <c r="H4" s="77"/>
      <c r="M4" s="73"/>
      <c r="N4" s="72"/>
      <c r="S4" s="73"/>
      <c r="T4" s="72"/>
      <c r="Y4" s="73"/>
      <c r="Z4" s="72"/>
      <c r="AE4" s="73"/>
    </row>
    <row r="5" spans="1:31" s="9" customFormat="1" x14ac:dyDescent="0.2">
      <c r="A5" s="8" t="s">
        <v>2</v>
      </c>
      <c r="B5" s="78">
        <f>SUM('Stratified_Data-Alameda'!B5,'Stratified_Data-SF'!B5)</f>
        <v>140</v>
      </c>
      <c r="C5" s="88">
        <f>(SUM(('Stratified_Data-Alameda'!C5*'Stratified_Data-Alameda'!B5),('Stratified_Data-SF'!C5*'Stratified_Data-SF'!B5)))/B5</f>
        <v>0.85420000000000007</v>
      </c>
      <c r="D5" s="10">
        <f>SUM('Stratified_Data-Alameda'!D5,'Stratified_Data-SF'!D5)</f>
        <v>3852</v>
      </c>
      <c r="E5" s="88">
        <f>(SUM(('Stratified_Data-Alameda'!E5*'Stratified_Data-Alameda'!$D5),('Stratified_Data-SF'!E5*'Stratified_Data-SF'!$D5)))/$D5</f>
        <v>0.76933800623052961</v>
      </c>
      <c r="F5" s="88">
        <f>(SUM(('Stratified_Data-Alameda'!F5*'Stratified_Data-Alameda'!$D5),('Stratified_Data-SF'!F5*'Stratified_Data-SF'!$D5)))/$D5</f>
        <v>0.57683021806853574</v>
      </c>
      <c r="G5" s="91">
        <f>(SUM(('Stratified_Data-Alameda'!G5*'Stratified_Data-Alameda'!$D5),('Stratified_Data-SF'!G5*'Stratified_Data-SF'!$D5)))/$D5</f>
        <v>0.69135514018691591</v>
      </c>
      <c r="H5" s="78"/>
      <c r="J5" s="10"/>
      <c r="M5" s="75"/>
      <c r="N5" s="74"/>
      <c r="O5" s="10"/>
      <c r="S5" s="75"/>
      <c r="T5" s="74"/>
      <c r="Y5" s="75"/>
      <c r="Z5" s="74"/>
      <c r="AE5" s="75"/>
    </row>
    <row r="6" spans="1:31" s="3" customFormat="1" x14ac:dyDescent="0.2">
      <c r="A6" s="2" t="s">
        <v>3</v>
      </c>
      <c r="B6" s="62">
        <f>SUM('Stratified_Data-Alameda'!B6,'Stratified_Data-SF'!B6)</f>
        <v>141</v>
      </c>
      <c r="C6" s="89">
        <f>(SUM(('Stratified_Data-Alameda'!C6*'Stratified_Data-Alameda'!B6),('Stratified_Data-SF'!C6*'Stratified_Data-SF'!B6)))/B6</f>
        <v>0.83689361702127663</v>
      </c>
      <c r="D6" s="22">
        <f>SUM('Stratified_Data-Alameda'!D6,'Stratified_Data-SF'!D6)</f>
        <v>8933</v>
      </c>
      <c r="E6" s="89">
        <f>(SUM(('Stratified_Data-Alameda'!E6*'Stratified_Data-Alameda'!$D6),('Stratified_Data-SF'!E6*'Stratified_Data-SF'!$D6)))/$D6</f>
        <v>0.8077367065935297</v>
      </c>
      <c r="F6" s="89">
        <f>(SUM(('Stratified_Data-Alameda'!F6*'Stratified_Data-Alameda'!$D6),('Stratified_Data-SF'!F6*'Stratified_Data-SF'!$D6)))/$D6</f>
        <v>0.59855972237770072</v>
      </c>
      <c r="G6" s="92">
        <f>(SUM(('Stratified_Data-Alameda'!G6*'Stratified_Data-Alameda'!$D6),('Stratified_Data-SF'!G6*'Stratified_Data-SF'!$D6)))/$D6</f>
        <v>0.75670793686331572</v>
      </c>
      <c r="H6" s="62"/>
      <c r="M6" s="63"/>
      <c r="N6" s="76"/>
      <c r="S6" s="63"/>
      <c r="T6" s="76"/>
      <c r="Y6" s="63"/>
      <c r="Z6" s="76"/>
      <c r="AE6" s="63"/>
    </row>
    <row r="7" spans="1:31" s="7" customFormat="1" x14ac:dyDescent="0.2">
      <c r="A7" s="6" t="s">
        <v>4</v>
      </c>
      <c r="B7" s="77">
        <f>SUM('Stratified_Data-Alameda'!B7,'Stratified_Data-SF'!B7)</f>
        <v>416</v>
      </c>
      <c r="C7" s="87">
        <f>(SUM(('Stratified_Data-Alameda'!C7*'Stratified_Data-Alameda'!B7),('Stratified_Data-SF'!C7*'Stratified_Data-SF'!B7)))/B7</f>
        <v>0.85119230769230769</v>
      </c>
      <c r="D7" s="17">
        <f>SUM('Stratified_Data-Alameda'!D7,'Stratified_Data-SF'!D7)</f>
        <v>16468</v>
      </c>
      <c r="E7" s="87">
        <f>(SUM(('Stratified_Data-Alameda'!E7*'Stratified_Data-Alameda'!$D7),('Stratified_Data-SF'!E7*'Stratified_Data-SF'!$D7)))/$D7</f>
        <v>0.80303376244838476</v>
      </c>
      <c r="F7" s="87">
        <f>(SUM(('Stratified_Data-Alameda'!F7*'Stratified_Data-Alameda'!$D7),('Stratified_Data-SF'!F7*'Stratified_Data-SF'!$D7)))/$D7</f>
        <v>0.59709740102016029</v>
      </c>
      <c r="G7" s="90">
        <f>(SUM(('Stratified_Data-Alameda'!G7*'Stratified_Data-Alameda'!$D7),('Stratified_Data-SF'!G7*'Stratified_Data-SF'!$D7)))/$D7</f>
        <v>0.731001943162497</v>
      </c>
      <c r="H7" s="77"/>
      <c r="M7" s="73"/>
      <c r="N7" s="72"/>
      <c r="S7" s="73"/>
      <c r="T7" s="72"/>
      <c r="Y7" s="73"/>
      <c r="Z7" s="72"/>
      <c r="AE7" s="73"/>
    </row>
    <row r="8" spans="1:31" s="3" customFormat="1" x14ac:dyDescent="0.2">
      <c r="A8" s="2" t="s">
        <v>5</v>
      </c>
      <c r="B8" s="62">
        <f>SUM('Stratified_Data-Alameda'!B8,'Stratified_Data-SF'!B8)</f>
        <v>66</v>
      </c>
      <c r="C8" s="89">
        <f>(SUM(('Stratified_Data-Alameda'!C8*'Stratified_Data-Alameda'!B8),('Stratified_Data-SF'!C8*'Stratified_Data-SF'!B8)))/B8</f>
        <v>0.82122727272727258</v>
      </c>
      <c r="D8" s="10">
        <f>SUM('Stratified_Data-Alameda'!D8,'Stratified_Data-SF'!D8)</f>
        <v>1686</v>
      </c>
      <c r="E8" s="89">
        <f>(SUM(('Stratified_Data-Alameda'!E8*'Stratified_Data-Alameda'!$D8),('Stratified_Data-SF'!E8*'Stratified_Data-SF'!$D8)))/$D8</f>
        <v>0.79575029655990515</v>
      </c>
      <c r="F8" s="89">
        <f>(SUM(('Stratified_Data-Alameda'!F8*'Stratified_Data-Alameda'!$D8),('Stratified_Data-SF'!F8*'Stratified_Data-SF'!$D8)))/$D8</f>
        <v>0.57435053380782919</v>
      </c>
      <c r="G8" s="92">
        <f>(SUM(('Stratified_Data-Alameda'!G8*'Stratified_Data-Alameda'!$D8),('Stratified_Data-SF'!G8*'Stratified_Data-SF'!$D8)))/$D8</f>
        <v>0.67424970344009494</v>
      </c>
      <c r="H8" s="62"/>
      <c r="I8" s="9"/>
      <c r="M8" s="63"/>
      <c r="N8" s="76"/>
      <c r="S8" s="63"/>
      <c r="T8" s="76"/>
      <c r="Y8" s="63"/>
      <c r="Z8" s="76"/>
      <c r="AE8" s="63"/>
    </row>
    <row r="9" spans="1:31" s="7" customFormat="1" x14ac:dyDescent="0.2">
      <c r="A9" s="6" t="s">
        <v>6</v>
      </c>
      <c r="B9" s="80">
        <f>SUM('Stratified_Data-Alameda'!B9,'Stratified_Data-SF'!B9)</f>
        <v>62</v>
      </c>
      <c r="C9" s="87">
        <f>(SUM(('Stratified_Data-Alameda'!C9*'Stratified_Data-Alameda'!B9),('Stratified_Data-SF'!C9*'Stratified_Data-SF'!B9)))/B9</f>
        <v>0.81269354838709673</v>
      </c>
      <c r="D9" s="19">
        <f>SUM('Stratified_Data-Alameda'!D9,'Stratified_Data-SF'!D9)</f>
        <v>319</v>
      </c>
      <c r="E9" s="87">
        <f>(SUM(('Stratified_Data-Alameda'!E9*'Stratified_Data-Alameda'!$D9),('Stratified_Data-SF'!E9*'Stratified_Data-SF'!$D9)))/$D9</f>
        <v>0.85520376175548585</v>
      </c>
      <c r="F9" s="87">
        <f>(SUM(('Stratified_Data-Alameda'!F9*'Stratified_Data-Alameda'!$D9),('Stratified_Data-SF'!F9*'Stratified_Data-SF'!$D9)))/$D9</f>
        <v>0.59378683385579945</v>
      </c>
      <c r="G9" s="90">
        <f>(SUM(('Stratified_Data-Alameda'!G9*'Stratified_Data-Alameda'!$D9),('Stratified_Data-SF'!G9*'Stratified_Data-SF'!$D9)))/$D9</f>
        <v>0.7511724137931034</v>
      </c>
      <c r="H9" s="77"/>
      <c r="I9" s="14"/>
      <c r="J9" s="12"/>
      <c r="M9" s="73"/>
      <c r="N9" s="72"/>
      <c r="S9" s="73"/>
      <c r="T9" s="72"/>
      <c r="Y9" s="73"/>
      <c r="Z9" s="72"/>
      <c r="AE9" s="73"/>
    </row>
    <row r="10" spans="1:31" s="9" customFormat="1" x14ac:dyDescent="0.2">
      <c r="A10" s="8" t="s">
        <v>7</v>
      </c>
      <c r="B10" s="79">
        <f>SUM('Stratified_Data-Alameda'!B10,'Stratified_Data-SF'!B10)</f>
        <v>166.35</v>
      </c>
      <c r="C10" s="88">
        <f>(SUM(('Stratified_Data-Alameda'!C10*'Stratified_Data-Alameda'!B10),('Stratified_Data-SF'!C10*'Stratified_Data-SF'!B10)))/B10</f>
        <v>0.87054418394950406</v>
      </c>
      <c r="D10" s="21">
        <f>SUM('Stratified_Data-Alameda'!D10,'Stratified_Data-SF'!D10)</f>
        <v>1894.5</v>
      </c>
      <c r="E10" s="88">
        <f>(SUM(('Stratified_Data-Alameda'!E10*'Stratified_Data-Alameda'!$D10),('Stratified_Data-SF'!E10*'Stratified_Data-SF'!$D10)))/$D10</f>
        <v>0.77376352599630505</v>
      </c>
      <c r="F10" s="88">
        <f>(SUM(('Stratified_Data-Alameda'!F10*'Stratified_Data-Alameda'!$D10),('Stratified_Data-SF'!F10*'Stratified_Data-SF'!$D10)))/$D10</f>
        <v>0.51291237793613098</v>
      </c>
      <c r="G10" s="91">
        <f>(SUM(('Stratified_Data-Alameda'!G10*'Stratified_Data-Alameda'!$D10),('Stratified_Data-SF'!G10*'Stratified_Data-SF'!$D10)))/$D10</f>
        <v>0.66357746107152282</v>
      </c>
      <c r="H10" s="79"/>
      <c r="I10" s="10"/>
      <c r="M10" s="75"/>
      <c r="N10" s="74"/>
      <c r="S10" s="75"/>
      <c r="T10" s="74"/>
      <c r="Y10" s="75"/>
      <c r="Z10" s="74"/>
      <c r="AE10" s="75"/>
    </row>
    <row r="11" spans="1:31" s="9" customFormat="1" x14ac:dyDescent="0.2">
      <c r="A11" s="8" t="s">
        <v>8</v>
      </c>
      <c r="B11" s="79">
        <f>SUM('Stratified_Data-Alameda'!B11,'Stratified_Data-SF'!B11)</f>
        <v>120.35</v>
      </c>
      <c r="C11" s="88">
        <f>(SUM(('Stratified_Data-Alameda'!C11*'Stratified_Data-Alameda'!B11),('Stratified_Data-SF'!C11*'Stratified_Data-SF'!B11)))/B11</f>
        <v>0.81959887827170763</v>
      </c>
      <c r="D11" s="21">
        <f>SUM('Stratified_Data-Alameda'!D11,'Stratified_Data-SF'!D11)</f>
        <v>3358.5</v>
      </c>
      <c r="E11" s="88">
        <f>(SUM(('Stratified_Data-Alameda'!E11*'Stratified_Data-Alameda'!$D11),('Stratified_Data-SF'!E11*'Stratified_Data-SF'!$D11)))/$D11</f>
        <v>0.76803662349263069</v>
      </c>
      <c r="F11" s="88">
        <f>(SUM(('Stratified_Data-Alameda'!F11*'Stratified_Data-Alameda'!$D11),('Stratified_Data-SF'!F11*'Stratified_Data-SF'!$D11)))/$D11</f>
        <v>0.53376313830579136</v>
      </c>
      <c r="G11" s="91">
        <f>(SUM(('Stratified_Data-Alameda'!G11*'Stratified_Data-Alameda'!$D11),('Stratified_Data-SF'!G11*'Stratified_Data-SF'!$D11)))/$D11</f>
        <v>0.66934554116421019</v>
      </c>
      <c r="H11" s="79"/>
      <c r="M11" s="75"/>
      <c r="N11" s="74"/>
      <c r="S11" s="75"/>
      <c r="T11" s="74"/>
      <c r="Y11" s="75"/>
      <c r="Z11" s="74"/>
      <c r="AE11" s="75"/>
    </row>
    <row r="12" spans="1:31" s="9" customFormat="1" x14ac:dyDescent="0.2">
      <c r="A12" s="8" t="s">
        <v>9</v>
      </c>
      <c r="B12" s="79">
        <f>SUM('Stratified_Data-Alameda'!B12,'Stratified_Data-SF'!B12)</f>
        <v>73.666666666666657</v>
      </c>
      <c r="C12" s="88">
        <f>(SUM(('Stratified_Data-Alameda'!C12*'Stratified_Data-Alameda'!B12),('Stratified_Data-SF'!C12*'Stratified_Data-SF'!B12)))/B12</f>
        <v>0.84176357466063345</v>
      </c>
      <c r="D12" s="21">
        <f>SUM('Stratified_Data-Alameda'!D12,'Stratified_Data-SF'!D12)</f>
        <v>5295.5</v>
      </c>
      <c r="E12" s="88">
        <f>(SUM(('Stratified_Data-Alameda'!E12*'Stratified_Data-Alameda'!$D12),('Stratified_Data-SF'!E12*'Stratified_Data-SF'!$D12)))/$D12</f>
        <v>0.78877443112076295</v>
      </c>
      <c r="F12" s="88">
        <f>(SUM(('Stratified_Data-Alameda'!F12*'Stratified_Data-Alameda'!$D12),('Stratified_Data-SF'!F12*'Stratified_Data-SF'!$D12)))/$D12</f>
        <v>0.57112784439618536</v>
      </c>
      <c r="G12" s="91">
        <f>(SUM(('Stratified_Data-Alameda'!G12*'Stratified_Data-Alameda'!$D12),('Stratified_Data-SF'!G12*'Stratified_Data-SF'!$D12)))/$D12</f>
        <v>0.70938721556038142</v>
      </c>
      <c r="H12" s="79"/>
      <c r="J12" s="13"/>
      <c r="M12" s="75"/>
      <c r="N12" s="74"/>
      <c r="S12" s="75"/>
      <c r="T12" s="74"/>
      <c r="Y12" s="75"/>
      <c r="Z12" s="74"/>
      <c r="AE12" s="75"/>
    </row>
    <row r="13" spans="1:31" s="3" customFormat="1" x14ac:dyDescent="0.2">
      <c r="A13" s="2" t="s">
        <v>10</v>
      </c>
      <c r="B13" s="81">
        <f>SUM('Stratified_Data-Alameda'!B13,'Stratified_Data-SF'!B13)</f>
        <v>47.333333333333329</v>
      </c>
      <c r="C13" s="88">
        <f>(SUM(('Stratified_Data-Alameda'!C13*'Stratified_Data-Alameda'!B13),('Stratified_Data-SF'!C13*'Stratified_Data-SF'!B13)))/B13</f>
        <v>0.87207042253521128</v>
      </c>
      <c r="D13" s="24">
        <f>SUM('Stratified_Data-Alameda'!D13,'Stratified_Data-SF'!D13)</f>
        <v>7643.5</v>
      </c>
      <c r="E13" s="88">
        <f>(SUM(('Stratified_Data-Alameda'!E13*'Stratified_Data-Alameda'!$D13),('Stratified_Data-SF'!E13*'Stratified_Data-SF'!$D13)))/$D13</f>
        <v>0.83056754104794916</v>
      </c>
      <c r="F13" s="89">
        <f>(SUM(('Stratified_Data-Alameda'!F13*'Stratified_Data-Alameda'!$D13),('Stratified_Data-SF'!F13*'Stratified_Data-SF'!$D13)))/$D13</f>
        <v>0.66358144174789035</v>
      </c>
      <c r="G13" s="92">
        <f>(SUM(('Stratified_Data-Alameda'!G13*'Stratified_Data-Alameda'!$D13),('Stratified_Data-SF'!G13*'Stratified_Data-SF'!$D13)))/$D13</f>
        <v>0.78191689016811683</v>
      </c>
      <c r="H13" s="79"/>
      <c r="M13" s="63"/>
      <c r="N13" s="76"/>
      <c r="S13" s="63"/>
      <c r="T13" s="76"/>
      <c r="Y13" s="63"/>
      <c r="Z13" s="76"/>
      <c r="AE13" s="63"/>
    </row>
    <row r="14" spans="1:31" s="7" customFormat="1" x14ac:dyDescent="0.2">
      <c r="A14" s="6" t="s">
        <v>11</v>
      </c>
      <c r="B14" s="77"/>
      <c r="C14" s="17"/>
      <c r="D14" s="17"/>
      <c r="E14" s="17"/>
      <c r="F14" s="17"/>
      <c r="G14" s="56"/>
      <c r="H14" s="77"/>
      <c r="M14" s="73"/>
      <c r="N14" s="72"/>
      <c r="S14" s="73"/>
      <c r="T14" s="72"/>
      <c r="Y14" s="73"/>
      <c r="Z14" s="72"/>
      <c r="AE14" s="73"/>
    </row>
    <row r="15" spans="1:31" s="9" customFormat="1" x14ac:dyDescent="0.2">
      <c r="A15" s="8" t="s">
        <v>12</v>
      </c>
      <c r="B15" s="78"/>
      <c r="C15" s="10"/>
      <c r="D15" s="10"/>
      <c r="E15" s="10"/>
      <c r="F15" s="10"/>
      <c r="G15" s="57"/>
      <c r="H15" s="78"/>
      <c r="J15" s="10"/>
      <c r="M15" s="75"/>
      <c r="N15" s="74"/>
      <c r="S15" s="75"/>
      <c r="T15" s="74"/>
      <c r="Y15" s="75"/>
      <c r="Z15" s="74"/>
      <c r="AE15" s="75"/>
    </row>
    <row r="16" spans="1:31" s="9" customFormat="1" x14ac:dyDescent="0.2">
      <c r="A16" s="8" t="s">
        <v>13</v>
      </c>
      <c r="B16" s="78"/>
      <c r="C16" s="10"/>
      <c r="D16" s="10"/>
      <c r="E16" s="10"/>
      <c r="F16" s="10"/>
      <c r="G16" s="57"/>
      <c r="H16" s="78"/>
      <c r="J16" s="10"/>
      <c r="M16" s="75"/>
      <c r="N16" s="74"/>
      <c r="S16" s="75"/>
      <c r="T16" s="74"/>
      <c r="Y16" s="75"/>
      <c r="Z16" s="74"/>
      <c r="AE16" s="75"/>
    </row>
    <row r="17" spans="1:31" s="3" customFormat="1" x14ac:dyDescent="0.2">
      <c r="A17" s="2" t="s">
        <v>14</v>
      </c>
      <c r="B17" s="62"/>
      <c r="C17" s="22"/>
      <c r="D17" s="22"/>
      <c r="E17" s="22"/>
      <c r="F17" s="22"/>
      <c r="G17" s="58"/>
      <c r="H17" s="62"/>
      <c r="M17" s="63"/>
      <c r="N17" s="76"/>
      <c r="S17" s="63"/>
      <c r="T17" s="76"/>
      <c r="Y17" s="63"/>
      <c r="Z17" s="76"/>
      <c r="AE17" s="63"/>
    </row>
    <row r="18" spans="1:31" x14ac:dyDescent="0.2">
      <c r="A18" s="1" t="s">
        <v>20</v>
      </c>
      <c r="C18" s="101" t="s">
        <v>54</v>
      </c>
      <c r="F18" s="27"/>
      <c r="G18" s="29"/>
      <c r="H18" s="28"/>
      <c r="I18" s="27"/>
      <c r="K18" s="31"/>
      <c r="L18" s="31"/>
      <c r="M18" s="30"/>
      <c r="N18" s="31"/>
      <c r="O18" s="30"/>
      <c r="P18" s="30"/>
      <c r="Q18" s="30"/>
    </row>
    <row r="19" spans="1:31" x14ac:dyDescent="0.2">
      <c r="B19" s="27"/>
      <c r="C19" s="28"/>
      <c r="D19" s="27"/>
      <c r="E19" s="28"/>
      <c r="F19" s="30"/>
      <c r="G19" s="27"/>
      <c r="H19" s="33"/>
      <c r="I19" s="32"/>
      <c r="J19" s="31"/>
      <c r="K19" s="31"/>
      <c r="L19" s="30"/>
      <c r="M19" s="31"/>
      <c r="N19" s="30"/>
      <c r="O19" s="30"/>
      <c r="P19" s="30"/>
      <c r="Q19" s="30"/>
    </row>
    <row r="20" spans="1:31" x14ac:dyDescent="0.2">
      <c r="B20" s="30"/>
      <c r="C20" s="30"/>
      <c r="D20" s="30"/>
      <c r="E20" s="30"/>
      <c r="F20" s="30"/>
      <c r="G20" s="27"/>
      <c r="H20" s="33"/>
      <c r="I20" s="32"/>
      <c r="J20" s="31"/>
      <c r="K20" s="30"/>
      <c r="L20" s="31"/>
      <c r="M20" s="30"/>
      <c r="N20" s="31"/>
      <c r="O20" s="30"/>
      <c r="P20" s="30"/>
      <c r="Q20" s="30"/>
      <c r="R20" s="30"/>
      <c r="S20" s="30"/>
      <c r="T20" s="30"/>
    </row>
    <row r="21" spans="1:31" x14ac:dyDescent="0.2">
      <c r="B21" s="30"/>
      <c r="C21" s="30"/>
      <c r="D21" s="30"/>
      <c r="E21" s="30"/>
      <c r="F21" s="30"/>
      <c r="G21" s="32"/>
      <c r="H21" s="33"/>
      <c r="I21" s="27"/>
      <c r="J21" s="31"/>
      <c r="K21" s="30"/>
      <c r="L21" s="31"/>
      <c r="M21" s="30"/>
      <c r="N21" s="31"/>
      <c r="O21" s="30"/>
      <c r="P21" s="30"/>
      <c r="Q21" s="30"/>
      <c r="S21" s="30"/>
      <c r="T21" s="30"/>
    </row>
    <row r="22" spans="1:31" x14ac:dyDescent="0.2">
      <c r="B22" s="30"/>
      <c r="C22" s="30"/>
      <c r="D22" s="30"/>
      <c r="E22" s="30"/>
      <c r="F22" s="30"/>
      <c r="G22" s="27"/>
      <c r="H22" s="33"/>
      <c r="I22" s="32"/>
      <c r="J22" s="31"/>
      <c r="K22" s="30"/>
      <c r="L22" s="31"/>
      <c r="M22" s="30"/>
      <c r="N22" s="31"/>
      <c r="O22" s="30"/>
      <c r="P22" s="30"/>
      <c r="Q22" s="30"/>
      <c r="R22" s="30"/>
      <c r="S22" s="30"/>
      <c r="T22" s="30"/>
    </row>
    <row r="23" spans="1:31" x14ac:dyDescent="0.2">
      <c r="B23" s="30"/>
      <c r="C23" s="30"/>
      <c r="D23" s="30"/>
      <c r="E23" s="30"/>
      <c r="F23" s="30"/>
      <c r="G23" s="32"/>
      <c r="H23" s="33"/>
      <c r="I23" s="27"/>
      <c r="J23" s="31"/>
      <c r="K23" s="30"/>
      <c r="L23" s="31"/>
      <c r="M23" s="30"/>
      <c r="N23" s="31"/>
      <c r="O23" s="30"/>
      <c r="P23" s="30"/>
      <c r="Q23" s="30"/>
      <c r="R23" s="30"/>
      <c r="S23" s="30"/>
      <c r="T23" s="30"/>
    </row>
    <row r="24" spans="1:31" x14ac:dyDescent="0.2">
      <c r="B24" s="30"/>
      <c r="C24" s="30"/>
      <c r="D24" s="30"/>
      <c r="E24" s="30"/>
      <c r="F24" s="30"/>
      <c r="G24" s="32"/>
      <c r="H24" s="33"/>
      <c r="I24" s="27"/>
      <c r="J24" s="31"/>
      <c r="K24" s="30"/>
      <c r="L24" s="31"/>
      <c r="M24" s="30"/>
      <c r="N24" s="31"/>
      <c r="O24" s="30"/>
      <c r="P24" s="30"/>
      <c r="Q24" s="30"/>
      <c r="R24" s="30"/>
      <c r="S24" s="30"/>
      <c r="T24" s="30"/>
    </row>
    <row r="25" spans="1:31" x14ac:dyDescent="0.2">
      <c r="B25" s="30"/>
      <c r="C25" s="30"/>
      <c r="D25" s="30"/>
      <c r="E25" s="30"/>
      <c r="F25" s="30"/>
      <c r="G25" s="30"/>
      <c r="H25" s="33"/>
      <c r="I25" s="31"/>
      <c r="J25" s="31"/>
      <c r="K25" s="30"/>
      <c r="L25" s="31"/>
      <c r="M25" s="30"/>
      <c r="N25" s="31"/>
      <c r="O25" s="30"/>
      <c r="P25" s="30"/>
      <c r="Q25" s="30"/>
      <c r="R25" s="30"/>
      <c r="S25" s="30"/>
      <c r="T25" s="30"/>
    </row>
    <row r="26" spans="1:31" x14ac:dyDescent="0.2">
      <c r="B26" s="30"/>
      <c r="C26" s="30"/>
      <c r="D26" s="30"/>
      <c r="E26" s="30"/>
      <c r="F26" s="30"/>
      <c r="G26" s="27"/>
      <c r="H26" s="33"/>
      <c r="I26" s="27"/>
      <c r="J26" s="31"/>
      <c r="K26" s="30"/>
      <c r="L26" s="31"/>
      <c r="M26" s="30"/>
      <c r="N26" s="31"/>
      <c r="O26" s="30"/>
      <c r="P26" s="30"/>
      <c r="Q26" s="30"/>
      <c r="R26" s="30"/>
      <c r="S26" s="30"/>
      <c r="T26" s="30"/>
    </row>
    <row r="27" spans="1:31" x14ac:dyDescent="0.2">
      <c r="B27" s="30"/>
      <c r="C27" s="30"/>
      <c r="D27" s="30"/>
      <c r="E27" s="30"/>
      <c r="F27" s="30"/>
      <c r="G27" s="27"/>
      <c r="H27" s="33"/>
      <c r="I27" s="27"/>
      <c r="J27" s="31"/>
      <c r="K27" s="30"/>
      <c r="L27" s="31"/>
      <c r="M27" s="30"/>
      <c r="N27" s="31"/>
      <c r="O27" s="30"/>
      <c r="P27" s="30"/>
      <c r="Q27" s="30"/>
      <c r="R27" s="30"/>
      <c r="S27" s="30"/>
      <c r="T27" s="30"/>
    </row>
    <row r="28" spans="1:31" x14ac:dyDescent="0.2">
      <c r="B28" s="30"/>
      <c r="C28" s="30"/>
      <c r="D28" s="30"/>
      <c r="E28" s="30"/>
      <c r="F28" s="30"/>
      <c r="G28" s="27"/>
      <c r="H28" s="33"/>
      <c r="I28" s="32"/>
      <c r="J28" s="31"/>
      <c r="K28" s="30"/>
      <c r="L28" s="31"/>
      <c r="M28" s="30"/>
      <c r="N28" s="31"/>
      <c r="O28" s="30"/>
      <c r="P28" s="30"/>
      <c r="Q28" s="30"/>
      <c r="R28" s="30"/>
      <c r="S28" s="30"/>
      <c r="T28" s="30"/>
    </row>
    <row r="29" spans="1:31" x14ac:dyDescent="0.2">
      <c r="B29" s="30"/>
      <c r="C29" s="30"/>
      <c r="D29" s="30"/>
      <c r="E29" s="30"/>
      <c r="F29" s="30"/>
      <c r="G29" s="27"/>
      <c r="H29" s="33"/>
      <c r="I29" s="32"/>
      <c r="J29" s="31"/>
      <c r="K29" s="30"/>
      <c r="L29" s="31"/>
      <c r="M29" s="30"/>
      <c r="N29" s="31"/>
      <c r="O29" s="30"/>
      <c r="P29" s="30"/>
      <c r="Q29" s="30"/>
      <c r="R29" s="30"/>
      <c r="S29" s="30"/>
      <c r="T29" s="30"/>
    </row>
    <row r="30" spans="1:31" x14ac:dyDescent="0.2">
      <c r="B30" s="30"/>
      <c r="C30" s="30"/>
      <c r="D30" s="30"/>
      <c r="E30" s="30"/>
      <c r="F30" s="30"/>
      <c r="G30" s="27"/>
      <c r="H30" s="33"/>
      <c r="I30" s="27"/>
      <c r="J30" s="31"/>
      <c r="K30" s="30"/>
      <c r="L30" s="31"/>
      <c r="M30" s="30"/>
      <c r="N30" s="31"/>
      <c r="O30" s="30"/>
      <c r="P30" s="30"/>
      <c r="Q30" s="30"/>
      <c r="R30" s="30"/>
      <c r="S30" s="30"/>
      <c r="T30" s="30"/>
    </row>
    <row r="31" spans="1:31" x14ac:dyDescent="0.2">
      <c r="B31" s="30"/>
      <c r="C31" s="30"/>
      <c r="D31" s="30"/>
      <c r="E31" s="30"/>
      <c r="F31" s="30"/>
      <c r="G31" s="27"/>
      <c r="H31" s="33"/>
      <c r="I31" s="27"/>
      <c r="J31" s="31"/>
      <c r="K31" s="30"/>
      <c r="L31" s="31"/>
      <c r="M31" s="30"/>
      <c r="N31" s="30"/>
      <c r="O31" s="30"/>
      <c r="P31" s="30"/>
      <c r="Q31" s="30"/>
      <c r="R31" s="30"/>
      <c r="S31" s="30"/>
      <c r="T31" s="30"/>
    </row>
    <row r="32" spans="1:31" x14ac:dyDescent="0.2">
      <c r="B32" s="30"/>
      <c r="C32" s="30"/>
      <c r="D32" s="30"/>
      <c r="E32" s="30"/>
      <c r="F32" s="30"/>
      <c r="G32" s="27"/>
      <c r="H32" s="33"/>
      <c r="I32" s="27"/>
      <c r="J32" s="31"/>
      <c r="K32" s="30"/>
      <c r="L32" s="31"/>
      <c r="M32" s="30"/>
      <c r="N32" s="30"/>
      <c r="O32" s="30"/>
      <c r="P32" s="30"/>
      <c r="Q32" s="30"/>
      <c r="R32" s="30"/>
      <c r="S32" s="30"/>
      <c r="T32" s="30"/>
    </row>
    <row r="33" spans="2:20" x14ac:dyDescent="0.2">
      <c r="B33" s="30"/>
      <c r="C33" s="30"/>
      <c r="D33" s="30"/>
      <c r="E33" s="30"/>
      <c r="F33" s="30"/>
      <c r="G33" s="27"/>
      <c r="H33" s="33"/>
      <c r="I33" s="27"/>
      <c r="J33" s="30"/>
      <c r="K33" s="30"/>
      <c r="L33" s="30"/>
      <c r="M33" s="30"/>
      <c r="N33" s="30"/>
      <c r="O33" s="30"/>
      <c r="P33" s="30"/>
      <c r="Q33" s="30"/>
      <c r="T33" s="30"/>
    </row>
    <row r="34" spans="2:20" x14ac:dyDescent="0.2">
      <c r="B34" s="30"/>
      <c r="C34" s="30"/>
      <c r="D34" s="30"/>
      <c r="E34" s="30"/>
      <c r="R34" s="30"/>
      <c r="S34" s="30"/>
      <c r="T34" s="30"/>
    </row>
    <row r="35" spans="2:20" x14ac:dyDescent="0.2">
      <c r="B35" s="30"/>
      <c r="C35" s="30"/>
      <c r="D35" s="30"/>
      <c r="E35" s="30"/>
      <c r="R35" s="30"/>
      <c r="S35" s="30"/>
      <c r="T35" s="30"/>
    </row>
    <row r="36" spans="2:20" x14ac:dyDescent="0.2">
      <c r="B36" s="30"/>
      <c r="C36" s="30"/>
      <c r="D36" s="30"/>
      <c r="E36" s="30"/>
      <c r="F36" s="30"/>
      <c r="G36" s="30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2:20" x14ac:dyDescent="0.2">
      <c r="B37" s="30"/>
      <c r="C37" s="30"/>
      <c r="D37" s="30"/>
      <c r="E37" s="30"/>
      <c r="J37" s="31"/>
      <c r="K37" s="30"/>
      <c r="L37" s="31"/>
      <c r="M37" s="30"/>
      <c r="N37" s="31"/>
      <c r="O37" s="30"/>
      <c r="P37" s="30"/>
      <c r="Q37" s="30"/>
      <c r="R37" s="30"/>
      <c r="S37" s="30"/>
      <c r="T37" s="30"/>
    </row>
    <row r="38" spans="2:20" x14ac:dyDescent="0.2">
      <c r="B38" s="30"/>
      <c r="C38" s="30"/>
      <c r="D38" s="30"/>
      <c r="E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2:20" x14ac:dyDescent="0.2">
      <c r="B39" s="30"/>
      <c r="C39" s="30"/>
      <c r="D39" s="30"/>
      <c r="E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2:20" x14ac:dyDescent="0.2">
      <c r="B40" s="30"/>
      <c r="C40" s="30"/>
      <c r="D40" s="30"/>
      <c r="E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20" x14ac:dyDescent="0.2">
      <c r="B41" s="30"/>
      <c r="C41" s="30"/>
      <c r="D41" s="30"/>
      <c r="E41" s="30"/>
      <c r="F41" s="30"/>
      <c r="G41" s="30"/>
      <c r="H41" s="30"/>
      <c r="I41" s="30"/>
      <c r="R41" s="30"/>
    </row>
    <row r="42" spans="2:20" x14ac:dyDescent="0.2">
      <c r="B42" s="30"/>
      <c r="C42" s="30"/>
      <c r="D42" s="30"/>
      <c r="E42" s="30"/>
      <c r="J42" s="30"/>
      <c r="K42" s="30"/>
      <c r="L42" s="30"/>
      <c r="M42" s="30"/>
      <c r="N42" s="30"/>
      <c r="R42" s="30"/>
    </row>
    <row r="43" spans="2:20" x14ac:dyDescent="0.2">
      <c r="B43" s="30"/>
      <c r="C43" s="30"/>
      <c r="D43" s="30"/>
      <c r="E43" s="30"/>
      <c r="R43" s="30"/>
    </row>
    <row r="44" spans="2:20" x14ac:dyDescent="0.2">
      <c r="B44" s="30"/>
      <c r="C44" s="30"/>
      <c r="D44" s="30"/>
      <c r="E44" s="30"/>
      <c r="R44" s="30"/>
    </row>
    <row r="45" spans="2:20" x14ac:dyDescent="0.2">
      <c r="B45" s="30"/>
      <c r="C45" s="30"/>
      <c r="D45" s="30"/>
      <c r="E45" s="30"/>
      <c r="O45" s="30"/>
      <c r="P45" s="30"/>
      <c r="Q45" s="30"/>
      <c r="R45" s="30"/>
    </row>
    <row r="46" spans="2:20" x14ac:dyDescent="0.2">
      <c r="B46" s="30"/>
      <c r="C46" s="30"/>
      <c r="D46" s="30"/>
      <c r="E46" s="30"/>
      <c r="O46" s="30"/>
      <c r="P46" s="30"/>
      <c r="Q46" s="30"/>
      <c r="R46" s="30"/>
    </row>
    <row r="47" spans="2:20" x14ac:dyDescent="0.2">
      <c r="B47" s="30"/>
      <c r="C47" s="30"/>
      <c r="D47" s="30"/>
      <c r="E47" s="30"/>
      <c r="F47" s="30"/>
      <c r="G47" s="30"/>
      <c r="H47" s="30"/>
      <c r="I47" s="30"/>
      <c r="O47" s="30"/>
      <c r="P47" s="30"/>
      <c r="Q47" s="30"/>
      <c r="R47" s="30"/>
    </row>
    <row r="48" spans="2:20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2:18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18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 x14ac:dyDescent="0.2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 x14ac:dyDescent="0.2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2:18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2:18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2:18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 x14ac:dyDescent="0.2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2:18" x14ac:dyDescent="0.2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2:18" x14ac:dyDescent="0.2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2:18" x14ac:dyDescent="0.2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2:18" x14ac:dyDescent="0.2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2:18" x14ac:dyDescent="0.2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2:18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 x14ac:dyDescent="0.2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 x14ac:dyDescent="0.2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2:18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 x14ac:dyDescent="0.2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2:18" x14ac:dyDescent="0.2">
      <c r="F72" s="30"/>
      <c r="G72" s="30"/>
      <c r="H72" s="30"/>
      <c r="I72" s="30"/>
      <c r="J72" s="30"/>
      <c r="K72" s="30"/>
      <c r="L72" s="30"/>
      <c r="M72" s="30"/>
      <c r="N72" s="30"/>
    </row>
    <row r="73" spans="2:18" x14ac:dyDescent="0.2">
      <c r="F73" s="30"/>
      <c r="G73" s="30"/>
      <c r="H73" s="30"/>
      <c r="I73" s="30"/>
      <c r="J73" s="30"/>
      <c r="K73" s="30"/>
      <c r="L73" s="30"/>
      <c r="M73" s="30"/>
      <c r="N73" s="30"/>
    </row>
    <row r="74" spans="2:18" x14ac:dyDescent="0.2">
      <c r="J74" s="30"/>
      <c r="K74" s="30"/>
      <c r="L74" s="30"/>
      <c r="M74" s="30"/>
      <c r="N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2064-3FCC-2B48-8280-8B6F10F9E9F4}">
  <sheetPr>
    <tabColor rgb="FFFFFF00"/>
  </sheetPr>
  <dimension ref="A1:G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</row>
    <row r="2" spans="1:7" x14ac:dyDescent="0.2">
      <c r="A2" s="1">
        <v>2013</v>
      </c>
      <c r="B2" s="9">
        <f>SUM('Total_Data-Alameda'!B2,'Total_Data-SF'!B2)</f>
        <v>613</v>
      </c>
      <c r="C2" s="93">
        <f>(SUM(('Total_Data-Alameda'!C2*'Total_Data-Alameda'!B2),('Total_Data-SF'!C2*'Total_Data-SF'!B2)))/B2</f>
        <v>0.73070146818923332</v>
      </c>
      <c r="D2" s="9">
        <f>SUM('Total_Data-Alameda'!D2,'Total_Data-SF'!D2)</f>
        <v>19419</v>
      </c>
      <c r="E2" s="93">
        <f>(SUM(('Total_Data-Alameda'!E2*'Total_Data-Alameda'!D2),('Total_Data-SF'!E2*'Total_Data-SF'!D2)))/D2</f>
        <v>0.75598949482465638</v>
      </c>
      <c r="F2" s="93">
        <f>(SUM(('Total_Data-Alameda'!F2*'Total_Data-Alameda'!D2),('Total_Data-SF'!F2*'Total_Data-SF'!D2)))/D2</f>
        <v>0.59414361192646381</v>
      </c>
      <c r="G2" s="93">
        <f>(SUM(('Total_Data-Alameda'!G2*'Total_Data-Alameda'!D2),('Total_Data-SF'!G2*'Total_Data-SF'!D2)))/D2</f>
        <v>0.64689901642721048</v>
      </c>
    </row>
    <row r="3" spans="1:7" x14ac:dyDescent="0.2">
      <c r="A3" s="1">
        <v>2014</v>
      </c>
      <c r="B3" s="9">
        <f>SUM('Total_Data-Alameda'!B3,'Total_Data-SF'!B3)</f>
        <v>538</v>
      </c>
      <c r="C3" s="93">
        <f>(SUM(('Total_Data-Alameda'!C3*'Total_Data-Alameda'!B3),('Total_Data-SF'!C3*'Total_Data-SF'!B3)))/B3</f>
        <v>0.8111728624535316</v>
      </c>
      <c r="D3" s="9">
        <f>SUM('Total_Data-Alameda'!D3,'Total_Data-SF'!D3)</f>
        <v>18615</v>
      </c>
      <c r="E3" s="93">
        <f>(SUM(('Total_Data-Alameda'!E3*'Total_Data-Alameda'!D3),('Total_Data-SF'!E3*'Total_Data-SF'!D3)))/D3</f>
        <v>0.80239307010475414</v>
      </c>
      <c r="F3" s="93">
        <f>(SUM(('Total_Data-Alameda'!F3*'Total_Data-Alameda'!D3),('Total_Data-SF'!F3*'Total_Data-SF'!D3)))/D3</f>
        <v>0.61534904109589039</v>
      </c>
      <c r="G3" s="93">
        <f>(SUM(('Total_Data-Alameda'!G3*'Total_Data-Alameda'!D3),('Total_Data-SF'!G3*'Total_Data-SF'!D3)))/D3</f>
        <v>0.6974862207896857</v>
      </c>
    </row>
    <row r="4" spans="1:7" x14ac:dyDescent="0.2">
      <c r="A4" s="1">
        <v>2015</v>
      </c>
      <c r="B4" s="9">
        <f>SUM('Total_Data-Alameda'!B4,'Total_Data-SF'!B4)</f>
        <v>524</v>
      </c>
      <c r="C4" s="93">
        <f>(SUM(('Total_Data-Alameda'!C4*'Total_Data-Alameda'!B4),('Total_Data-SF'!C4*'Total_Data-SF'!B4)))/B4</f>
        <v>0.77951335877862604</v>
      </c>
      <c r="D4" s="9">
        <f>SUM('Total_Data-Alameda'!D4,'Total_Data-SF'!D4)</f>
        <v>18895</v>
      </c>
      <c r="E4" s="93">
        <f>(SUM(('Total_Data-Alameda'!E4*'Total_Data-Alameda'!D4),('Total_Data-SF'!E4*'Total_Data-SF'!D4)))/D4</f>
        <v>0.80383159566022755</v>
      </c>
      <c r="F4" s="93">
        <f>(SUM(('Total_Data-Alameda'!F4*'Total_Data-Alameda'!D4),('Total_Data-SF'!F4*'Total_Data-SF'!D4)))/D4</f>
        <v>0.60588062450383706</v>
      </c>
      <c r="G4" s="93">
        <f>(SUM(('Total_Data-Alameda'!G4*'Total_Data-Alameda'!D4),('Total_Data-SF'!G4*'Total_Data-SF'!D4)))/D4</f>
        <v>0.72109118814501194</v>
      </c>
    </row>
    <row r="5" spans="1:7" x14ac:dyDescent="0.2">
      <c r="A5" s="1">
        <v>2016</v>
      </c>
      <c r="B5" s="9">
        <f>SUM('Total_Data-Alameda'!B5,'Total_Data-SF'!B5)</f>
        <v>507</v>
      </c>
      <c r="C5" s="93">
        <f>(SUM(('Total_Data-Alameda'!C5*'Total_Data-Alameda'!B5),('Total_Data-SF'!C5*'Total_Data-SF'!B5)))/B5</f>
        <v>0.8042248520710058</v>
      </c>
      <c r="D5" s="9">
        <f>SUM('Total_Data-Alameda'!D5,'Total_Data-SF'!D5)</f>
        <v>18495</v>
      </c>
      <c r="E5" s="93">
        <f>(SUM(('Total_Data-Alameda'!E5*'Total_Data-Alameda'!D5),('Total_Data-SF'!E5*'Total_Data-SF'!D5)))/D5</f>
        <v>0.80293711814003788</v>
      </c>
      <c r="F5" s="93">
        <f>(SUM(('Total_Data-Alameda'!F5*'Total_Data-Alameda'!D5),('Total_Data-SF'!F5*'Total_Data-SF'!D5)))/D5</f>
        <v>0.6090201567991349</v>
      </c>
      <c r="G5" s="93">
        <f>(SUM(('Total_Data-Alameda'!G5*'Total_Data-Alameda'!D5),('Total_Data-SF'!G5*'Total_Data-SF'!D5)))/D5</f>
        <v>0.72234874290348738</v>
      </c>
    </row>
    <row r="6" spans="1:7" x14ac:dyDescent="0.2">
      <c r="A6" s="1">
        <v>2017</v>
      </c>
      <c r="B6" s="9">
        <f>SUM('Total_Data-Alameda'!B6,'Total_Data-SF'!B6)</f>
        <v>487</v>
      </c>
      <c r="C6" s="93">
        <f>(SUM(('Total_Data-Alameda'!C6*'Total_Data-Alameda'!B6),('Total_Data-SF'!C6*'Total_Data-SF'!B6)))/B6</f>
        <v>0.80002053388090355</v>
      </c>
      <c r="D6" s="9">
        <f>SUM('Total_Data-Alameda'!D6,'Total_Data-SF'!D6)</f>
        <v>18519</v>
      </c>
      <c r="E6" s="93">
        <f>(SUM(('Total_Data-Alameda'!E6*'Total_Data-Alameda'!D6),('Total_Data-SF'!E6*'Total_Data-SF'!D6)))/D6</f>
        <v>0.8025598574437065</v>
      </c>
      <c r="F6" s="93">
        <f>(SUM(('Total_Data-Alameda'!F6*'Total_Data-Alameda'!D6),('Total_Data-SF'!F6*'Total_Data-SF'!D6)))/D6</f>
        <v>0.59503990496247083</v>
      </c>
      <c r="G6" s="93">
        <f>(SUM(('Total_Data-Alameda'!G6*'Total_Data-Alameda'!D6),('Total_Data-SF'!G6*'Total_Data-SF'!D6)))/D6</f>
        <v>0.72914979210540531</v>
      </c>
    </row>
    <row r="7" spans="1:7" x14ac:dyDescent="0.2">
      <c r="B7" s="9"/>
      <c r="C7" s="9"/>
      <c r="D7" s="9"/>
      <c r="E7" s="9"/>
      <c r="F7" s="9"/>
      <c r="G7" s="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7CF9-44B7-0A49-8A1A-38AC9796F28B}">
  <sheetPr>
    <tabColor theme="9" tint="0.79998168889431442"/>
  </sheetPr>
  <dimension ref="A1:AE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3.33203125" style="1" customWidth="1"/>
  </cols>
  <sheetData>
    <row r="1" spans="1:31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  <c r="H1" s="50" t="s">
        <v>19</v>
      </c>
      <c r="I1" s="6" t="s">
        <v>18</v>
      </c>
      <c r="J1" s="6" t="s">
        <v>17</v>
      </c>
      <c r="K1" s="6" t="s">
        <v>21</v>
      </c>
      <c r="L1" s="6" t="s">
        <v>25</v>
      </c>
      <c r="M1" s="51" t="s">
        <v>16</v>
      </c>
      <c r="N1" s="64" t="s">
        <v>19</v>
      </c>
      <c r="O1" s="65" t="s">
        <v>18</v>
      </c>
      <c r="P1" s="65" t="s">
        <v>17</v>
      </c>
      <c r="Q1" s="65" t="s">
        <v>21</v>
      </c>
      <c r="R1" s="65" t="s">
        <v>25</v>
      </c>
      <c r="S1" s="66" t="s">
        <v>16</v>
      </c>
      <c r="T1" s="64" t="s">
        <v>19</v>
      </c>
      <c r="U1" s="65" t="s">
        <v>18</v>
      </c>
      <c r="V1" s="65" t="s">
        <v>17</v>
      </c>
      <c r="W1" s="65" t="s">
        <v>21</v>
      </c>
      <c r="X1" s="65" t="s">
        <v>25</v>
      </c>
      <c r="Y1" s="66" t="s">
        <v>16</v>
      </c>
      <c r="Z1" s="64" t="s">
        <v>19</v>
      </c>
      <c r="AA1" s="65" t="s">
        <v>18</v>
      </c>
      <c r="AB1" s="65" t="s">
        <v>17</v>
      </c>
      <c r="AC1" s="65" t="s">
        <v>21</v>
      </c>
      <c r="AD1" s="65" t="s">
        <v>25</v>
      </c>
      <c r="AE1" s="66" t="s">
        <v>16</v>
      </c>
    </row>
    <row r="2" spans="1:31" s="1" customFormat="1" x14ac:dyDescent="0.2">
      <c r="A2" s="1" t="s">
        <v>15</v>
      </c>
      <c r="B2" s="52">
        <v>2017</v>
      </c>
      <c r="C2" s="8">
        <v>2017</v>
      </c>
      <c r="D2" s="8">
        <v>2017</v>
      </c>
      <c r="E2" s="8">
        <v>2017</v>
      </c>
      <c r="F2" s="8">
        <v>2017</v>
      </c>
      <c r="G2" s="53">
        <v>2017</v>
      </c>
      <c r="H2" s="52">
        <v>2016</v>
      </c>
      <c r="I2" s="8">
        <v>2016</v>
      </c>
      <c r="J2" s="8">
        <v>2016</v>
      </c>
      <c r="K2" s="8">
        <v>2016</v>
      </c>
      <c r="L2" s="8">
        <v>2016</v>
      </c>
      <c r="M2" s="53">
        <v>2016</v>
      </c>
      <c r="N2" s="67">
        <v>2015</v>
      </c>
      <c r="O2" s="68">
        <v>2015</v>
      </c>
      <c r="P2" s="68">
        <v>2015</v>
      </c>
      <c r="Q2" s="68">
        <v>2015</v>
      </c>
      <c r="R2" s="68">
        <v>2015</v>
      </c>
      <c r="S2" s="69">
        <v>2015</v>
      </c>
      <c r="T2" s="67">
        <v>2014</v>
      </c>
      <c r="U2" s="68">
        <v>2014</v>
      </c>
      <c r="V2" s="68">
        <v>2014</v>
      </c>
      <c r="W2" s="68">
        <v>2014</v>
      </c>
      <c r="X2" s="68">
        <v>2014</v>
      </c>
      <c r="Y2" s="69">
        <v>2014</v>
      </c>
      <c r="Z2" s="67">
        <v>2013</v>
      </c>
      <c r="AA2" s="68">
        <v>2013</v>
      </c>
      <c r="AB2" s="68">
        <v>2013</v>
      </c>
      <c r="AC2" s="68">
        <v>2013</v>
      </c>
      <c r="AD2" s="68">
        <v>2013</v>
      </c>
      <c r="AE2" s="69">
        <v>2013</v>
      </c>
    </row>
    <row r="3" spans="1:31" s="5" customFormat="1" x14ac:dyDescent="0.2">
      <c r="A3" s="4" t="s">
        <v>0</v>
      </c>
      <c r="B3" s="54">
        <v>243</v>
      </c>
      <c r="C3" s="16">
        <v>0.79</v>
      </c>
      <c r="D3" s="16">
        <v>5741</v>
      </c>
      <c r="E3" s="16">
        <v>0.78600000000000003</v>
      </c>
      <c r="F3" s="16">
        <v>0.58399999999999996</v>
      </c>
      <c r="G3" s="55">
        <v>0.70499999999999996</v>
      </c>
      <c r="H3" s="54">
        <v>242</v>
      </c>
      <c r="I3" s="5">
        <v>0.77600000000000002</v>
      </c>
      <c r="J3" s="5">
        <v>5441</v>
      </c>
      <c r="K3" s="5">
        <v>0.76200000000000001</v>
      </c>
      <c r="L3" s="82">
        <v>0.57499999999999996</v>
      </c>
      <c r="M3" s="71">
        <v>0.68</v>
      </c>
      <c r="N3" s="70">
        <v>225</v>
      </c>
      <c r="O3" s="5">
        <v>0.73899999999999999</v>
      </c>
      <c r="P3" s="5">
        <v>5178</v>
      </c>
      <c r="Q3" s="5">
        <v>0.76100000000000001</v>
      </c>
      <c r="R3" s="82">
        <v>0.56000000000000005</v>
      </c>
      <c r="S3" s="71">
        <v>0.67100000000000004</v>
      </c>
      <c r="T3" s="70">
        <v>211</v>
      </c>
      <c r="U3" s="5">
        <v>0.751</v>
      </c>
      <c r="V3" s="5">
        <v>5373</v>
      </c>
      <c r="W3" s="5">
        <v>0.75900000000000001</v>
      </c>
      <c r="X3" s="82">
        <v>0.59599999999999997</v>
      </c>
      <c r="Y3" s="71">
        <v>0.64200000000000002</v>
      </c>
      <c r="Z3" s="70">
        <f>645/3</f>
        <v>215</v>
      </c>
      <c r="AA3" s="5">
        <v>0.73199999999999998</v>
      </c>
      <c r="AB3" s="5">
        <v>5192</v>
      </c>
      <c r="AC3" s="5">
        <v>0.745</v>
      </c>
      <c r="AD3" s="82">
        <v>0.57699999999999996</v>
      </c>
      <c r="AE3" s="71">
        <v>0.61099999999999999</v>
      </c>
    </row>
    <row r="4" spans="1:31" s="7" customFormat="1" x14ac:dyDescent="0.2">
      <c r="A4" s="6" t="s">
        <v>1</v>
      </c>
      <c r="B4" s="77">
        <v>92</v>
      </c>
      <c r="C4" s="17">
        <v>0.86199999999999999</v>
      </c>
      <c r="D4" s="17">
        <v>2203</v>
      </c>
      <c r="E4" s="17">
        <v>0.78600000000000003</v>
      </c>
      <c r="F4" s="17">
        <v>0.57199999999999995</v>
      </c>
      <c r="G4" s="56">
        <v>0.67700000000000005</v>
      </c>
      <c r="H4" s="77"/>
      <c r="M4" s="73"/>
      <c r="N4" s="72"/>
      <c r="S4" s="73"/>
      <c r="T4" s="72"/>
      <c r="Y4" s="73"/>
      <c r="Z4" s="72"/>
      <c r="AE4" s="73"/>
    </row>
    <row r="5" spans="1:31" s="9" customFormat="1" x14ac:dyDescent="0.2">
      <c r="A5" s="8" t="s">
        <v>2</v>
      </c>
      <c r="B5" s="78">
        <v>68</v>
      </c>
      <c r="C5" s="10">
        <v>0.90100000000000002</v>
      </c>
      <c r="D5" s="10">
        <v>1110</v>
      </c>
      <c r="E5" s="10">
        <v>0.74299999999999999</v>
      </c>
      <c r="F5" s="10">
        <v>0.56899999999999995</v>
      </c>
      <c r="G5" s="57">
        <v>0.67</v>
      </c>
      <c r="H5" s="78"/>
      <c r="J5" s="10"/>
      <c r="M5" s="75"/>
      <c r="N5" s="74"/>
      <c r="O5" s="10"/>
      <c r="S5" s="75"/>
      <c r="T5" s="74"/>
      <c r="Y5" s="75"/>
      <c r="Z5" s="74"/>
      <c r="AE5" s="75"/>
    </row>
    <row r="6" spans="1:31" s="3" customFormat="1" x14ac:dyDescent="0.2">
      <c r="A6" s="2" t="s">
        <v>3</v>
      </c>
      <c r="B6" s="62">
        <v>51</v>
      </c>
      <c r="C6" s="22">
        <v>0.90200000000000002</v>
      </c>
      <c r="D6" s="22">
        <v>1838</v>
      </c>
      <c r="E6" s="22">
        <v>0.79900000000000004</v>
      </c>
      <c r="F6" s="22">
        <v>0.59299999999999997</v>
      </c>
      <c r="G6" s="58">
        <v>0.74399999999999999</v>
      </c>
      <c r="H6" s="62"/>
      <c r="M6" s="63"/>
      <c r="N6" s="76"/>
      <c r="S6" s="63"/>
      <c r="T6" s="76"/>
      <c r="Y6" s="63"/>
      <c r="Z6" s="76"/>
      <c r="AE6" s="63"/>
    </row>
    <row r="7" spans="1:31" s="7" customFormat="1" x14ac:dyDescent="0.2">
      <c r="A7" s="6" t="s">
        <v>4</v>
      </c>
      <c r="B7" s="77">
        <v>204</v>
      </c>
      <c r="C7" s="17">
        <v>0.89400000000000002</v>
      </c>
      <c r="D7" s="17">
        <v>4780</v>
      </c>
      <c r="E7" s="17">
        <v>0.78600000000000003</v>
      </c>
      <c r="F7" s="87">
        <v>0.59</v>
      </c>
      <c r="G7" s="56">
        <v>0.70899999999999996</v>
      </c>
      <c r="H7" s="77"/>
      <c r="M7" s="73"/>
      <c r="N7" s="72"/>
      <c r="S7" s="73"/>
      <c r="T7" s="72"/>
      <c r="Y7" s="73"/>
      <c r="Z7" s="72"/>
      <c r="AE7" s="73"/>
    </row>
    <row r="8" spans="1:31" s="3" customFormat="1" x14ac:dyDescent="0.2">
      <c r="A8" s="2" t="s">
        <v>5</v>
      </c>
      <c r="B8" s="62">
        <v>39</v>
      </c>
      <c r="C8" s="22">
        <v>0.82899999999999996</v>
      </c>
      <c r="D8" s="10">
        <v>961</v>
      </c>
      <c r="E8" s="22">
        <v>0.78500000000000003</v>
      </c>
      <c r="F8" s="22">
        <v>0.55500000000000005</v>
      </c>
      <c r="G8" s="58">
        <v>0.68500000000000005</v>
      </c>
      <c r="H8" s="62"/>
      <c r="I8" s="9"/>
      <c r="M8" s="63"/>
      <c r="N8" s="76"/>
      <c r="S8" s="63"/>
      <c r="T8" s="76"/>
      <c r="Y8" s="63"/>
      <c r="Z8" s="76"/>
      <c r="AE8" s="63"/>
    </row>
    <row r="9" spans="1:31" s="7" customFormat="1" x14ac:dyDescent="0.2">
      <c r="A9" s="6" t="s">
        <v>6</v>
      </c>
      <c r="B9" s="80">
        <v>33</v>
      </c>
      <c r="C9" s="87">
        <v>0.85899999999999999</v>
      </c>
      <c r="D9" s="19">
        <f>20+(432/2)</f>
        <v>236</v>
      </c>
      <c r="E9" s="87">
        <f>AVERAGE(0.95,0.75)</f>
        <v>0.85</v>
      </c>
      <c r="F9" s="87">
        <f>AVERAGE(0.65,0.491)</f>
        <v>0.57050000000000001</v>
      </c>
      <c r="G9" s="90">
        <f>AVERAGE(0.85,0.618)</f>
        <v>0.73399999999999999</v>
      </c>
      <c r="H9" s="77"/>
      <c r="I9" s="14"/>
      <c r="J9" s="12"/>
      <c r="M9" s="73"/>
      <c r="N9" s="72"/>
      <c r="S9" s="73"/>
      <c r="T9" s="72"/>
      <c r="Y9" s="73"/>
      <c r="Z9" s="72"/>
      <c r="AE9" s="73"/>
    </row>
    <row r="10" spans="1:31" s="9" customFormat="1" x14ac:dyDescent="0.2">
      <c r="A10" s="8" t="s">
        <v>7</v>
      </c>
      <c r="B10" s="79">
        <f>52+(60.7/2)</f>
        <v>82.35</v>
      </c>
      <c r="C10" s="88">
        <f>AVERAGE(0.904,0.879)</f>
        <v>0.89149999999999996</v>
      </c>
      <c r="D10" s="21">
        <f>(432/2)+(878/2)</f>
        <v>655</v>
      </c>
      <c r="E10" s="88">
        <f>AVERAGE(0.75,0.755)</f>
        <v>0.75249999999999995</v>
      </c>
      <c r="F10" s="88">
        <f>AVERAGE(0.491,0.508)</f>
        <v>0.4995</v>
      </c>
      <c r="G10" s="91">
        <f>AVERAGE(0.618,0.647)</f>
        <v>0.63250000000000006</v>
      </c>
      <c r="H10" s="79"/>
      <c r="I10" s="10"/>
      <c r="M10" s="75"/>
      <c r="N10" s="74"/>
      <c r="S10" s="75"/>
      <c r="T10" s="74"/>
      <c r="Y10" s="75"/>
      <c r="Z10" s="74"/>
      <c r="AE10" s="75"/>
    </row>
    <row r="11" spans="1:31" s="9" customFormat="1" x14ac:dyDescent="0.2">
      <c r="A11" s="8" t="s">
        <v>8</v>
      </c>
      <c r="B11" s="79">
        <f>(60.7/2)+(47/2)</f>
        <v>53.85</v>
      </c>
      <c r="C11" s="88">
        <f>AVERAGE(0.879,0.858)</f>
        <v>0.86850000000000005</v>
      </c>
      <c r="D11" s="21">
        <f>(878/2)+(1320/2)</f>
        <v>1099</v>
      </c>
      <c r="E11" s="88">
        <f>AVERAGE(0.755,0.773)</f>
        <v>0.76400000000000001</v>
      </c>
      <c r="F11" s="88">
        <f>AVERAGE(0.508,0.575)</f>
        <v>0.54149999999999998</v>
      </c>
      <c r="G11" s="91">
        <f>AVERAGE(0.647,0.689)</f>
        <v>0.66799999999999993</v>
      </c>
      <c r="H11" s="79"/>
      <c r="M11" s="75"/>
      <c r="N11" s="74"/>
      <c r="S11" s="75"/>
      <c r="T11" s="74"/>
      <c r="Y11" s="75"/>
      <c r="Z11" s="74"/>
      <c r="AE11" s="75"/>
    </row>
    <row r="12" spans="1:31" s="9" customFormat="1" x14ac:dyDescent="0.2">
      <c r="A12" s="8" t="s">
        <v>9</v>
      </c>
      <c r="B12" s="79">
        <f>(47/2)+(33/3)</f>
        <v>34.5</v>
      </c>
      <c r="C12" s="88">
        <f>AVERAGE(0.858,0.909)</f>
        <v>0.88349999999999995</v>
      </c>
      <c r="D12" s="21">
        <f>(1320/2)+(1925/2)</f>
        <v>1622.5</v>
      </c>
      <c r="E12" s="88">
        <f>AVERAGE(0.773,0.799)</f>
        <v>0.78600000000000003</v>
      </c>
      <c r="F12" s="88">
        <f>AVERAGE(0.575,0.595)</f>
        <v>0.58499999999999996</v>
      </c>
      <c r="G12" s="91">
        <f>AVERAGE(0.689,0.727)</f>
        <v>0.70799999999999996</v>
      </c>
      <c r="H12" s="79"/>
      <c r="J12" s="13"/>
      <c r="M12" s="75"/>
      <c r="N12" s="74"/>
      <c r="S12" s="75"/>
      <c r="T12" s="74"/>
      <c r="Y12" s="75"/>
      <c r="Z12" s="74"/>
      <c r="AE12" s="75"/>
    </row>
    <row r="13" spans="1:31" s="3" customFormat="1" x14ac:dyDescent="0.2">
      <c r="A13" s="2" t="s">
        <v>10</v>
      </c>
      <c r="B13" s="81">
        <f>(2/3)*33</f>
        <v>22</v>
      </c>
      <c r="C13" s="88">
        <f>0.909</f>
        <v>0.90900000000000003</v>
      </c>
      <c r="D13" s="24">
        <f>(1925/2)+1158</f>
        <v>2120.5</v>
      </c>
      <c r="E13" s="88">
        <f>AVERAGE(0.799,0.813)</f>
        <v>0.80600000000000005</v>
      </c>
      <c r="F13" s="89">
        <f>AVERAGE(0.595,0.664)</f>
        <v>0.62949999999999995</v>
      </c>
      <c r="G13" s="92">
        <f>AVERAGE(0.727,0.76)</f>
        <v>0.74350000000000005</v>
      </c>
      <c r="H13" s="79"/>
      <c r="M13" s="63"/>
      <c r="N13" s="76"/>
      <c r="S13" s="63"/>
      <c r="T13" s="76"/>
      <c r="Y13" s="63"/>
      <c r="Z13" s="76"/>
      <c r="AE13" s="63"/>
    </row>
    <row r="14" spans="1:31" s="7" customFormat="1" x14ac:dyDescent="0.2">
      <c r="A14" s="6" t="s">
        <v>11</v>
      </c>
      <c r="B14" s="77"/>
      <c r="C14" s="17"/>
      <c r="D14" s="17"/>
      <c r="E14" s="17"/>
      <c r="F14" s="17"/>
      <c r="G14" s="56"/>
      <c r="H14" s="77"/>
      <c r="M14" s="73"/>
      <c r="N14" s="72"/>
      <c r="S14" s="73"/>
      <c r="T14" s="72"/>
      <c r="Y14" s="73"/>
      <c r="Z14" s="72"/>
      <c r="AE14" s="73"/>
    </row>
    <row r="15" spans="1:31" s="9" customFormat="1" x14ac:dyDescent="0.2">
      <c r="A15" s="8" t="s">
        <v>12</v>
      </c>
      <c r="B15" s="78"/>
      <c r="C15" s="10"/>
      <c r="D15" s="10"/>
      <c r="E15" s="10"/>
      <c r="F15" s="10"/>
      <c r="G15" s="57"/>
      <c r="H15" s="78"/>
      <c r="J15" s="10"/>
      <c r="M15" s="75"/>
      <c r="N15" s="74"/>
      <c r="S15" s="75"/>
      <c r="T15" s="74"/>
      <c r="Y15" s="75"/>
      <c r="Z15" s="74"/>
      <c r="AE15" s="75"/>
    </row>
    <row r="16" spans="1:31" s="9" customFormat="1" x14ac:dyDescent="0.2">
      <c r="A16" s="8" t="s">
        <v>13</v>
      </c>
      <c r="B16" s="78"/>
      <c r="C16" s="10"/>
      <c r="D16" s="10"/>
      <c r="E16" s="10"/>
      <c r="F16" s="10"/>
      <c r="G16" s="57"/>
      <c r="H16" s="78"/>
      <c r="J16" s="10"/>
      <c r="M16" s="75"/>
      <c r="N16" s="74"/>
      <c r="S16" s="75"/>
      <c r="T16" s="74"/>
      <c r="Y16" s="75"/>
      <c r="Z16" s="74"/>
      <c r="AE16" s="75"/>
    </row>
    <row r="17" spans="1:31" s="3" customFormat="1" x14ac:dyDescent="0.2">
      <c r="A17" s="2" t="s">
        <v>14</v>
      </c>
      <c r="B17" s="62"/>
      <c r="C17" s="22"/>
      <c r="D17" s="22"/>
      <c r="E17" s="22"/>
      <c r="F17" s="22"/>
      <c r="G17" s="58"/>
      <c r="H17" s="62"/>
      <c r="M17" s="63"/>
      <c r="N17" s="76"/>
      <c r="S17" s="63"/>
      <c r="T17" s="76"/>
      <c r="Y17" s="63"/>
      <c r="Z17" s="76"/>
      <c r="AE17" s="63"/>
    </row>
    <row r="18" spans="1:31" x14ac:dyDescent="0.2">
      <c r="A18" s="1" t="s">
        <v>20</v>
      </c>
      <c r="C18">
        <v>3</v>
      </c>
      <c r="F18" s="27"/>
      <c r="G18" s="29"/>
      <c r="H18" s="28"/>
      <c r="I18" s="27"/>
      <c r="K18" s="31"/>
      <c r="L18" s="31"/>
      <c r="M18" s="30"/>
      <c r="N18" s="31"/>
      <c r="O18" s="30"/>
      <c r="P18" s="30"/>
      <c r="Q18" s="30"/>
    </row>
    <row r="19" spans="1:31" x14ac:dyDescent="0.2">
      <c r="B19" s="27"/>
      <c r="C19" s="28"/>
      <c r="D19" s="27"/>
      <c r="E19" s="28"/>
      <c r="F19" s="30"/>
      <c r="G19" s="27"/>
      <c r="H19" s="33"/>
      <c r="I19" s="32"/>
      <c r="J19" s="31"/>
      <c r="K19" s="31"/>
      <c r="L19" s="30"/>
      <c r="M19" s="31"/>
      <c r="N19" s="30"/>
      <c r="O19" s="30"/>
      <c r="P19" s="30"/>
      <c r="Q19" s="30"/>
    </row>
    <row r="20" spans="1:31" x14ac:dyDescent="0.2">
      <c r="B20" s="30"/>
      <c r="C20" s="30"/>
      <c r="D20" s="30"/>
      <c r="E20" s="30"/>
      <c r="F20" s="30"/>
      <c r="G20" s="27"/>
      <c r="H20" s="33"/>
      <c r="I20" s="32"/>
      <c r="J20" s="31"/>
      <c r="K20" s="30"/>
      <c r="L20" s="31"/>
      <c r="M20" s="30"/>
      <c r="N20" s="31"/>
      <c r="O20" s="30"/>
      <c r="P20" s="30"/>
      <c r="Q20" s="30"/>
      <c r="R20" s="30"/>
      <c r="S20" s="30"/>
      <c r="T20" s="30"/>
    </row>
    <row r="21" spans="1:31" x14ac:dyDescent="0.2">
      <c r="B21" s="30"/>
      <c r="C21" s="30"/>
      <c r="D21" s="30"/>
      <c r="E21" s="30"/>
      <c r="F21" s="30"/>
      <c r="G21" s="32"/>
      <c r="H21" s="33"/>
      <c r="I21" s="27"/>
      <c r="J21" s="31"/>
      <c r="K21" s="30"/>
      <c r="L21" s="31"/>
      <c r="M21" s="30"/>
      <c r="N21" s="31"/>
      <c r="O21" s="30"/>
      <c r="P21" s="30"/>
      <c r="Q21" s="30"/>
      <c r="S21" s="30"/>
      <c r="T21" s="30"/>
    </row>
    <row r="22" spans="1:31" x14ac:dyDescent="0.2">
      <c r="B22" s="30"/>
      <c r="C22" s="30"/>
      <c r="D22" s="30"/>
      <c r="E22" s="30"/>
      <c r="F22" s="30"/>
      <c r="G22" s="27"/>
      <c r="H22" s="33"/>
      <c r="I22" s="32"/>
      <c r="J22" s="31"/>
      <c r="K22" s="30"/>
      <c r="L22" s="31"/>
      <c r="M22" s="30"/>
      <c r="N22" s="31"/>
      <c r="O22" s="30"/>
      <c r="P22" s="30"/>
      <c r="Q22" s="30"/>
      <c r="R22" s="30"/>
      <c r="S22" s="30"/>
      <c r="T22" s="30"/>
    </row>
    <row r="23" spans="1:31" x14ac:dyDescent="0.2">
      <c r="B23" s="30"/>
      <c r="C23" s="30"/>
      <c r="D23" s="30"/>
      <c r="E23" s="30"/>
      <c r="F23" s="30"/>
      <c r="G23" s="32"/>
      <c r="H23" s="33"/>
      <c r="I23" s="27"/>
      <c r="J23" s="31"/>
      <c r="K23" s="30"/>
      <c r="L23" s="31"/>
      <c r="M23" s="30"/>
      <c r="N23" s="31"/>
      <c r="O23" s="30"/>
      <c r="P23" s="30"/>
      <c r="Q23" s="30"/>
      <c r="R23" s="30"/>
      <c r="S23" s="30"/>
      <c r="T23" s="30"/>
    </row>
    <row r="24" spans="1:31" x14ac:dyDescent="0.2">
      <c r="B24" s="30"/>
      <c r="C24" s="30"/>
      <c r="D24" s="30"/>
      <c r="E24" s="30"/>
      <c r="F24" s="30"/>
      <c r="G24" s="32"/>
      <c r="H24" s="33"/>
      <c r="I24" s="27"/>
      <c r="J24" s="31"/>
      <c r="K24" s="30"/>
      <c r="L24" s="31"/>
      <c r="M24" s="30"/>
      <c r="N24" s="31"/>
      <c r="O24" s="30"/>
      <c r="P24" s="30"/>
      <c r="Q24" s="30"/>
      <c r="R24" s="30"/>
      <c r="S24" s="30"/>
      <c r="T24" s="30"/>
    </row>
    <row r="25" spans="1:31" x14ac:dyDescent="0.2">
      <c r="B25" s="30"/>
      <c r="C25" s="30"/>
      <c r="D25" s="30"/>
      <c r="E25" s="30"/>
      <c r="F25" s="30"/>
      <c r="G25" s="30"/>
      <c r="H25" s="33"/>
      <c r="I25" s="31"/>
      <c r="J25" s="31"/>
      <c r="K25" s="30"/>
      <c r="L25" s="31"/>
      <c r="M25" s="30"/>
      <c r="N25" s="31"/>
      <c r="O25" s="30"/>
      <c r="P25" s="30"/>
      <c r="Q25" s="30"/>
      <c r="R25" s="30"/>
      <c r="S25" s="30"/>
      <c r="T25" s="30"/>
    </row>
    <row r="26" spans="1:31" x14ac:dyDescent="0.2">
      <c r="B26" s="30"/>
      <c r="C26" s="30"/>
      <c r="D26" s="30"/>
      <c r="E26" s="30"/>
      <c r="F26" s="30"/>
      <c r="G26" s="27"/>
      <c r="H26" s="33"/>
      <c r="I26" s="27"/>
      <c r="J26" s="31"/>
      <c r="K26" s="30"/>
      <c r="L26" s="31"/>
      <c r="M26" s="30"/>
      <c r="N26" s="31"/>
      <c r="O26" s="30"/>
      <c r="P26" s="30"/>
      <c r="Q26" s="30"/>
      <c r="R26" s="30"/>
      <c r="S26" s="30"/>
      <c r="T26" s="30"/>
    </row>
    <row r="27" spans="1:31" x14ac:dyDescent="0.2">
      <c r="B27" s="30"/>
      <c r="C27" s="30"/>
      <c r="D27" s="30"/>
      <c r="E27" s="30"/>
      <c r="F27" s="30"/>
      <c r="G27" s="27"/>
      <c r="H27" s="33"/>
      <c r="I27" s="27"/>
      <c r="J27" s="31"/>
      <c r="K27" s="30"/>
      <c r="L27" s="31"/>
      <c r="M27" s="30"/>
      <c r="N27" s="31"/>
      <c r="O27" s="30"/>
      <c r="P27" s="30"/>
      <c r="Q27" s="30"/>
      <c r="R27" s="30"/>
      <c r="S27" s="30"/>
      <c r="T27" s="30"/>
    </row>
    <row r="28" spans="1:31" x14ac:dyDescent="0.2">
      <c r="B28" s="30"/>
      <c r="C28" s="30"/>
      <c r="D28" s="30"/>
      <c r="E28" s="30"/>
      <c r="F28" s="30"/>
      <c r="G28" s="27"/>
      <c r="H28" s="33"/>
      <c r="I28" s="32"/>
      <c r="J28" s="31"/>
      <c r="K28" s="30"/>
      <c r="L28" s="31"/>
      <c r="M28" s="30"/>
      <c r="N28" s="31"/>
      <c r="O28" s="30"/>
      <c r="P28" s="30"/>
      <c r="Q28" s="30"/>
      <c r="R28" s="30"/>
      <c r="S28" s="30"/>
      <c r="T28" s="30"/>
    </row>
    <row r="29" spans="1:31" x14ac:dyDescent="0.2">
      <c r="B29" s="30"/>
      <c r="C29" s="30"/>
      <c r="D29" s="30"/>
      <c r="E29" s="30"/>
      <c r="F29" s="30"/>
      <c r="G29" s="27"/>
      <c r="H29" s="33"/>
      <c r="I29" s="32"/>
      <c r="J29" s="31"/>
      <c r="K29" s="30"/>
      <c r="L29" s="31"/>
      <c r="M29" s="30"/>
      <c r="N29" s="31"/>
      <c r="O29" s="30"/>
      <c r="P29" s="30"/>
      <c r="Q29" s="30"/>
      <c r="R29" s="30"/>
      <c r="S29" s="30"/>
      <c r="T29" s="30"/>
    </row>
    <row r="30" spans="1:31" x14ac:dyDescent="0.2">
      <c r="B30" s="30"/>
      <c r="C30" s="30"/>
      <c r="D30" s="30"/>
      <c r="E30" s="30"/>
      <c r="F30" s="30"/>
      <c r="G30" s="27"/>
      <c r="H30" s="33"/>
      <c r="I30" s="27"/>
      <c r="J30" s="31"/>
      <c r="K30" s="30"/>
      <c r="L30" s="31"/>
      <c r="M30" s="30"/>
      <c r="N30" s="31"/>
      <c r="O30" s="30"/>
      <c r="P30" s="30"/>
      <c r="Q30" s="30"/>
      <c r="R30" s="30"/>
      <c r="S30" s="30"/>
      <c r="T30" s="30"/>
    </row>
    <row r="31" spans="1:31" x14ac:dyDescent="0.2">
      <c r="B31" s="30"/>
      <c r="C31" s="30"/>
      <c r="D31" s="30"/>
      <c r="E31" s="30"/>
      <c r="F31" s="30"/>
      <c r="G31" s="27"/>
      <c r="H31" s="33"/>
      <c r="I31" s="27"/>
      <c r="J31" s="31"/>
      <c r="K31" s="30"/>
      <c r="L31" s="31"/>
      <c r="M31" s="30"/>
      <c r="N31" s="30"/>
      <c r="O31" s="30"/>
      <c r="P31" s="30"/>
      <c r="Q31" s="30"/>
      <c r="R31" s="30"/>
      <c r="S31" s="30"/>
      <c r="T31" s="30"/>
    </row>
    <row r="32" spans="1:31" x14ac:dyDescent="0.2">
      <c r="B32" s="30"/>
      <c r="C32" s="30"/>
      <c r="D32" s="30"/>
      <c r="E32" s="30"/>
      <c r="F32" s="30"/>
      <c r="G32" s="27"/>
      <c r="H32" s="33"/>
      <c r="I32" s="27"/>
      <c r="J32" s="31"/>
      <c r="K32" s="30"/>
      <c r="L32" s="31"/>
      <c r="M32" s="30"/>
      <c r="N32" s="30"/>
      <c r="O32" s="30"/>
      <c r="P32" s="30"/>
      <c r="Q32" s="30"/>
      <c r="R32" s="30"/>
      <c r="S32" s="30"/>
      <c r="T32" s="30"/>
    </row>
    <row r="33" spans="2:20" x14ac:dyDescent="0.2">
      <c r="B33" s="30"/>
      <c r="C33" s="30"/>
      <c r="D33" s="30"/>
      <c r="E33" s="30"/>
      <c r="F33" s="30"/>
      <c r="G33" s="27"/>
      <c r="H33" s="33"/>
      <c r="I33" s="27"/>
      <c r="J33" s="30"/>
      <c r="K33" s="30"/>
      <c r="L33" s="30"/>
      <c r="M33" s="30"/>
      <c r="N33" s="30"/>
      <c r="O33" s="30"/>
      <c r="P33" s="30"/>
      <c r="Q33" s="30"/>
      <c r="T33" s="30"/>
    </row>
    <row r="34" spans="2:20" x14ac:dyDescent="0.2">
      <c r="B34" s="30"/>
      <c r="C34" s="30"/>
      <c r="D34" s="30"/>
      <c r="E34" s="30"/>
      <c r="R34" s="30"/>
      <c r="S34" s="30"/>
      <c r="T34" s="30"/>
    </row>
    <row r="35" spans="2:20" x14ac:dyDescent="0.2">
      <c r="B35" s="30"/>
      <c r="C35" s="30"/>
      <c r="D35" s="30"/>
      <c r="E35" s="30"/>
      <c r="R35" s="30"/>
      <c r="S35" s="30"/>
      <c r="T35" s="30"/>
    </row>
    <row r="36" spans="2:20" x14ac:dyDescent="0.2">
      <c r="B36" s="30"/>
      <c r="C36" s="30"/>
      <c r="D36" s="30"/>
      <c r="E36" s="30"/>
      <c r="F36" s="30"/>
      <c r="G36" s="30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2:20" x14ac:dyDescent="0.2">
      <c r="B37" s="30"/>
      <c r="C37" s="30"/>
      <c r="D37" s="30"/>
      <c r="E37" s="30"/>
      <c r="J37" s="31"/>
      <c r="K37" s="30"/>
      <c r="L37" s="31"/>
      <c r="M37" s="30"/>
      <c r="N37" s="31"/>
      <c r="O37" s="30"/>
      <c r="P37" s="30"/>
      <c r="Q37" s="30"/>
      <c r="R37" s="30"/>
      <c r="S37" s="30"/>
      <c r="T37" s="30"/>
    </row>
    <row r="38" spans="2:20" x14ac:dyDescent="0.2">
      <c r="B38" s="30"/>
      <c r="C38" s="30"/>
      <c r="D38" s="30"/>
      <c r="E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2:20" x14ac:dyDescent="0.2">
      <c r="B39" s="30"/>
      <c r="C39" s="30"/>
      <c r="D39" s="30"/>
      <c r="E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2:20" x14ac:dyDescent="0.2">
      <c r="B40" s="30"/>
      <c r="C40" s="30"/>
      <c r="D40" s="30"/>
      <c r="E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20" x14ac:dyDescent="0.2">
      <c r="B41" s="30"/>
      <c r="C41" s="30"/>
      <c r="D41" s="30"/>
      <c r="E41" s="30"/>
      <c r="F41" s="30"/>
      <c r="G41" s="30"/>
      <c r="H41" s="30"/>
      <c r="I41" s="30"/>
      <c r="R41" s="30"/>
    </row>
    <row r="42" spans="2:20" x14ac:dyDescent="0.2">
      <c r="B42" s="30"/>
      <c r="C42" s="30"/>
      <c r="D42" s="30"/>
      <c r="E42" s="30"/>
      <c r="J42" s="30"/>
      <c r="K42" s="30"/>
      <c r="L42" s="30"/>
      <c r="M42" s="30"/>
      <c r="N42" s="30"/>
      <c r="R42" s="30"/>
    </row>
    <row r="43" spans="2:20" x14ac:dyDescent="0.2">
      <c r="B43" s="30"/>
      <c r="C43" s="30"/>
      <c r="D43" s="30"/>
      <c r="E43" s="30"/>
      <c r="R43" s="30"/>
    </row>
    <row r="44" spans="2:20" x14ac:dyDescent="0.2">
      <c r="B44" s="30"/>
      <c r="C44" s="30"/>
      <c r="D44" s="30"/>
      <c r="E44" s="30"/>
      <c r="R44" s="30"/>
    </row>
    <row r="45" spans="2:20" x14ac:dyDescent="0.2">
      <c r="B45" s="30"/>
      <c r="C45" s="30"/>
      <c r="D45" s="30"/>
      <c r="E45" s="30"/>
      <c r="O45" s="30"/>
      <c r="P45" s="30"/>
      <c r="Q45" s="30"/>
      <c r="R45" s="30"/>
    </row>
    <row r="46" spans="2:20" x14ac:dyDescent="0.2">
      <c r="B46" s="30"/>
      <c r="C46" s="30"/>
      <c r="D46" s="30"/>
      <c r="E46" s="30"/>
      <c r="O46" s="30"/>
      <c r="P46" s="30"/>
      <c r="Q46" s="30"/>
      <c r="R46" s="30"/>
    </row>
    <row r="47" spans="2:20" x14ac:dyDescent="0.2">
      <c r="B47" s="30"/>
      <c r="C47" s="30"/>
      <c r="D47" s="30"/>
      <c r="E47" s="30"/>
      <c r="F47" s="30"/>
      <c r="G47" s="30"/>
      <c r="H47" s="30"/>
      <c r="I47" s="30"/>
      <c r="O47" s="30"/>
      <c r="P47" s="30"/>
      <c r="Q47" s="30"/>
      <c r="R47" s="30"/>
    </row>
    <row r="48" spans="2:20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2:18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18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 x14ac:dyDescent="0.2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 x14ac:dyDescent="0.2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2:18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2:18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2:18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 x14ac:dyDescent="0.2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2:18" x14ac:dyDescent="0.2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2:18" x14ac:dyDescent="0.2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2:18" x14ac:dyDescent="0.2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2:18" x14ac:dyDescent="0.2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2:18" x14ac:dyDescent="0.2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2:18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 x14ac:dyDescent="0.2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 x14ac:dyDescent="0.2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2:18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 x14ac:dyDescent="0.2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2:18" x14ac:dyDescent="0.2">
      <c r="F72" s="30"/>
      <c r="G72" s="30"/>
      <c r="H72" s="30"/>
      <c r="I72" s="30"/>
      <c r="J72" s="30"/>
      <c r="K72" s="30"/>
      <c r="L72" s="30"/>
      <c r="M72" s="30"/>
      <c r="N72" s="30"/>
    </row>
    <row r="73" spans="2:18" x14ac:dyDescent="0.2">
      <c r="F73" s="30"/>
      <c r="G73" s="30"/>
      <c r="H73" s="30"/>
      <c r="I73" s="30"/>
      <c r="J73" s="30"/>
      <c r="K73" s="30"/>
      <c r="L73" s="30"/>
      <c r="M73" s="30"/>
      <c r="N73" s="30"/>
    </row>
    <row r="74" spans="2:18" x14ac:dyDescent="0.2">
      <c r="J74" s="30"/>
      <c r="K74" s="30"/>
      <c r="L74" s="30"/>
      <c r="M74" s="30"/>
      <c r="N74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7FEC-5044-544E-8CC1-E0644482CD81}">
  <sheetPr>
    <tabColor theme="9" tint="0.79998168889431442"/>
  </sheetPr>
  <dimension ref="A1:G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</row>
    <row r="2" spans="1:7" x14ac:dyDescent="0.2">
      <c r="A2" s="1">
        <v>2013</v>
      </c>
      <c r="B2" s="9">
        <f>645/3</f>
        <v>215</v>
      </c>
      <c r="C2" s="9">
        <v>0.73199999999999998</v>
      </c>
      <c r="D2" s="9">
        <v>5192</v>
      </c>
      <c r="E2" s="10">
        <v>0.745</v>
      </c>
      <c r="F2" s="83">
        <v>0.57699999999999996</v>
      </c>
      <c r="G2" s="10">
        <v>0.61099999999999999</v>
      </c>
    </row>
    <row r="3" spans="1:7" x14ac:dyDescent="0.2">
      <c r="A3" s="1">
        <v>2014</v>
      </c>
      <c r="B3" s="9">
        <v>211</v>
      </c>
      <c r="C3" s="9">
        <v>0.751</v>
      </c>
      <c r="D3" s="9">
        <v>5373</v>
      </c>
      <c r="E3" s="9">
        <v>0.75900000000000001</v>
      </c>
      <c r="F3" s="83">
        <v>0.59599999999999997</v>
      </c>
      <c r="G3" s="10">
        <v>0.64200000000000002</v>
      </c>
    </row>
    <row r="4" spans="1:7" x14ac:dyDescent="0.2">
      <c r="A4" s="1">
        <v>2015</v>
      </c>
      <c r="B4" s="9">
        <v>225</v>
      </c>
      <c r="C4" s="9">
        <v>0.73899999999999999</v>
      </c>
      <c r="D4" s="9">
        <v>5178</v>
      </c>
      <c r="E4" s="9">
        <v>0.76100000000000001</v>
      </c>
      <c r="F4" s="83">
        <v>0.56000000000000005</v>
      </c>
      <c r="G4" s="10">
        <v>0.67100000000000004</v>
      </c>
    </row>
    <row r="5" spans="1:7" x14ac:dyDescent="0.2">
      <c r="A5" s="1">
        <v>2016</v>
      </c>
      <c r="B5" s="10">
        <v>242</v>
      </c>
      <c r="C5" s="9">
        <v>0.77600000000000002</v>
      </c>
      <c r="D5" s="9">
        <v>5441</v>
      </c>
      <c r="E5" s="10">
        <v>0.76200000000000001</v>
      </c>
      <c r="F5" s="83">
        <v>0.57499999999999996</v>
      </c>
      <c r="G5" s="10">
        <v>0.68</v>
      </c>
    </row>
    <row r="6" spans="1:7" x14ac:dyDescent="0.2">
      <c r="A6" s="1">
        <v>2017</v>
      </c>
      <c r="B6" s="10">
        <v>243</v>
      </c>
      <c r="C6" s="10">
        <v>0.79</v>
      </c>
      <c r="D6" s="10">
        <v>5741</v>
      </c>
      <c r="E6" s="10">
        <v>0.78600000000000003</v>
      </c>
      <c r="F6" s="10">
        <v>0.58399999999999996</v>
      </c>
      <c r="G6" s="10">
        <v>0.70499999999999996</v>
      </c>
    </row>
    <row r="7" spans="1:7" x14ac:dyDescent="0.2">
      <c r="B7" s="9"/>
      <c r="C7" s="9"/>
      <c r="D7" s="9"/>
      <c r="E7" s="9"/>
      <c r="F7" s="9"/>
      <c r="G7" s="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E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3.33203125" style="1" customWidth="1"/>
  </cols>
  <sheetData>
    <row r="1" spans="1:31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  <c r="H1" s="50" t="s">
        <v>19</v>
      </c>
      <c r="I1" s="6" t="s">
        <v>18</v>
      </c>
      <c r="J1" s="6" t="s">
        <v>17</v>
      </c>
      <c r="K1" s="6" t="s">
        <v>21</v>
      </c>
      <c r="L1" s="6" t="s">
        <v>25</v>
      </c>
      <c r="M1" s="51" t="s">
        <v>16</v>
      </c>
      <c r="N1" s="64" t="s">
        <v>19</v>
      </c>
      <c r="O1" s="65" t="s">
        <v>18</v>
      </c>
      <c r="P1" s="65" t="s">
        <v>17</v>
      </c>
      <c r="Q1" s="65" t="s">
        <v>21</v>
      </c>
      <c r="R1" s="65" t="s">
        <v>25</v>
      </c>
      <c r="S1" s="66" t="s">
        <v>16</v>
      </c>
      <c r="T1" s="64" t="s">
        <v>19</v>
      </c>
      <c r="U1" s="65" t="s">
        <v>18</v>
      </c>
      <c r="V1" s="65" t="s">
        <v>17</v>
      </c>
      <c r="W1" s="65" t="s">
        <v>21</v>
      </c>
      <c r="X1" s="65" t="s">
        <v>25</v>
      </c>
      <c r="Y1" s="66" t="s">
        <v>16</v>
      </c>
      <c r="Z1" s="64" t="s">
        <v>19</v>
      </c>
      <c r="AA1" s="65" t="s">
        <v>18</v>
      </c>
      <c r="AB1" s="65" t="s">
        <v>17</v>
      </c>
      <c r="AC1" s="65" t="s">
        <v>21</v>
      </c>
      <c r="AD1" s="65" t="s">
        <v>25</v>
      </c>
      <c r="AE1" s="66" t="s">
        <v>16</v>
      </c>
    </row>
    <row r="2" spans="1:31" s="1" customFormat="1" x14ac:dyDescent="0.2">
      <c r="A2" s="1" t="s">
        <v>15</v>
      </c>
      <c r="B2" s="52">
        <v>2017</v>
      </c>
      <c r="C2" s="8">
        <v>2017</v>
      </c>
      <c r="D2" s="8">
        <v>2017</v>
      </c>
      <c r="E2" s="8">
        <v>2017</v>
      </c>
      <c r="F2" s="8">
        <v>2017</v>
      </c>
      <c r="G2" s="53">
        <v>2017</v>
      </c>
      <c r="H2" s="52">
        <v>2016</v>
      </c>
      <c r="I2" s="8">
        <v>2016</v>
      </c>
      <c r="J2" s="8">
        <v>2016</v>
      </c>
      <c r="K2" s="8">
        <v>2016</v>
      </c>
      <c r="L2" s="8">
        <v>2016</v>
      </c>
      <c r="M2" s="53">
        <v>2016</v>
      </c>
      <c r="N2" s="67">
        <v>2015</v>
      </c>
      <c r="O2" s="68">
        <v>2015</v>
      </c>
      <c r="P2" s="68">
        <v>2015</v>
      </c>
      <c r="Q2" s="68">
        <v>2015</v>
      </c>
      <c r="R2" s="68">
        <v>2015</v>
      </c>
      <c r="S2" s="69">
        <v>2015</v>
      </c>
      <c r="T2" s="67">
        <v>2014</v>
      </c>
      <c r="U2" s="68">
        <v>2014</v>
      </c>
      <c r="V2" s="68">
        <v>2014</v>
      </c>
      <c r="W2" s="68">
        <v>2014</v>
      </c>
      <c r="X2" s="68">
        <v>2014</v>
      </c>
      <c r="Y2" s="69">
        <v>2014</v>
      </c>
      <c r="Z2" s="67">
        <v>2013</v>
      </c>
      <c r="AA2" s="68">
        <v>2013</v>
      </c>
      <c r="AB2" s="68">
        <v>2013</v>
      </c>
      <c r="AC2" s="68">
        <v>2013</v>
      </c>
      <c r="AD2" s="68">
        <v>2013</v>
      </c>
      <c r="AE2" s="69">
        <v>2013</v>
      </c>
    </row>
    <row r="3" spans="1:31" s="5" customFormat="1" x14ac:dyDescent="0.2">
      <c r="A3" s="4" t="s">
        <v>0</v>
      </c>
      <c r="B3" s="54">
        <v>244</v>
      </c>
      <c r="C3" s="16">
        <v>0.81</v>
      </c>
      <c r="D3" s="16">
        <v>12778</v>
      </c>
      <c r="E3" s="16">
        <v>0.81</v>
      </c>
      <c r="F3" s="16">
        <v>0.6</v>
      </c>
      <c r="G3" s="55">
        <v>0.74</v>
      </c>
      <c r="H3" s="54">
        <v>265</v>
      </c>
      <c r="I3" s="5">
        <v>0.83</v>
      </c>
      <c r="J3" s="5">
        <v>13054</v>
      </c>
      <c r="K3" s="5">
        <v>0.82</v>
      </c>
      <c r="L3" s="82">
        <f>0.82*0.76</f>
        <v>0.62319999999999998</v>
      </c>
      <c r="M3" s="71">
        <v>0.74</v>
      </c>
      <c r="N3" s="70">
        <v>299</v>
      </c>
      <c r="O3" s="5">
        <v>0.81</v>
      </c>
      <c r="P3" s="5">
        <v>13717</v>
      </c>
      <c r="Q3" s="5">
        <v>0.82</v>
      </c>
      <c r="R3" s="82">
        <f>0.82*0.76</f>
        <v>0.62319999999999998</v>
      </c>
      <c r="S3" s="71">
        <v>0.74</v>
      </c>
      <c r="T3" s="70">
        <v>327</v>
      </c>
      <c r="U3" s="5">
        <v>0.85</v>
      </c>
      <c r="V3" s="5">
        <v>13242</v>
      </c>
      <c r="W3" s="5">
        <v>0.82</v>
      </c>
      <c r="X3" s="82">
        <f>0.82*0.76</f>
        <v>0.62319999999999998</v>
      </c>
      <c r="Y3" s="71">
        <v>0.72</v>
      </c>
      <c r="Z3" s="70">
        <v>398</v>
      </c>
      <c r="AA3" s="5">
        <v>0.73</v>
      </c>
      <c r="AB3" s="5">
        <v>14227</v>
      </c>
      <c r="AC3" s="5">
        <v>0.76</v>
      </c>
      <c r="AD3" s="82">
        <f>0.76*0.79</f>
        <v>0.60040000000000004</v>
      </c>
      <c r="AE3" s="71">
        <v>0.66</v>
      </c>
    </row>
    <row r="4" spans="1:31" s="7" customFormat="1" x14ac:dyDescent="0.2">
      <c r="A4" s="6" t="s">
        <v>1</v>
      </c>
      <c r="B4" s="77">
        <v>36</v>
      </c>
      <c r="C4" s="17">
        <v>0.75</v>
      </c>
      <c r="D4" s="17">
        <v>1606</v>
      </c>
      <c r="E4" s="17">
        <v>0.81</v>
      </c>
      <c r="F4" s="17">
        <v>0.62</v>
      </c>
      <c r="G4" s="56">
        <v>0.68</v>
      </c>
      <c r="H4" s="77"/>
      <c r="M4" s="73"/>
      <c r="N4" s="72"/>
      <c r="S4" s="73"/>
      <c r="T4" s="72"/>
      <c r="Y4" s="73"/>
      <c r="Z4" s="72"/>
      <c r="AE4" s="73"/>
    </row>
    <row r="5" spans="1:31" s="9" customFormat="1" x14ac:dyDescent="0.2">
      <c r="A5" s="8" t="s">
        <v>2</v>
      </c>
      <c r="B5" s="78">
        <v>72</v>
      </c>
      <c r="C5" s="10">
        <v>0.81</v>
      </c>
      <c r="D5" s="10">
        <v>2742</v>
      </c>
      <c r="E5" s="10">
        <v>0.78</v>
      </c>
      <c r="F5" s="10">
        <v>0.57999999999999996</v>
      </c>
      <c r="G5" s="57">
        <v>0.7</v>
      </c>
      <c r="H5" s="78"/>
      <c r="J5" s="10"/>
      <c r="M5" s="75"/>
      <c r="N5" s="74"/>
      <c r="O5" s="10"/>
      <c r="S5" s="75"/>
      <c r="T5" s="74"/>
      <c r="Y5" s="75"/>
      <c r="Z5" s="74"/>
      <c r="AE5" s="75"/>
    </row>
    <row r="6" spans="1:31" s="3" customFormat="1" x14ac:dyDescent="0.2">
      <c r="A6" s="2" t="s">
        <v>3</v>
      </c>
      <c r="B6" s="62">
        <v>90</v>
      </c>
      <c r="C6" s="22">
        <v>0.8</v>
      </c>
      <c r="D6" s="22">
        <v>7095</v>
      </c>
      <c r="E6" s="22">
        <v>0.81</v>
      </c>
      <c r="F6" s="22">
        <v>0.6</v>
      </c>
      <c r="G6" s="58">
        <v>0.76</v>
      </c>
      <c r="H6" s="62"/>
      <c r="M6" s="63"/>
      <c r="N6" s="76"/>
      <c r="S6" s="63"/>
      <c r="T6" s="76"/>
      <c r="Y6" s="63"/>
      <c r="Z6" s="76"/>
      <c r="AE6" s="63"/>
    </row>
    <row r="7" spans="1:31" s="7" customFormat="1" x14ac:dyDescent="0.2">
      <c r="A7" s="6" t="s">
        <v>4</v>
      </c>
      <c r="B7" s="77">
        <v>212</v>
      </c>
      <c r="C7" s="17">
        <v>0.81</v>
      </c>
      <c r="D7" s="17">
        <v>11688</v>
      </c>
      <c r="E7" s="17">
        <v>0.81</v>
      </c>
      <c r="F7" s="17">
        <v>0.6</v>
      </c>
      <c r="G7" s="56">
        <v>0.74</v>
      </c>
      <c r="H7" s="77"/>
      <c r="M7" s="73"/>
      <c r="N7" s="72"/>
      <c r="S7" s="73"/>
      <c r="T7" s="72"/>
      <c r="Y7" s="73"/>
      <c r="Z7" s="72"/>
      <c r="AE7" s="73"/>
    </row>
    <row r="8" spans="1:31" s="3" customFormat="1" x14ac:dyDescent="0.2">
      <c r="A8" s="2" t="s">
        <v>5</v>
      </c>
      <c r="B8" s="62">
        <v>27</v>
      </c>
      <c r="C8" s="22">
        <v>0.81</v>
      </c>
      <c r="D8" s="10">
        <v>725</v>
      </c>
      <c r="E8" s="22">
        <v>0.81</v>
      </c>
      <c r="F8" s="22">
        <v>0.6</v>
      </c>
      <c r="G8" s="58">
        <v>0.66</v>
      </c>
      <c r="H8" s="62"/>
      <c r="I8" s="9"/>
      <c r="M8" s="63"/>
      <c r="N8" s="76"/>
      <c r="S8" s="63"/>
      <c r="T8" s="76"/>
      <c r="Y8" s="63"/>
      <c r="Z8" s="76"/>
      <c r="AE8" s="63"/>
    </row>
    <row r="9" spans="1:31" s="7" customFormat="1" x14ac:dyDescent="0.2">
      <c r="A9" s="6" t="s">
        <v>6</v>
      </c>
      <c r="B9" s="80">
        <v>29</v>
      </c>
      <c r="C9" s="17">
        <v>0.76</v>
      </c>
      <c r="D9" s="19">
        <v>83</v>
      </c>
      <c r="E9" s="18">
        <v>0.87</v>
      </c>
      <c r="F9" s="18">
        <v>0.66</v>
      </c>
      <c r="G9" s="59">
        <v>0.8</v>
      </c>
      <c r="H9" s="77"/>
      <c r="I9" s="14"/>
      <c r="J9" s="12"/>
      <c r="M9" s="73"/>
      <c r="N9" s="72"/>
      <c r="S9" s="73"/>
      <c r="T9" s="72"/>
      <c r="Y9" s="73"/>
      <c r="Z9" s="72"/>
      <c r="AE9" s="73"/>
    </row>
    <row r="10" spans="1:31" s="9" customFormat="1" x14ac:dyDescent="0.2">
      <c r="A10" s="8" t="s">
        <v>7</v>
      </c>
      <c r="B10" s="79">
        <f>44+(80/2)</f>
        <v>84</v>
      </c>
      <c r="C10" s="10">
        <f>AVERAGE(0.91,0.79)</f>
        <v>0.85000000000000009</v>
      </c>
      <c r="D10" s="21">
        <f>382+(1715/2)</f>
        <v>1239.5</v>
      </c>
      <c r="E10" s="20">
        <f>AVERAGE(0.8,0.77)</f>
        <v>0.78500000000000003</v>
      </c>
      <c r="F10" s="20">
        <f>AVERAGE(0.51,0.53)</f>
        <v>0.52</v>
      </c>
      <c r="G10" s="57">
        <f>AVERAGE(0.69,0.67)</f>
        <v>0.67999999999999994</v>
      </c>
      <c r="H10" s="79"/>
      <c r="I10" s="10"/>
      <c r="M10" s="75"/>
      <c r="N10" s="74"/>
      <c r="S10" s="75"/>
      <c r="T10" s="74"/>
      <c r="Y10" s="75"/>
      <c r="Z10" s="74"/>
      <c r="AE10" s="75"/>
    </row>
    <row r="11" spans="1:31" s="9" customFormat="1" x14ac:dyDescent="0.2">
      <c r="A11" s="8" t="s">
        <v>8</v>
      </c>
      <c r="B11" s="79">
        <f>(80/2)+(53/2)</f>
        <v>66.5</v>
      </c>
      <c r="C11" s="10">
        <f>AVERAGE(0.79,0.77)</f>
        <v>0.78</v>
      </c>
      <c r="D11" s="21">
        <f>(1715/2)+(2804/2)</f>
        <v>2259.5</v>
      </c>
      <c r="E11" s="20">
        <f>AVERAGE(0.77,0.77)</f>
        <v>0.77</v>
      </c>
      <c r="F11" s="20">
        <f>AVERAGE(0.53,0.53)</f>
        <v>0.53</v>
      </c>
      <c r="G11" s="60">
        <f>AVERAGE(0.67,0.67)</f>
        <v>0.67</v>
      </c>
      <c r="H11" s="79"/>
      <c r="M11" s="75"/>
      <c r="N11" s="74"/>
      <c r="S11" s="75"/>
      <c r="T11" s="74"/>
      <c r="Y11" s="75"/>
      <c r="Z11" s="74"/>
      <c r="AE11" s="75"/>
    </row>
    <row r="12" spans="1:31" s="9" customFormat="1" x14ac:dyDescent="0.2">
      <c r="A12" s="8" t="s">
        <v>9</v>
      </c>
      <c r="B12" s="79">
        <f>(53/2)+(38/3)</f>
        <v>39.166666666666664</v>
      </c>
      <c r="C12" s="20">
        <f>AVERAGE(0.77,0.84)</f>
        <v>0.80499999999999994</v>
      </c>
      <c r="D12" s="21">
        <f>(2804/2)+(4542/2)</f>
        <v>3673</v>
      </c>
      <c r="E12" s="20">
        <f>AVERAGE(0.77,0.81)</f>
        <v>0.79</v>
      </c>
      <c r="F12" s="20">
        <f>AVERAGE(0.53,0.6)</f>
        <v>0.56499999999999995</v>
      </c>
      <c r="G12" s="57">
        <f>AVERAGE(0.67,0.75)</f>
        <v>0.71</v>
      </c>
      <c r="H12" s="79"/>
      <c r="J12" s="13"/>
      <c r="M12" s="75"/>
      <c r="N12" s="74"/>
      <c r="S12" s="75"/>
      <c r="T12" s="74"/>
      <c r="Y12" s="75"/>
      <c r="Z12" s="74"/>
      <c r="AE12" s="75"/>
    </row>
    <row r="13" spans="1:31" s="3" customFormat="1" x14ac:dyDescent="0.2">
      <c r="A13" s="2" t="s">
        <v>10</v>
      </c>
      <c r="B13" s="81">
        <f>(2/3)*38</f>
        <v>25.333333333333332</v>
      </c>
      <c r="C13" s="20">
        <v>0.84</v>
      </c>
      <c r="D13" s="24">
        <f>(4542/2)+2548+704</f>
        <v>5523</v>
      </c>
      <c r="E13" s="20">
        <f>AVERAGE(0.81,0.86,0.85)</f>
        <v>0.84</v>
      </c>
      <c r="F13" s="23">
        <f>AVERAGE(0.6,0.7,0.73)</f>
        <v>0.67666666666666664</v>
      </c>
      <c r="G13" s="61">
        <f>AVERAGE(0.75,0.81,0.83)</f>
        <v>0.79666666666666675</v>
      </c>
      <c r="H13" s="79"/>
      <c r="M13" s="63"/>
      <c r="N13" s="76"/>
      <c r="S13" s="63"/>
      <c r="T13" s="76"/>
      <c r="Y13" s="63"/>
      <c r="Z13" s="76"/>
      <c r="AE13" s="63"/>
    </row>
    <row r="14" spans="1:31" s="7" customFormat="1" x14ac:dyDescent="0.2">
      <c r="A14" s="6" t="s">
        <v>11</v>
      </c>
      <c r="B14" s="77">
        <v>152</v>
      </c>
      <c r="C14" s="17">
        <v>0.84</v>
      </c>
      <c r="D14" s="17">
        <v>9263</v>
      </c>
      <c r="E14" s="17">
        <v>0.81</v>
      </c>
      <c r="F14" s="17">
        <v>0.6</v>
      </c>
      <c r="G14" s="56">
        <v>0.76</v>
      </c>
      <c r="H14" s="77"/>
      <c r="M14" s="73"/>
      <c r="N14" s="72"/>
      <c r="S14" s="73"/>
      <c r="T14" s="72"/>
      <c r="Y14" s="73"/>
      <c r="Z14" s="72"/>
      <c r="AE14" s="73"/>
    </row>
    <row r="15" spans="1:31" s="9" customFormat="1" x14ac:dyDescent="0.2">
      <c r="A15" s="8" t="s">
        <v>12</v>
      </c>
      <c r="B15" s="78">
        <v>27</v>
      </c>
      <c r="C15" s="10">
        <v>0.63</v>
      </c>
      <c r="D15" s="10">
        <v>745</v>
      </c>
      <c r="E15" s="10">
        <v>0.82</v>
      </c>
      <c r="F15" s="10">
        <v>0.62</v>
      </c>
      <c r="G15" s="57">
        <v>0.65</v>
      </c>
      <c r="H15" s="78"/>
      <c r="J15" s="10"/>
      <c r="M15" s="75"/>
      <c r="N15" s="74"/>
      <c r="S15" s="75"/>
      <c r="T15" s="74"/>
      <c r="Y15" s="75"/>
      <c r="Z15" s="74"/>
      <c r="AE15" s="75"/>
    </row>
    <row r="16" spans="1:31" s="9" customFormat="1" x14ac:dyDescent="0.2">
      <c r="A16" s="8" t="s">
        <v>13</v>
      </c>
      <c r="B16" s="78">
        <v>30</v>
      </c>
      <c r="C16" s="10">
        <v>0.8</v>
      </c>
      <c r="D16" s="10">
        <v>1719</v>
      </c>
      <c r="E16" s="10">
        <v>0.81</v>
      </c>
      <c r="F16" s="10">
        <v>0.61</v>
      </c>
      <c r="G16" s="57">
        <v>0.68</v>
      </c>
      <c r="H16" s="78"/>
      <c r="J16" s="10"/>
      <c r="M16" s="75"/>
      <c r="N16" s="74"/>
      <c r="S16" s="75"/>
      <c r="T16" s="74"/>
      <c r="Y16" s="75"/>
      <c r="Z16" s="74"/>
      <c r="AE16" s="75"/>
    </row>
    <row r="17" spans="1:31" s="3" customFormat="1" x14ac:dyDescent="0.2">
      <c r="A17" s="2" t="s">
        <v>14</v>
      </c>
      <c r="B17" s="62">
        <v>16</v>
      </c>
      <c r="C17" s="22">
        <v>0.88</v>
      </c>
      <c r="D17" s="22">
        <v>470</v>
      </c>
      <c r="E17" s="22">
        <v>0.81</v>
      </c>
      <c r="F17" s="22">
        <v>0.59</v>
      </c>
      <c r="G17" s="58">
        <v>0.7</v>
      </c>
      <c r="H17" s="62"/>
      <c r="M17" s="63"/>
      <c r="N17" s="76"/>
      <c r="S17" s="63"/>
      <c r="T17" s="76"/>
      <c r="Y17" s="63"/>
      <c r="Z17" s="76"/>
      <c r="AE17" s="63"/>
    </row>
    <row r="18" spans="1:31" x14ac:dyDescent="0.2">
      <c r="A18" s="1" t="s">
        <v>20</v>
      </c>
      <c r="C18">
        <v>1</v>
      </c>
      <c r="F18" s="27"/>
      <c r="G18" s="29"/>
      <c r="H18" s="28"/>
      <c r="I18" s="27"/>
      <c r="K18" s="31"/>
      <c r="L18" s="31"/>
      <c r="M18" s="30"/>
      <c r="N18" s="31"/>
      <c r="O18" s="30"/>
      <c r="P18" s="30"/>
      <c r="Q18" s="30"/>
    </row>
    <row r="19" spans="1:31" x14ac:dyDescent="0.2">
      <c r="B19" s="27"/>
      <c r="C19" s="28"/>
      <c r="D19" s="27"/>
      <c r="E19" s="28"/>
      <c r="F19" s="30"/>
      <c r="G19" s="27"/>
      <c r="H19" s="33"/>
      <c r="I19" s="32"/>
      <c r="J19" s="31"/>
      <c r="K19" s="31"/>
      <c r="L19" s="30"/>
      <c r="M19" s="31"/>
      <c r="N19" s="30"/>
      <c r="O19" s="30"/>
      <c r="P19" s="30"/>
      <c r="Q19" s="30"/>
    </row>
    <row r="20" spans="1:31" x14ac:dyDescent="0.2">
      <c r="B20" s="30"/>
      <c r="C20" s="30"/>
      <c r="D20" s="30"/>
      <c r="E20" s="30"/>
      <c r="F20" s="30"/>
      <c r="G20" s="27"/>
      <c r="H20" s="33"/>
      <c r="I20" s="32"/>
      <c r="J20" s="31"/>
      <c r="K20" s="30"/>
      <c r="L20" s="31"/>
      <c r="M20" s="30"/>
      <c r="N20" s="31"/>
      <c r="O20" s="30"/>
      <c r="P20" s="30"/>
      <c r="Q20" s="30"/>
      <c r="R20" s="30"/>
      <c r="S20" s="30"/>
      <c r="T20" s="30"/>
    </row>
    <row r="21" spans="1:31" x14ac:dyDescent="0.2">
      <c r="B21" s="30"/>
      <c r="C21" s="30"/>
      <c r="D21" s="30"/>
      <c r="E21" s="30"/>
      <c r="F21" s="30"/>
      <c r="G21" s="32"/>
      <c r="H21" s="33"/>
      <c r="I21" s="27"/>
      <c r="J21" s="31"/>
      <c r="K21" s="30"/>
      <c r="L21" s="31"/>
      <c r="M21" s="30"/>
      <c r="N21" s="31"/>
      <c r="O21" s="30"/>
      <c r="P21" s="30"/>
      <c r="Q21" s="30"/>
      <c r="S21" s="30"/>
      <c r="T21" s="30"/>
    </row>
    <row r="22" spans="1:31" x14ac:dyDescent="0.2">
      <c r="B22" s="30"/>
      <c r="C22" s="30"/>
      <c r="D22" s="30"/>
      <c r="E22" s="30"/>
      <c r="F22" s="30"/>
      <c r="G22" s="27"/>
      <c r="H22" s="33"/>
      <c r="I22" s="32"/>
      <c r="J22" s="31"/>
      <c r="K22" s="30"/>
      <c r="L22" s="31"/>
      <c r="M22" s="30"/>
      <c r="N22" s="31"/>
      <c r="O22" s="30"/>
      <c r="P22" s="30"/>
      <c r="Q22" s="30"/>
      <c r="R22" s="30"/>
      <c r="S22" s="30"/>
      <c r="T22" s="30"/>
    </row>
    <row r="23" spans="1:31" x14ac:dyDescent="0.2">
      <c r="B23" s="30"/>
      <c r="C23" s="30"/>
      <c r="D23" s="30"/>
      <c r="E23" s="30"/>
      <c r="F23" s="30"/>
      <c r="G23" s="32"/>
      <c r="H23" s="33"/>
      <c r="I23" s="27"/>
      <c r="J23" s="31"/>
      <c r="K23" s="30"/>
      <c r="L23" s="31"/>
      <c r="M23" s="30"/>
      <c r="N23" s="31"/>
      <c r="O23" s="30"/>
      <c r="P23" s="30"/>
      <c r="Q23" s="30"/>
      <c r="R23" s="30"/>
      <c r="S23" s="30"/>
      <c r="T23" s="30"/>
    </row>
    <row r="24" spans="1:31" x14ac:dyDescent="0.2">
      <c r="B24" s="30"/>
      <c r="C24" s="30"/>
      <c r="D24" s="30"/>
      <c r="E24" s="30"/>
      <c r="F24" s="30"/>
      <c r="G24" s="32"/>
      <c r="H24" s="33"/>
      <c r="I24" s="27"/>
      <c r="J24" s="31"/>
      <c r="K24" s="30"/>
      <c r="L24" s="31"/>
      <c r="M24" s="30"/>
      <c r="N24" s="31"/>
      <c r="O24" s="30"/>
      <c r="P24" s="30"/>
      <c r="Q24" s="30"/>
      <c r="R24" s="30"/>
      <c r="S24" s="30"/>
      <c r="T24" s="30"/>
    </row>
    <row r="25" spans="1:31" x14ac:dyDescent="0.2">
      <c r="B25" s="30"/>
      <c r="C25" s="30"/>
      <c r="D25" s="30"/>
      <c r="E25" s="30"/>
      <c r="F25" s="30"/>
      <c r="G25" s="30"/>
      <c r="H25" s="33"/>
      <c r="I25" s="31"/>
      <c r="J25" s="31"/>
      <c r="K25" s="30"/>
      <c r="L25" s="31"/>
      <c r="M25" s="30"/>
      <c r="N25" s="31"/>
      <c r="O25" s="30"/>
      <c r="P25" s="30"/>
      <c r="Q25" s="30"/>
      <c r="R25" s="30"/>
      <c r="S25" s="30"/>
      <c r="T25" s="30"/>
    </row>
    <row r="26" spans="1:31" x14ac:dyDescent="0.2">
      <c r="B26" s="30"/>
      <c r="C26" s="30"/>
      <c r="D26" s="30"/>
      <c r="E26" s="30"/>
      <c r="F26" s="30"/>
      <c r="G26" s="27"/>
      <c r="H26" s="33"/>
      <c r="I26" s="27"/>
      <c r="J26" s="31"/>
      <c r="K26" s="30"/>
      <c r="L26" s="31"/>
      <c r="M26" s="30"/>
      <c r="N26" s="31"/>
      <c r="O26" s="30"/>
      <c r="P26" s="30"/>
      <c r="Q26" s="30"/>
      <c r="R26" s="30"/>
      <c r="S26" s="30"/>
      <c r="T26" s="30"/>
    </row>
    <row r="27" spans="1:31" x14ac:dyDescent="0.2">
      <c r="B27" s="30"/>
      <c r="C27" s="30"/>
      <c r="D27" s="30"/>
      <c r="E27" s="30"/>
      <c r="F27" s="30"/>
      <c r="G27" s="27"/>
      <c r="H27" s="33"/>
      <c r="I27" s="27"/>
      <c r="J27" s="31"/>
      <c r="K27" s="30"/>
      <c r="L27" s="31"/>
      <c r="M27" s="30"/>
      <c r="N27" s="31"/>
      <c r="O27" s="30"/>
      <c r="P27" s="30"/>
      <c r="Q27" s="30"/>
      <c r="R27" s="30"/>
      <c r="S27" s="30"/>
      <c r="T27" s="30"/>
    </row>
    <row r="28" spans="1:31" x14ac:dyDescent="0.2">
      <c r="B28" s="30"/>
      <c r="C28" s="30"/>
      <c r="D28" s="30"/>
      <c r="E28" s="30"/>
      <c r="F28" s="30"/>
      <c r="G28" s="27"/>
      <c r="H28" s="33"/>
      <c r="I28" s="32"/>
      <c r="J28" s="31"/>
      <c r="K28" s="30"/>
      <c r="L28" s="31"/>
      <c r="M28" s="30"/>
      <c r="N28" s="31"/>
      <c r="O28" s="30"/>
      <c r="P28" s="30"/>
      <c r="Q28" s="30"/>
      <c r="R28" s="30"/>
      <c r="S28" s="30"/>
      <c r="T28" s="30"/>
    </row>
    <row r="29" spans="1:31" x14ac:dyDescent="0.2">
      <c r="B29" s="30"/>
      <c r="C29" s="30"/>
      <c r="D29" s="30"/>
      <c r="E29" s="30"/>
      <c r="F29" s="30"/>
      <c r="G29" s="27"/>
      <c r="H29" s="33"/>
      <c r="I29" s="32"/>
      <c r="J29" s="31"/>
      <c r="K29" s="30"/>
      <c r="L29" s="31"/>
      <c r="M29" s="30"/>
      <c r="N29" s="31"/>
      <c r="O29" s="30"/>
      <c r="P29" s="30"/>
      <c r="Q29" s="30"/>
      <c r="R29" s="30"/>
      <c r="S29" s="30"/>
      <c r="T29" s="30"/>
    </row>
    <row r="30" spans="1:31" x14ac:dyDescent="0.2">
      <c r="B30" s="30"/>
      <c r="C30" s="30"/>
      <c r="D30" s="30"/>
      <c r="E30" s="30"/>
      <c r="F30" s="30"/>
      <c r="G30" s="27"/>
      <c r="H30" s="33"/>
      <c r="I30" s="27"/>
      <c r="J30" s="31"/>
      <c r="K30" s="30"/>
      <c r="L30" s="31"/>
      <c r="M30" s="30"/>
      <c r="N30" s="31"/>
      <c r="O30" s="30"/>
      <c r="P30" s="30"/>
      <c r="Q30" s="30"/>
      <c r="R30" s="30"/>
      <c r="S30" s="30"/>
      <c r="T30" s="30"/>
    </row>
    <row r="31" spans="1:31" x14ac:dyDescent="0.2">
      <c r="B31" s="30"/>
      <c r="C31" s="30"/>
      <c r="D31" s="30"/>
      <c r="E31" s="30"/>
      <c r="F31" s="30"/>
      <c r="G31" s="27"/>
      <c r="H31" s="33"/>
      <c r="I31" s="27"/>
      <c r="J31" s="31"/>
      <c r="K31" s="30"/>
      <c r="L31" s="31"/>
      <c r="M31" s="30"/>
      <c r="N31" s="30"/>
      <c r="O31" s="30"/>
      <c r="P31" s="30"/>
      <c r="Q31" s="30"/>
      <c r="R31" s="30"/>
      <c r="S31" s="30"/>
      <c r="T31" s="30"/>
    </row>
    <row r="32" spans="1:31" x14ac:dyDescent="0.2">
      <c r="B32" s="30"/>
      <c r="C32" s="30"/>
      <c r="D32" s="30"/>
      <c r="E32" s="30"/>
      <c r="F32" s="30"/>
      <c r="G32" s="27"/>
      <c r="H32" s="33"/>
      <c r="I32" s="27"/>
      <c r="J32" s="31"/>
      <c r="K32" s="30"/>
      <c r="L32" s="31"/>
      <c r="M32" s="30"/>
      <c r="N32" s="30"/>
      <c r="O32" s="30"/>
      <c r="P32" s="30"/>
      <c r="Q32" s="30"/>
      <c r="R32" s="30"/>
      <c r="S32" s="30"/>
      <c r="T32" s="30"/>
    </row>
    <row r="33" spans="2:20" x14ac:dyDescent="0.2">
      <c r="B33" s="30"/>
      <c r="C33" s="30"/>
      <c r="D33" s="30"/>
      <c r="E33" s="30"/>
      <c r="F33" s="30"/>
      <c r="G33" s="27"/>
      <c r="H33" s="33"/>
      <c r="I33" s="27"/>
      <c r="J33" s="30"/>
      <c r="K33" s="30"/>
      <c r="L33" s="30"/>
      <c r="M33" s="30"/>
      <c r="N33" s="30"/>
      <c r="O33" s="30"/>
      <c r="P33" s="30"/>
      <c r="Q33" s="30"/>
      <c r="T33" s="30"/>
    </row>
    <row r="34" spans="2:20" x14ac:dyDescent="0.2">
      <c r="B34" s="30"/>
      <c r="C34" s="30"/>
      <c r="D34" s="30"/>
      <c r="E34" s="30"/>
      <c r="R34" s="30"/>
      <c r="S34" s="30"/>
      <c r="T34" s="30"/>
    </row>
    <row r="35" spans="2:20" x14ac:dyDescent="0.2">
      <c r="B35" s="30"/>
      <c r="C35" s="30"/>
      <c r="D35" s="30"/>
      <c r="E35" s="30"/>
      <c r="R35" s="30"/>
      <c r="S35" s="30"/>
      <c r="T35" s="30"/>
    </row>
    <row r="36" spans="2:20" x14ac:dyDescent="0.2">
      <c r="B36" s="30"/>
      <c r="C36" s="30"/>
      <c r="D36" s="30"/>
      <c r="E36" s="30"/>
      <c r="F36" s="30"/>
      <c r="G36" s="30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2:20" x14ac:dyDescent="0.2">
      <c r="B37" s="30"/>
      <c r="C37" s="30"/>
      <c r="D37" s="30"/>
      <c r="E37" s="30"/>
      <c r="J37" s="31"/>
      <c r="K37" s="30"/>
      <c r="L37" s="31"/>
      <c r="M37" s="30"/>
      <c r="N37" s="31"/>
      <c r="O37" s="30"/>
      <c r="P37" s="30"/>
      <c r="Q37" s="30"/>
      <c r="R37" s="30"/>
      <c r="S37" s="30"/>
      <c r="T37" s="30"/>
    </row>
    <row r="38" spans="2:20" x14ac:dyDescent="0.2">
      <c r="B38" s="30"/>
      <c r="C38" s="30"/>
      <c r="D38" s="30"/>
      <c r="E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2:20" x14ac:dyDescent="0.2">
      <c r="B39" s="30"/>
      <c r="C39" s="30"/>
      <c r="D39" s="30"/>
      <c r="E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2:20" x14ac:dyDescent="0.2">
      <c r="B40" s="30"/>
      <c r="C40" s="30"/>
      <c r="D40" s="30"/>
      <c r="E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20" x14ac:dyDescent="0.2">
      <c r="B41" s="30"/>
      <c r="C41" s="30"/>
      <c r="D41" s="30"/>
      <c r="E41" s="30"/>
      <c r="F41" s="30"/>
      <c r="G41" s="30"/>
      <c r="H41" s="30"/>
      <c r="I41" s="30"/>
      <c r="R41" s="30"/>
    </row>
    <row r="42" spans="2:20" x14ac:dyDescent="0.2">
      <c r="B42" s="30"/>
      <c r="C42" s="30"/>
      <c r="D42" s="30"/>
      <c r="E42" s="30"/>
      <c r="J42" s="30"/>
      <c r="K42" s="30"/>
      <c r="L42" s="30"/>
      <c r="M42" s="30"/>
      <c r="N42" s="30"/>
      <c r="R42" s="30"/>
    </row>
    <row r="43" spans="2:20" x14ac:dyDescent="0.2">
      <c r="B43" s="30"/>
      <c r="C43" s="30"/>
      <c r="D43" s="30"/>
      <c r="E43" s="30"/>
      <c r="R43" s="30"/>
    </row>
    <row r="44" spans="2:20" x14ac:dyDescent="0.2">
      <c r="B44" s="30"/>
      <c r="C44" s="30"/>
      <c r="D44" s="30"/>
      <c r="E44" s="30"/>
      <c r="R44" s="30"/>
    </row>
    <row r="45" spans="2:20" x14ac:dyDescent="0.2">
      <c r="B45" s="30"/>
      <c r="C45" s="30"/>
      <c r="D45" s="30"/>
      <c r="E45" s="30"/>
      <c r="O45" s="30"/>
      <c r="P45" s="30"/>
      <c r="Q45" s="30"/>
      <c r="R45" s="30"/>
    </row>
    <row r="46" spans="2:20" x14ac:dyDescent="0.2">
      <c r="B46" s="30"/>
      <c r="C46" s="30"/>
      <c r="D46" s="30"/>
      <c r="E46" s="30"/>
      <c r="O46" s="30"/>
      <c r="P46" s="30"/>
      <c r="Q46" s="30"/>
      <c r="R46" s="30"/>
    </row>
    <row r="47" spans="2:20" x14ac:dyDescent="0.2">
      <c r="B47" s="30"/>
      <c r="C47" s="30"/>
      <c r="D47" s="30"/>
      <c r="E47" s="30"/>
      <c r="F47" s="30"/>
      <c r="G47" s="30"/>
      <c r="H47" s="30"/>
      <c r="I47" s="30"/>
      <c r="O47" s="30"/>
      <c r="P47" s="30"/>
      <c r="Q47" s="30"/>
      <c r="R47" s="30"/>
    </row>
    <row r="48" spans="2:20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2:18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18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 x14ac:dyDescent="0.2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 x14ac:dyDescent="0.2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2:18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2:18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2:18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 x14ac:dyDescent="0.2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2:18" x14ac:dyDescent="0.2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2:18" x14ac:dyDescent="0.2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2:18" x14ac:dyDescent="0.2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2:18" x14ac:dyDescent="0.2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2:18" x14ac:dyDescent="0.2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2:18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 x14ac:dyDescent="0.2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 x14ac:dyDescent="0.2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2:18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 x14ac:dyDescent="0.2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2:18" x14ac:dyDescent="0.2">
      <c r="F72" s="30"/>
      <c r="G72" s="30"/>
      <c r="H72" s="30"/>
      <c r="I72" s="30"/>
      <c r="J72" s="30"/>
      <c r="K72" s="30"/>
      <c r="L72" s="30"/>
      <c r="M72" s="30"/>
      <c r="N72" s="30"/>
    </row>
    <row r="73" spans="2:18" x14ac:dyDescent="0.2">
      <c r="F73" s="30"/>
      <c r="G73" s="30"/>
      <c r="H73" s="30"/>
      <c r="I73" s="30"/>
      <c r="J73" s="30"/>
      <c r="K73" s="30"/>
      <c r="L73" s="30"/>
      <c r="M73" s="30"/>
      <c r="N73" s="30"/>
    </row>
    <row r="74" spans="2:18" x14ac:dyDescent="0.2">
      <c r="J74" s="30"/>
      <c r="K74" s="30"/>
      <c r="L74" s="30"/>
      <c r="M74" s="30"/>
      <c r="N74" s="3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G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</row>
    <row r="2" spans="1:7" x14ac:dyDescent="0.2">
      <c r="A2" s="1">
        <v>2013</v>
      </c>
      <c r="B2" s="9">
        <v>398</v>
      </c>
      <c r="C2" s="9">
        <v>0.73</v>
      </c>
      <c r="D2" s="9">
        <v>14227</v>
      </c>
      <c r="E2" s="9">
        <v>0.76</v>
      </c>
      <c r="F2" s="83">
        <f>0.76*0.79</f>
        <v>0.60040000000000004</v>
      </c>
      <c r="G2" s="9">
        <v>0.66</v>
      </c>
    </row>
    <row r="3" spans="1:7" x14ac:dyDescent="0.2">
      <c r="A3" s="1">
        <v>2014</v>
      </c>
      <c r="B3" s="9">
        <v>327</v>
      </c>
      <c r="C3" s="9">
        <v>0.85</v>
      </c>
      <c r="D3" s="9">
        <v>13242</v>
      </c>
      <c r="E3" s="9">
        <v>0.82</v>
      </c>
      <c r="F3" s="83">
        <f>0.82*0.76</f>
        <v>0.62319999999999998</v>
      </c>
      <c r="G3" s="9">
        <v>0.72</v>
      </c>
    </row>
    <row r="4" spans="1:7" x14ac:dyDescent="0.2">
      <c r="A4" s="1">
        <v>2015</v>
      </c>
      <c r="B4" s="9">
        <v>299</v>
      </c>
      <c r="C4" s="9">
        <v>0.81</v>
      </c>
      <c r="D4" s="9">
        <v>13717</v>
      </c>
      <c r="E4" s="9">
        <v>0.82</v>
      </c>
      <c r="F4" s="83">
        <f>0.82*0.76</f>
        <v>0.62319999999999998</v>
      </c>
      <c r="G4" s="9">
        <v>0.74</v>
      </c>
    </row>
    <row r="5" spans="1:7" x14ac:dyDescent="0.2">
      <c r="A5" s="1">
        <v>2016</v>
      </c>
      <c r="B5" s="10">
        <v>265</v>
      </c>
      <c r="C5" s="9">
        <v>0.83</v>
      </c>
      <c r="D5" s="9">
        <v>13054</v>
      </c>
      <c r="E5" s="9">
        <v>0.82</v>
      </c>
      <c r="F5" s="83">
        <f>0.82*0.76</f>
        <v>0.62319999999999998</v>
      </c>
      <c r="G5" s="9">
        <v>0.74</v>
      </c>
    </row>
    <row r="6" spans="1:7" x14ac:dyDescent="0.2">
      <c r="A6" s="1">
        <v>2017</v>
      </c>
      <c r="B6" s="10">
        <v>244</v>
      </c>
      <c r="C6" s="10">
        <v>0.81</v>
      </c>
      <c r="D6" s="10">
        <v>12778</v>
      </c>
      <c r="E6" s="10">
        <v>0.81</v>
      </c>
      <c r="F6" s="10">
        <v>0.6</v>
      </c>
      <c r="G6" s="10">
        <v>0.74</v>
      </c>
    </row>
    <row r="7" spans="1:7" x14ac:dyDescent="0.2">
      <c r="B7" s="9"/>
      <c r="C7" s="9"/>
      <c r="D7" s="9"/>
      <c r="E7" s="9"/>
      <c r="F7" s="9"/>
      <c r="G7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  <col min="2" max="2" width="10" bestFit="1" customWidth="1"/>
  </cols>
  <sheetData>
    <row r="1" spans="1:12" x14ac:dyDescent="0.2">
      <c r="A1" t="s">
        <v>24</v>
      </c>
    </row>
    <row r="2" spans="1:12" x14ac:dyDescent="0.2">
      <c r="A2" t="s">
        <v>44</v>
      </c>
      <c r="B2" s="27">
        <v>1666753</v>
      </c>
      <c r="C2" s="27"/>
      <c r="D2" s="48"/>
      <c r="K2" s="15"/>
      <c r="L2" s="15"/>
    </row>
    <row r="3" spans="1:12" x14ac:dyDescent="0.2">
      <c r="A3" t="s">
        <v>49</v>
      </c>
      <c r="B3" s="49">
        <v>883305</v>
      </c>
      <c r="C3" s="27"/>
      <c r="D3" s="48"/>
    </row>
    <row r="5" spans="1:12" x14ac:dyDescent="0.2">
      <c r="A5" t="s">
        <v>48</v>
      </c>
    </row>
    <row r="6" spans="1:12" x14ac:dyDescent="0.2">
      <c r="A6" t="s">
        <v>45</v>
      </c>
      <c r="B6" s="27">
        <v>1150215</v>
      </c>
      <c r="C6" s="27"/>
      <c r="D6" s="48"/>
    </row>
    <row r="7" spans="1:12" x14ac:dyDescent="0.2">
      <c r="A7" s="26" t="s">
        <v>46</v>
      </c>
      <c r="B7" s="27">
        <v>769545</v>
      </c>
      <c r="C7" s="27"/>
      <c r="D7" s="48"/>
    </row>
    <row r="8" spans="1:12" x14ac:dyDescent="0.2">
      <c r="A8" t="s">
        <v>47</v>
      </c>
      <c r="B8" s="27">
        <v>259666</v>
      </c>
    </row>
    <row r="9" spans="1:12" x14ac:dyDescent="0.2">
      <c r="A9" s="25"/>
      <c r="B9" s="11"/>
    </row>
    <row r="10" spans="1:12" x14ac:dyDescent="0.2">
      <c r="A10" s="25"/>
      <c r="B10" s="11"/>
    </row>
    <row r="11" spans="1:12" x14ac:dyDescent="0.2">
      <c r="A11" s="25" t="s">
        <v>50</v>
      </c>
    </row>
    <row r="12" spans="1:12" x14ac:dyDescent="0.2">
      <c r="A12" s="11" t="s">
        <v>51</v>
      </c>
    </row>
    <row r="13" spans="1:12" x14ac:dyDescent="0.2">
      <c r="A13" s="84" t="s">
        <v>52</v>
      </c>
    </row>
    <row r="14" spans="1:12" x14ac:dyDescent="0.2">
      <c r="A14" s="11" t="s">
        <v>53</v>
      </c>
    </row>
    <row r="18" spans="1:6" x14ac:dyDescent="0.2">
      <c r="B18" s="85"/>
      <c r="E18" s="86"/>
      <c r="F18" t="s">
        <v>23</v>
      </c>
    </row>
    <row r="24" spans="1:6" x14ac:dyDescent="0.2">
      <c r="A24" t="s">
        <v>23</v>
      </c>
    </row>
  </sheetData>
  <hyperlinks>
    <hyperlink ref="A12" r:id="rId1" xr:uid="{891D00BF-4ADD-264A-92AC-DC6106A7ED8E}"/>
    <hyperlink ref="A14" r:id="rId2" location="HIV" display="http://www.acphd.org/data-reports/reports-by-topic/communicable-disease.aspx - HIV" xr:uid="{DCD7B2CD-C927-4245-ADB0-73C1A8020A1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7" t="s">
        <v>28</v>
      </c>
      <c r="B1" s="38" t="s">
        <v>29</v>
      </c>
      <c r="C1" s="39" t="s">
        <v>35</v>
      </c>
    </row>
    <row r="2" spans="1:3" ht="16" x14ac:dyDescent="0.2">
      <c r="A2" s="37" t="s">
        <v>31</v>
      </c>
      <c r="B2" s="40" t="s">
        <v>27</v>
      </c>
      <c r="C2" s="41"/>
    </row>
    <row r="3" spans="1:3" ht="48" x14ac:dyDescent="0.2">
      <c r="A3" s="42" t="s">
        <v>30</v>
      </c>
      <c r="B3" s="36" t="s">
        <v>36</v>
      </c>
      <c r="C3" s="43" t="s">
        <v>37</v>
      </c>
    </row>
    <row r="4" spans="1:3" ht="16" x14ac:dyDescent="0.2">
      <c r="A4" s="44" t="s">
        <v>32</v>
      </c>
      <c r="B4" s="40" t="s">
        <v>26</v>
      </c>
      <c r="C4" s="41"/>
    </row>
    <row r="5" spans="1:3" ht="32" x14ac:dyDescent="0.2">
      <c r="A5" s="44" t="s">
        <v>33</v>
      </c>
      <c r="B5" s="35" t="s">
        <v>34</v>
      </c>
      <c r="C5" s="45" t="s">
        <v>38</v>
      </c>
    </row>
    <row r="6" spans="1:3" ht="16" x14ac:dyDescent="0.2">
      <c r="A6" s="44" t="s">
        <v>39</v>
      </c>
      <c r="B6" s="35" t="s">
        <v>40</v>
      </c>
      <c r="C6" s="45" t="s">
        <v>38</v>
      </c>
    </row>
    <row r="7" spans="1:3" ht="16" x14ac:dyDescent="0.2">
      <c r="A7" s="44" t="s">
        <v>41</v>
      </c>
      <c r="B7" s="36" t="s">
        <v>42</v>
      </c>
      <c r="C7" s="46" t="s">
        <v>38</v>
      </c>
    </row>
    <row r="8" spans="1:3" x14ac:dyDescent="0.2">
      <c r="A8" s="47" t="s">
        <v>43</v>
      </c>
    </row>
    <row r="9" spans="1:3" x14ac:dyDescent="0.2">
      <c r="B9" s="34"/>
    </row>
    <row r="10" spans="1:3" x14ac:dyDescent="0.2">
      <c r="A10" s="1" t="s">
        <v>23</v>
      </c>
      <c r="B10" s="34"/>
    </row>
    <row r="11" spans="1:3" x14ac:dyDescent="0.2">
      <c r="B11" s="34"/>
    </row>
    <row r="12" spans="1:3" x14ac:dyDescent="0.2">
      <c r="B12" s="34"/>
    </row>
    <row r="13" spans="1:3" x14ac:dyDescent="0.2">
      <c r="B13" s="34"/>
    </row>
    <row r="14" spans="1:3" x14ac:dyDescent="0.2">
      <c r="B14" s="34"/>
    </row>
    <row r="15" spans="1:3" x14ac:dyDescent="0.2">
      <c r="B15" s="34"/>
    </row>
    <row r="16" spans="1:3" x14ac:dyDescent="0.2">
      <c r="B16" s="34"/>
    </row>
    <row r="17" spans="2:2" x14ac:dyDescent="0.2">
      <c r="B17" s="34"/>
    </row>
    <row r="18" spans="2:2" x14ac:dyDescent="0.2">
      <c r="B18" s="34"/>
    </row>
    <row r="19" spans="2:2" x14ac:dyDescent="0.2">
      <c r="B19" s="34"/>
    </row>
    <row r="20" spans="2:2" x14ac:dyDescent="0.2">
      <c r="B20" s="34"/>
    </row>
    <row r="21" spans="2:2" x14ac:dyDescent="0.2">
      <c r="B21" s="34"/>
    </row>
    <row r="22" spans="2:2" x14ac:dyDescent="0.2">
      <c r="B22" s="34"/>
    </row>
    <row r="23" spans="2:2" x14ac:dyDescent="0.2">
      <c r="B23" s="34"/>
    </row>
    <row r="24" spans="2:2" x14ac:dyDescent="0.2">
      <c r="B24" s="34"/>
    </row>
    <row r="25" spans="2:2" x14ac:dyDescent="0.2">
      <c r="B25" s="34"/>
    </row>
    <row r="26" spans="2:2" x14ac:dyDescent="0.2">
      <c r="B26" s="34"/>
    </row>
    <row r="27" spans="2:2" x14ac:dyDescent="0.2">
      <c r="B2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Stratified_Data</vt:lpstr>
      <vt:lpstr>Total_Data</vt:lpstr>
      <vt:lpstr>Stratified_Data-Alameda</vt:lpstr>
      <vt:lpstr>Total_Data-Alameda</vt:lpstr>
      <vt:lpstr>Stratified_Data-SF</vt:lpstr>
      <vt:lpstr>Total_Data-SF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2020-07-13T19:53:09Z</dcterms:modified>
</cp:coreProperties>
</file>