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456" windowWidth="28764" windowHeight="15936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L13" i="1"/>
  <c r="L12" i="1"/>
  <c r="L11" i="1"/>
  <c r="L10" i="1"/>
  <c r="L9" i="1"/>
  <c r="M13" i="1"/>
  <c r="M12" i="1"/>
  <c r="M11" i="1"/>
  <c r="M10" i="1"/>
  <c r="M9" i="1"/>
  <c r="O13" i="1"/>
  <c r="O12" i="1"/>
  <c r="O11" i="1"/>
  <c r="O10" i="1"/>
  <c r="O9" i="1"/>
  <c r="N6" i="1"/>
  <c r="N13" i="1"/>
  <c r="N12" i="1"/>
  <c r="N11" i="1"/>
  <c r="N10" i="1"/>
  <c r="N9" i="1"/>
  <c r="P13" i="1"/>
  <c r="P12" i="1"/>
  <c r="P11" i="1"/>
  <c r="P10" i="1"/>
  <c r="P9" i="1"/>
  <c r="P6" i="1"/>
</calcChain>
</file>

<file path=xl/sharedStrings.xml><?xml version="1.0" encoding="utf-8"?>
<sst xmlns="http://schemas.openxmlformats.org/spreadsheetml/2006/main" count="52" uniqueCount="39">
  <si>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</si>
  <si>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</si>
  <si>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</si>
  <si>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</si>
  <si>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</si>
  <si>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</si>
  <si>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</si>
  <si>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</si>
  <si>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</si>
  <si>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</si>
  <si>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</si>
  <si>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</si>
  <si>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</si>
  <si>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</si>
  <si>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</si>
  <si>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</si>
  <si>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</si>
  <si>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</si>
  <si>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</si>
  <si>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</si>
  <si>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</si>
  <si>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</si>
  <si>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</si>
  <si>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</si>
  <si>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Specific EHE priority counties: </t>
  </si>
  <si>
    <t>--&gt; Atlanta, Sandy Springs, Alpharetta all cities in Fulton</t>
  </si>
  <si>
    <t xml:space="preserve">These are also the top 4 counties making up this MSA (by population) </t>
  </si>
  <si>
    <t>Fulton County (1,063,937)</t>
  </si>
  <si>
    <t>Gwinnett County (936,250)</t>
  </si>
  <si>
    <t>Cobb County (760,141)</t>
  </si>
  <si>
    <t>DeKalb County (759,297)</t>
  </si>
  <si>
    <t xml:space="preserve">Data from Georgia DPH: </t>
  </si>
  <si>
    <t>https://dph.georgia.gov/georgias-hivaids-epidemiology-section/georgia-hiv-surveillance-data</t>
  </si>
  <si>
    <t xml:space="preserve">file:///Users/melissaschnure/Downloads/HIV_Integrated_Epi_Profile_Georgia_2016.pdf </t>
  </si>
  <si>
    <t>https://dph.georgia.gov/hiv-care-continuum-georgia-district#District%20Tables</t>
  </si>
  <si>
    <t xml:space="preserve"> </t>
  </si>
  <si>
    <t>Using data from the Integrated Epi Profile for Fulton/DeKalb Counties - only for 2014 though</t>
  </si>
  <si>
    <t xml:space="preserve">And Care Continuum for 2014 by District: </t>
  </si>
  <si>
    <t xml:space="preserve">Specifically, Integrated Epi Profile for 2014: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</si>
</sst>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h.georgia.gov/hiv-care-continuum-georgia-district" TargetMode="External"/><Relationship Id="rId2" Type="http://schemas.openxmlformats.org/officeDocument/2006/relationships/hyperlink" Target="../../../../../../../Downloads/HIV_Integrated_Epi_Profile_Georgia_2016.pdf" TargetMode="External"/><Relationship Id="rId1" Type="http://schemas.openxmlformats.org/officeDocument/2006/relationships/hyperlink" Target="https://dph.georgia.gov/georgias-hivaids-epidemiology-section/georgia-hiv-surveillanc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8.77734375" defaultRowHeight="14.4" x14ac:dyDescent="0.3"/>
  <cols>
    <col min="1" max="1" width="13.33203125" style="1" customWidth="1"/>
  </cols>
  <sheetData>
    <row r="1" spans="1:16" s="1" customFormat="1" x14ac:dyDescent="0.3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</row>
    <row r="2" spans="1:16" s="1" customFormat="1" x14ac:dyDescent="0.3">
      <c r="A2" s="1" t="s">
        <v>15</v>
      </c>
      <c r="B2" s="1">
        <v>2016</v>
      </c>
      <c r="C2" s="1">
        <v>2016</v>
      </c>
      <c r="D2" s="1">
        <v>2016</v>
      </c>
      <c r="E2" s="1">
        <v>2016</v>
      </c>
      <c r="F2" s="1">
        <v>2016</v>
      </c>
      <c r="G2" s="1">
        <v>2015</v>
      </c>
      <c r="H2" s="1">
        <v>2015</v>
      </c>
      <c r="I2" s="1">
        <v>2015</v>
      </c>
      <c r="J2" s="1">
        <v>2015</v>
      </c>
      <c r="K2" s="1">
        <v>2015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</row>
    <row r="3" spans="1:16" s="5" customFormat="1" x14ac:dyDescent="0.3">
      <c r="A3" s="4" t="s">
        <v>0</v>
      </c>
      <c r="B3" s="5">
        <v>0.48</v>
      </c>
      <c r="C3" s="5">
        <v>0.6</v>
      </c>
      <c r="G3" s="5">
        <v>0.49</v>
      </c>
      <c r="H3" s="5">
        <v>0.62</v>
      </c>
      <c r="J3" s="5">
        <v>0.73</v>
      </c>
      <c r="L3" s="5">
        <v>0.46</v>
      </c>
      <c r="N3" s="5">
        <v>24997</v>
      </c>
      <c r="P3" s="5">
        <v>1096</v>
      </c>
    </row>
    <row r="4" spans="1:16" s="7" customFormat="1" x14ac:dyDescent="0.3">
      <c r="A4" s="6" t="s">
        <v>1</v>
      </c>
      <c r="G4" s="7">
        <v>0.47</v>
      </c>
      <c r="L4" s="7">
        <v>0.42</v>
      </c>
      <c r="M4" s="7">
        <v>0.59</v>
      </c>
      <c r="N4" s="7">
        <v>17265</v>
      </c>
      <c r="O4" s="7">
        <v>0.53</v>
      </c>
      <c r="P4" s="7">
        <v>759</v>
      </c>
    </row>
    <row r="5" spans="1:16" s="9" customFormat="1" x14ac:dyDescent="0.3">
      <c r="A5" s="8" t="s">
        <v>2</v>
      </c>
      <c r="F5" s="10"/>
      <c r="G5" s="9">
        <v>0.52</v>
      </c>
      <c r="K5" s="10"/>
      <c r="L5" s="9">
        <v>0.44</v>
      </c>
      <c r="M5" s="9">
        <v>0.57999999999999996</v>
      </c>
      <c r="N5" s="9">
        <v>1223</v>
      </c>
      <c r="O5" s="9">
        <v>0.69</v>
      </c>
      <c r="P5" s="10">
        <v>60</v>
      </c>
    </row>
    <row r="6" spans="1:16" s="3" customFormat="1" x14ac:dyDescent="0.3">
      <c r="A6" s="2" t="s">
        <v>3</v>
      </c>
      <c r="G6" s="3">
        <v>0.55000000000000004</v>
      </c>
      <c r="L6" s="3">
        <v>0.52</v>
      </c>
      <c r="M6" s="3">
        <v>0.6</v>
      </c>
      <c r="N6" s="3">
        <f>SUM(4495,94,10,11,873,1026)</f>
        <v>6509</v>
      </c>
      <c r="O6" s="3">
        <v>0.66</v>
      </c>
      <c r="P6" s="3">
        <f>SUM(113,9,5,19,135)</f>
        <v>281</v>
      </c>
    </row>
    <row r="7" spans="1:16" s="7" customFormat="1" x14ac:dyDescent="0.3">
      <c r="A7" s="6" t="s">
        <v>4</v>
      </c>
      <c r="G7" s="7">
        <v>0.5</v>
      </c>
      <c r="L7" s="7">
        <v>0.45</v>
      </c>
      <c r="M7" s="7">
        <v>0.59</v>
      </c>
      <c r="N7" s="7">
        <v>20606</v>
      </c>
      <c r="O7" s="7">
        <v>0.55000000000000004</v>
      </c>
      <c r="P7" s="7">
        <v>925</v>
      </c>
    </row>
    <row r="8" spans="1:16" s="3" customFormat="1" x14ac:dyDescent="0.3">
      <c r="A8" s="2" t="s">
        <v>5</v>
      </c>
      <c r="E8" s="9"/>
      <c r="G8" s="3">
        <v>0.46</v>
      </c>
      <c r="J8" s="9"/>
      <c r="L8" s="3">
        <v>0.43</v>
      </c>
      <c r="M8" s="3">
        <v>0.61</v>
      </c>
      <c r="N8" s="3">
        <v>4336</v>
      </c>
      <c r="O8" s="9">
        <v>0.63</v>
      </c>
      <c r="P8" s="3">
        <v>169</v>
      </c>
    </row>
    <row r="9" spans="1:16" s="7" customFormat="1" x14ac:dyDescent="0.3">
      <c r="A9" s="6" t="s">
        <v>6</v>
      </c>
      <c r="B9" s="16"/>
      <c r="C9" s="16"/>
      <c r="E9" s="16"/>
      <c r="F9" s="13"/>
      <c r="G9" s="16">
        <f>AVERAGE(0.52,0.42)</f>
        <v>0.47</v>
      </c>
      <c r="H9" s="16"/>
      <c r="J9" s="16"/>
      <c r="K9" s="13"/>
      <c r="L9" s="16">
        <f>(((2/3)*0.55)+((1/3)*0.35))</f>
        <v>0.48333333333333334</v>
      </c>
      <c r="M9" s="16">
        <f>(((2/3)*0.72)+((1/3)*0.62))</f>
        <v>0.68666666666666665</v>
      </c>
      <c r="N9" s="7">
        <f>SUM(120,(3148/2))</f>
        <v>1694</v>
      </c>
      <c r="O9" s="16">
        <f>(((2/3)*0.64)+((1/3)*0.5))</f>
        <v>0.59333333333333327</v>
      </c>
      <c r="P9" s="13">
        <f>SUM(36,(407/2))</f>
        <v>239.5</v>
      </c>
    </row>
    <row r="10" spans="1:16" s="9" customFormat="1" x14ac:dyDescent="0.3">
      <c r="A10" s="8" t="s">
        <v>7</v>
      </c>
      <c r="B10" s="10"/>
      <c r="C10" s="10"/>
      <c r="E10" s="10"/>
      <c r="G10" s="18">
        <f>AVERAGE(0.42,0.45)</f>
        <v>0.435</v>
      </c>
      <c r="H10" s="10"/>
      <c r="J10" s="10"/>
      <c r="L10" s="10">
        <f>AVERAGE(0.35,0.41)</f>
        <v>0.38</v>
      </c>
      <c r="M10" s="10">
        <f>AVERAGE(0.62,0.6)</f>
        <v>0.61</v>
      </c>
      <c r="N10" s="9">
        <f>SUM((3148/2),(5414/2))</f>
        <v>4281</v>
      </c>
      <c r="O10" s="10">
        <f>AVERAGE(0.5,0.58)</f>
        <v>0.54</v>
      </c>
      <c r="P10" s="9">
        <f>SUM((407/2),(281/2))</f>
        <v>344</v>
      </c>
    </row>
    <row r="11" spans="1:16" s="9" customFormat="1" x14ac:dyDescent="0.3">
      <c r="A11" s="8" t="s">
        <v>8</v>
      </c>
      <c r="B11" s="15"/>
      <c r="C11" s="15"/>
      <c r="G11" s="15">
        <f>AVERAGE(0.45,0.51)</f>
        <v>0.48</v>
      </c>
      <c r="H11" s="15"/>
      <c r="L11" s="15">
        <f>AVERAGE(0.41,0.47)</f>
        <v>0.43999999999999995</v>
      </c>
      <c r="M11" s="15">
        <f>AVERAGE(0.6,0.6)</f>
        <v>0.6</v>
      </c>
      <c r="N11" s="9">
        <f>SUM((5414/2),(7244/2))</f>
        <v>6329</v>
      </c>
      <c r="O11" s="9">
        <f>AVERAGE(0.58,0.54)</f>
        <v>0.56000000000000005</v>
      </c>
      <c r="P11" s="9">
        <f>SUM((281/2),(213/2))</f>
        <v>247</v>
      </c>
    </row>
    <row r="12" spans="1:16" s="9" customFormat="1" x14ac:dyDescent="0.3">
      <c r="A12" s="8" t="s">
        <v>9</v>
      </c>
      <c r="D12" s="14"/>
      <c r="F12" s="14"/>
      <c r="G12" s="15">
        <f>AVERAGE(0.51,0.52)</f>
        <v>0.51500000000000001</v>
      </c>
      <c r="I12" s="14"/>
      <c r="K12" s="14"/>
      <c r="L12" s="9">
        <f>AVERAGE(0.47,0.47)</f>
        <v>0.47</v>
      </c>
      <c r="M12" s="9">
        <f>AVERAGE(0.6,0.58)</f>
        <v>0.59</v>
      </c>
      <c r="N12" s="14">
        <f>SUM((7244/2),(6641/2))</f>
        <v>6942.5</v>
      </c>
      <c r="O12" s="9">
        <f>AVERAGE(0.54,0.72)</f>
        <v>0.63</v>
      </c>
      <c r="P12" s="14">
        <f>SUM((213/2),(128/2))</f>
        <v>170.5</v>
      </c>
    </row>
    <row r="13" spans="1:16" s="3" customFormat="1" x14ac:dyDescent="0.3">
      <c r="A13" s="2" t="s">
        <v>10</v>
      </c>
      <c r="B13" s="17"/>
      <c r="C13" s="17"/>
      <c r="D13" s="14"/>
      <c r="G13" s="17">
        <v>0.52</v>
      </c>
      <c r="H13" s="17"/>
      <c r="I13" s="14"/>
      <c r="L13" s="17">
        <f>AVERAGE(0.47,0.47)</f>
        <v>0.47</v>
      </c>
      <c r="M13" s="17">
        <f>AVERAGE(0.58,0.55)</f>
        <v>0.56499999999999995</v>
      </c>
      <c r="N13" s="14">
        <f>SUM((6641/2),2377)</f>
        <v>5697.5</v>
      </c>
      <c r="O13" s="3">
        <f>AVERAGE(0.72,0.62)</f>
        <v>0.66999999999999993</v>
      </c>
      <c r="P13" s="3">
        <f>SUM((128/2),29)</f>
        <v>93</v>
      </c>
    </row>
    <row r="14" spans="1:16" s="7" customFormat="1" x14ac:dyDescent="0.3">
      <c r="A14" s="6" t="s">
        <v>11</v>
      </c>
      <c r="L14" s="7">
        <v>0.46</v>
      </c>
      <c r="M14" s="7">
        <v>0.61</v>
      </c>
      <c r="N14" s="7">
        <v>16592</v>
      </c>
      <c r="O14" s="7">
        <v>0.55000000000000004</v>
      </c>
      <c r="P14" s="7">
        <v>714</v>
      </c>
    </row>
    <row r="15" spans="1:16" s="9" customFormat="1" x14ac:dyDescent="0.3">
      <c r="A15" s="8" t="s">
        <v>12</v>
      </c>
      <c r="F15" s="10"/>
      <c r="K15" s="10"/>
      <c r="L15" s="9">
        <v>0.36</v>
      </c>
      <c r="M15" s="9">
        <v>0.49</v>
      </c>
      <c r="N15" s="9">
        <v>1532</v>
      </c>
      <c r="O15" s="9">
        <v>0.53</v>
      </c>
      <c r="P15" s="10">
        <v>26</v>
      </c>
    </row>
    <row r="16" spans="1:16" s="9" customFormat="1" x14ac:dyDescent="0.3">
      <c r="A16" s="8" t="s">
        <v>13</v>
      </c>
      <c r="B16" s="10"/>
      <c r="F16" s="10"/>
      <c r="G16" s="10"/>
      <c r="K16" s="10"/>
      <c r="L16" s="10">
        <v>0.39</v>
      </c>
      <c r="M16" s="9">
        <v>0.54</v>
      </c>
      <c r="N16" s="9">
        <v>1263</v>
      </c>
      <c r="O16" s="9">
        <v>0.49</v>
      </c>
      <c r="P16" s="10">
        <v>20</v>
      </c>
    </row>
    <row r="17" spans="1:16" s="3" customFormat="1" x14ac:dyDescent="0.3">
      <c r="A17" s="2" t="s">
        <v>14</v>
      </c>
      <c r="L17" s="3">
        <v>0.44</v>
      </c>
      <c r="M17" s="3">
        <v>0.62</v>
      </c>
      <c r="N17" s="3">
        <v>4361</v>
      </c>
      <c r="O17" s="3">
        <v>0.62</v>
      </c>
      <c r="P17" s="3">
        <v>198</v>
      </c>
    </row>
    <row r="18" spans="1:16" x14ac:dyDescent="0.3">
      <c r="A18" s="1" t="s">
        <v>20</v>
      </c>
      <c r="J18" s="10">
        <v>1</v>
      </c>
      <c r="O18" s="10">
        <v>1</v>
      </c>
    </row>
    <row r="20" spans="1:16" x14ac:dyDescent="0.3">
      <c r="D20" t="s">
        <v>35</v>
      </c>
      <c r="I20" t="s">
        <v>35</v>
      </c>
      <c r="N20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20" zoomScaleNormal="120" workbookViewId="0">
      <selection activeCell="A11" sqref="A11"/>
    </sheetView>
  </sheetViews>
  <sheetFormatPr defaultColWidth="8.77734375" defaultRowHeight="14.4" x14ac:dyDescent="0.3"/>
  <cols>
    <col min="1" max="1" width="25.33203125" customWidth="1"/>
  </cols>
  <sheetData>
    <row r="1" spans="1:2" x14ac:dyDescent="0.3">
      <c r="A1" t="s">
        <v>24</v>
      </c>
    </row>
    <row r="2" spans="1:2" x14ac:dyDescent="0.3">
      <c r="A2" t="s">
        <v>29</v>
      </c>
    </row>
    <row r="3" spans="1:2" x14ac:dyDescent="0.3">
      <c r="A3" t="s">
        <v>30</v>
      </c>
    </row>
    <row r="4" spans="1:2" x14ac:dyDescent="0.3">
      <c r="A4" t="s">
        <v>27</v>
      </c>
      <c r="B4" s="11" t="s">
        <v>25</v>
      </c>
    </row>
    <row r="5" spans="1:2" x14ac:dyDescent="0.3">
      <c r="A5" t="s">
        <v>28</v>
      </c>
    </row>
    <row r="6" spans="1:2" x14ac:dyDescent="0.3">
      <c r="A6" t="s">
        <v>26</v>
      </c>
    </row>
    <row r="9" spans="1:2" x14ac:dyDescent="0.3">
      <c r="A9" t="s">
        <v>31</v>
      </c>
    </row>
    <row r="10" spans="1:2" x14ac:dyDescent="0.3">
      <c r="A10" s="12" t="s">
        <v>32</v>
      </c>
    </row>
    <row r="11" spans="1:2" x14ac:dyDescent="0.3">
      <c r="A11" t="s">
        <v>38</v>
      </c>
    </row>
    <row r="12" spans="1:2" x14ac:dyDescent="0.3">
      <c r="A12" s="12" t="s">
        <v>33</v>
      </c>
    </row>
    <row r="13" spans="1:2" x14ac:dyDescent="0.3">
      <c r="A13" t="s">
        <v>37</v>
      </c>
    </row>
    <row r="14" spans="1:2" x14ac:dyDescent="0.3">
      <c r="A14" s="12" t="s">
        <v>34</v>
      </c>
    </row>
    <row r="16" spans="1:2" x14ac:dyDescent="0.3">
      <c r="A16" t="s">
        <v>36</v>
      </c>
    </row>
  </sheetData>
  <hyperlinks>
    <hyperlink ref="A10" r:id="rId1"/>
    <hyperlink ref="A12" r:id="rId2"/>
    <hyperlink ref="A14" r:id="rId3" location="District%20Tables" display="https://dph.georgia.gov/hiv-care-continuum-georgia-district - District%20Tabl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2020-05-30T13:29:53Z</dcterms:modified>
</cp:coreProperties>
</file>