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dd Fojo\CloudStation\Projects\Ending HIV\Ending_HIV\raw_data\local_continuum\"/>
    </mc:Choice>
  </mc:AlternateContent>
  <bookViews>
    <workbookView xWindow="0" yWindow="0" windowWidth="10116" windowHeight="5136"/>
  </bookViews>
  <sheets>
    <sheet name="Stratified_Data" sheetId="1" r:id="rId1"/>
    <sheet name="Total_Data" sheetId="4" r:id="rId2"/>
    <sheet name="Comments" sheetId="2" r:id="rId3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" i="1" l="1"/>
  <c r="T3" i="1"/>
  <c r="N3" i="1"/>
  <c r="O3" i="1"/>
  <c r="H12" i="1"/>
  <c r="H11" i="1"/>
  <c r="H10" i="1"/>
  <c r="H9" i="1"/>
  <c r="H6" i="1"/>
  <c r="H5" i="1"/>
  <c r="H4" i="1"/>
  <c r="H8" i="1"/>
  <c r="H7" i="1"/>
  <c r="H3" i="1"/>
  <c r="AD17" i="1"/>
  <c r="AD16" i="1"/>
  <c r="AD15" i="1"/>
  <c r="AD14" i="1"/>
  <c r="AE13" i="1"/>
  <c r="AD13" i="1"/>
  <c r="AE12" i="1"/>
  <c r="AD12" i="1"/>
  <c r="AE11" i="1"/>
  <c r="AD11" i="1"/>
  <c r="AE10" i="1"/>
  <c r="AD10" i="1"/>
  <c r="AD9" i="1"/>
  <c r="AD8" i="1"/>
  <c r="AD7" i="1"/>
  <c r="AD6" i="1"/>
  <c r="AD5" i="1"/>
  <c r="AD4" i="1"/>
  <c r="AD3" i="1"/>
  <c r="AC13" i="1"/>
  <c r="AG13" i="1"/>
  <c r="AG12" i="1"/>
  <c r="AG11" i="1"/>
  <c r="AG10" i="1"/>
  <c r="AI17" i="1"/>
  <c r="AI16" i="1"/>
  <c r="AI15" i="1"/>
  <c r="AI14" i="1"/>
  <c r="AJ13" i="1"/>
  <c r="AI13" i="1"/>
  <c r="AJ12" i="1"/>
  <c r="AI12" i="1"/>
  <c r="AJ11" i="1"/>
  <c r="AI11" i="1"/>
  <c r="AJ10" i="1"/>
  <c r="AI10" i="1"/>
  <c r="AI9" i="1"/>
  <c r="AI8" i="1"/>
  <c r="AI7" i="1"/>
  <c r="AI6" i="1"/>
  <c r="AI5" i="1"/>
  <c r="AI4" i="1"/>
  <c r="AI3" i="1"/>
  <c r="AH13" i="1"/>
  <c r="AL13" i="1"/>
  <c r="AK13" i="1"/>
  <c r="AL12" i="1"/>
  <c r="AL11" i="1"/>
  <c r="AL10" i="1"/>
  <c r="Y17" i="1"/>
  <c r="Y16" i="1"/>
  <c r="Y15" i="1"/>
  <c r="Y14" i="1"/>
  <c r="Z13" i="1"/>
  <c r="Y13" i="1"/>
  <c r="Z12" i="1"/>
  <c r="Y12" i="1"/>
  <c r="Z11" i="1"/>
  <c r="Y11" i="1"/>
  <c r="Z10" i="1"/>
  <c r="Y10" i="1"/>
  <c r="Z9" i="1"/>
  <c r="Y9" i="1"/>
  <c r="Y8" i="1"/>
  <c r="Y7" i="1"/>
  <c r="Y6" i="1"/>
  <c r="Y5" i="1"/>
  <c r="Y4" i="1"/>
  <c r="X12" i="1"/>
  <c r="X11" i="1"/>
  <c r="X10" i="1"/>
  <c r="AA13" i="1"/>
  <c r="AB12" i="1"/>
  <c r="AA12" i="1"/>
  <c r="AA11" i="1"/>
  <c r="AB10" i="1"/>
  <c r="AA10" i="1"/>
  <c r="AB13" i="1"/>
  <c r="AB11" i="1"/>
  <c r="AB9" i="1"/>
  <c r="T17" i="1"/>
  <c r="T16" i="1"/>
  <c r="T15" i="1"/>
  <c r="T14" i="1"/>
  <c r="U13" i="1"/>
  <c r="T13" i="1"/>
  <c r="U12" i="1"/>
  <c r="T12" i="1"/>
  <c r="U11" i="1"/>
  <c r="T11" i="1"/>
  <c r="U10" i="1"/>
  <c r="T10" i="1"/>
  <c r="U9" i="1"/>
  <c r="T9" i="1"/>
  <c r="T8" i="1"/>
  <c r="T7" i="1"/>
  <c r="T6" i="1"/>
  <c r="T5" i="1"/>
  <c r="T4" i="1"/>
  <c r="O17" i="1"/>
  <c r="O16" i="1"/>
  <c r="O15" i="1"/>
  <c r="O14" i="1"/>
  <c r="P13" i="1"/>
  <c r="O13" i="1"/>
  <c r="P12" i="1"/>
  <c r="O12" i="1"/>
  <c r="P10" i="1"/>
  <c r="O10" i="1"/>
  <c r="P11" i="1"/>
  <c r="O11" i="1"/>
  <c r="P9" i="1"/>
  <c r="O9" i="1"/>
  <c r="O6" i="1"/>
  <c r="O5" i="1"/>
  <c r="O4" i="1"/>
  <c r="O8" i="1"/>
  <c r="O7" i="1"/>
  <c r="S12" i="1"/>
  <c r="S10" i="1"/>
  <c r="S9" i="1"/>
  <c r="W12" i="1"/>
  <c r="V12" i="1"/>
  <c r="W10" i="1"/>
  <c r="V10" i="1"/>
  <c r="V11" i="1"/>
  <c r="W9" i="1"/>
  <c r="V9" i="1"/>
  <c r="W13" i="1"/>
  <c r="W11" i="1"/>
  <c r="N12" i="1"/>
  <c r="N10" i="1"/>
  <c r="N9" i="1"/>
  <c r="Q13" i="1"/>
  <c r="R12" i="1"/>
  <c r="Q12" i="1"/>
  <c r="R10" i="1"/>
  <c r="Q10" i="1"/>
  <c r="R9" i="1"/>
  <c r="Q9" i="1"/>
  <c r="R13" i="1"/>
  <c r="R11" i="1"/>
  <c r="K13" i="1"/>
  <c r="D13" i="1"/>
  <c r="K12" i="1"/>
  <c r="D12" i="1"/>
  <c r="K11" i="1"/>
  <c r="D11" i="1"/>
  <c r="K10" i="1"/>
  <c r="D10" i="1"/>
  <c r="K9" i="1"/>
  <c r="D9" i="1"/>
  <c r="D17" i="1"/>
  <c r="D15" i="1"/>
  <c r="D14" i="1"/>
  <c r="D8" i="1"/>
  <c r="D16" i="1"/>
  <c r="J12" i="1"/>
  <c r="J10" i="1"/>
  <c r="J9" i="1"/>
  <c r="I12" i="1"/>
  <c r="I11" i="1"/>
  <c r="I10" i="1"/>
  <c r="I9" i="1"/>
  <c r="M11" i="1"/>
  <c r="M12" i="1"/>
  <c r="L12" i="1"/>
  <c r="M13" i="1"/>
  <c r="M10" i="1"/>
  <c r="M9" i="1"/>
  <c r="L10" i="1"/>
  <c r="L9" i="1"/>
  <c r="F13" i="1"/>
  <c r="F12" i="1"/>
  <c r="F11" i="1"/>
  <c r="F10" i="1"/>
  <c r="F9" i="1"/>
  <c r="D7" i="1"/>
  <c r="D4" i="1"/>
  <c r="D6" i="1"/>
  <c r="D5" i="1"/>
  <c r="C13" i="1"/>
  <c r="B13" i="1"/>
  <c r="B12" i="1"/>
  <c r="C12" i="1"/>
  <c r="C11" i="1"/>
  <c r="C10" i="1"/>
  <c r="B10" i="1"/>
  <c r="C9" i="1"/>
  <c r="E9" i="1"/>
  <c r="B9" i="1"/>
  <c r="E13" i="1"/>
  <c r="E12" i="1"/>
  <c r="E11" i="1"/>
</calcChain>
</file>

<file path=xl/sharedStrings.xml><?xml version="1.0" encoding="utf-8"?>
<sst xmlns="http://schemas.openxmlformats.org/spreadsheetml/2006/main" count="60" uniqueCount="27">
  <si>
    <t>Total</t>
  </si>
  <si>
    <t>Black</t>
  </si>
  <si>
    <t>Hispanic</t>
  </si>
  <si>
    <t>Other</t>
  </si>
  <si>
    <t>Male</t>
  </si>
  <si>
    <t>Female</t>
  </si>
  <si>
    <t>13-24</t>
  </si>
  <si>
    <t>25-34</t>
  </si>
  <si>
    <t>35-44</t>
  </si>
  <si>
    <t>45-54</t>
  </si>
  <si>
    <t>55+</t>
  </si>
  <si>
    <t>MSM</t>
  </si>
  <si>
    <t>IDU</t>
  </si>
  <si>
    <t>MSM+IDU</t>
  </si>
  <si>
    <t>Heterosexual</t>
  </si>
  <si>
    <t>Year</t>
  </si>
  <si>
    <t>suppressed</t>
  </si>
  <si>
    <t>prevalent</t>
  </si>
  <si>
    <t>linked</t>
  </si>
  <si>
    <t>new</t>
  </si>
  <si>
    <t>Months</t>
  </si>
  <si>
    <t>http://publichealth.lacounty.gov/dhsp/Reports.htm</t>
  </si>
  <si>
    <t>engaged</t>
  </si>
  <si>
    <t>From 12015 and before - take any VL=engaged</t>
  </si>
  <si>
    <t>Data_Type</t>
  </si>
  <si>
    <t>aware</t>
  </si>
  <si>
    <t>Annual Surveillance reports for LA County: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</si>
</sst>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0" fillId="0" borderId="3" xfId="0" applyBorder="1"/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8"/>
  <sheetViews>
    <sheetView tabSelected="1" workbookViewId="0">
      <pane xSplit="1" ySplit="1" topLeftCell="AF2" activePane="bottomRight" state="frozen"/>
      <selection pane="topRight" activeCell="B1" sqref="B1"/>
      <selection pane="bottomLeft" activeCell="A2" sqref="A2"/>
      <selection pane="bottomRight" activeCell="AF1" sqref="AF1"/>
    </sheetView>
  </sheetViews>
  <sheetFormatPr defaultRowHeight="14.4" x14ac:dyDescent="0.3"/>
  <cols>
    <col min="1" max="1" width="13.33203125" style="1" customWidth="1"/>
  </cols>
  <sheetData>
    <row r="1" spans="1:38" s="1" customFormat="1" x14ac:dyDescent="0.3">
      <c r="A1" s="1" t="s">
        <v>24</v>
      </c>
      <c r="B1" s="1" t="s">
        <v>16</v>
      </c>
      <c r="C1" s="1" t="s">
        <v>22</v>
      </c>
      <c r="D1" s="1" t="s">
        <v>17</v>
      </c>
      <c r="E1" s="1" t="s">
        <v>18</v>
      </c>
      <c r="F1" s="1" t="s">
        <v>19</v>
      </c>
      <c r="G1" s="1" t="s">
        <v>25</v>
      </c>
      <c r="H1" s="1" t="s">
        <v>17</v>
      </c>
      <c r="I1" s="1" t="s">
        <v>16</v>
      </c>
      <c r="J1" s="1" t="s">
        <v>22</v>
      </c>
      <c r="K1" s="1" t="s">
        <v>17</v>
      </c>
      <c r="L1" s="1" t="s">
        <v>18</v>
      </c>
      <c r="M1" s="1" t="s">
        <v>19</v>
      </c>
      <c r="N1" s="1" t="s">
        <v>16</v>
      </c>
      <c r="O1" s="1" t="s">
        <v>22</v>
      </c>
      <c r="P1" s="1" t="s">
        <v>17</v>
      </c>
      <c r="Q1" s="1" t="s">
        <v>18</v>
      </c>
      <c r="R1" s="1" t="s">
        <v>19</v>
      </c>
      <c r="S1" s="1" t="s">
        <v>16</v>
      </c>
      <c r="T1" s="1" t="s">
        <v>22</v>
      </c>
      <c r="U1" s="1" t="s">
        <v>17</v>
      </c>
      <c r="V1" s="1" t="s">
        <v>18</v>
      </c>
      <c r="W1" s="1" t="s">
        <v>19</v>
      </c>
      <c r="X1" s="1" t="s">
        <v>16</v>
      </c>
      <c r="Y1" s="1" t="s">
        <v>22</v>
      </c>
      <c r="Z1" s="1" t="s">
        <v>17</v>
      </c>
      <c r="AA1" s="1" t="s">
        <v>18</v>
      </c>
      <c r="AB1" s="1" t="s">
        <v>19</v>
      </c>
      <c r="AC1" s="1" t="s">
        <v>16</v>
      </c>
      <c r="AD1" s="1" t="s">
        <v>22</v>
      </c>
      <c r="AE1" s="1" t="s">
        <v>17</v>
      </c>
      <c r="AF1" s="1" t="s">
        <v>18</v>
      </c>
      <c r="AG1" s="1" t="s">
        <v>19</v>
      </c>
      <c r="AH1" s="1" t="s">
        <v>16</v>
      </c>
      <c r="AI1" s="1" t="s">
        <v>22</v>
      </c>
      <c r="AJ1" s="1" t="s">
        <v>17</v>
      </c>
      <c r="AK1" s="1" t="s">
        <v>18</v>
      </c>
      <c r="AL1" s="1" t="s">
        <v>19</v>
      </c>
    </row>
    <row r="2" spans="1:38" s="1" customFormat="1" x14ac:dyDescent="0.3">
      <c r="A2" s="1" t="s">
        <v>15</v>
      </c>
      <c r="B2" s="1">
        <v>2018</v>
      </c>
      <c r="C2" s="1">
        <v>2018</v>
      </c>
      <c r="D2" s="1">
        <v>2018</v>
      </c>
      <c r="E2" s="1">
        <v>2018</v>
      </c>
      <c r="F2" s="1">
        <v>2018</v>
      </c>
      <c r="G2" s="1">
        <v>2017</v>
      </c>
      <c r="H2" s="1">
        <v>2017</v>
      </c>
      <c r="I2" s="1">
        <v>2016</v>
      </c>
      <c r="J2" s="1">
        <v>2016</v>
      </c>
      <c r="K2" s="1">
        <v>2016</v>
      </c>
      <c r="L2" s="1">
        <v>2016</v>
      </c>
      <c r="M2" s="1">
        <v>2016</v>
      </c>
      <c r="N2" s="1">
        <v>2015</v>
      </c>
      <c r="O2" s="1">
        <v>2015</v>
      </c>
      <c r="P2" s="1">
        <v>2015</v>
      </c>
      <c r="Q2" s="1">
        <v>2015</v>
      </c>
      <c r="R2" s="1">
        <v>2015</v>
      </c>
      <c r="S2" s="1">
        <v>2014</v>
      </c>
      <c r="T2" s="1">
        <v>2014</v>
      </c>
      <c r="U2" s="1">
        <v>2014</v>
      </c>
      <c r="V2" s="1">
        <v>2014</v>
      </c>
      <c r="W2" s="1">
        <v>2014</v>
      </c>
      <c r="X2" s="1">
        <v>2013</v>
      </c>
      <c r="Y2" s="1">
        <v>2013</v>
      </c>
      <c r="Z2" s="1">
        <v>2013</v>
      </c>
      <c r="AA2" s="1">
        <v>2013</v>
      </c>
      <c r="AB2" s="1">
        <v>2013</v>
      </c>
      <c r="AC2" s="1">
        <v>2011</v>
      </c>
      <c r="AD2" s="1">
        <v>2011</v>
      </c>
      <c r="AE2" s="1">
        <v>2011</v>
      </c>
      <c r="AF2" s="1">
        <v>2011</v>
      </c>
      <c r="AG2" s="1">
        <v>2011</v>
      </c>
      <c r="AH2" s="1">
        <v>2010</v>
      </c>
      <c r="AI2" s="1">
        <v>2010</v>
      </c>
      <c r="AJ2" s="1">
        <v>2010</v>
      </c>
      <c r="AK2" s="1">
        <v>2010</v>
      </c>
      <c r="AL2" s="1">
        <v>2010</v>
      </c>
    </row>
    <row r="3" spans="1:38" s="5" customFormat="1" x14ac:dyDescent="0.3">
      <c r="A3" s="4" t="s">
        <v>0</v>
      </c>
      <c r="B3" s="5">
        <v>0.61</v>
      </c>
      <c r="C3" s="5">
        <v>0.69</v>
      </c>
      <c r="D3" s="5">
        <v>52004</v>
      </c>
      <c r="E3" s="5">
        <v>0.75</v>
      </c>
      <c r="F3" s="5">
        <v>1660</v>
      </c>
      <c r="G3" s="5">
        <v>0.89</v>
      </c>
      <c r="H3" s="5">
        <f>57717/G3</f>
        <v>64850.561797752809</v>
      </c>
      <c r="I3" s="5">
        <v>0.6</v>
      </c>
      <c r="J3" s="5">
        <v>0.69</v>
      </c>
      <c r="K3" s="5">
        <v>48974</v>
      </c>
      <c r="L3" s="5">
        <v>0.64</v>
      </c>
      <c r="M3" s="5">
        <v>1949</v>
      </c>
      <c r="N3" s="5">
        <f>0.608</f>
        <v>0.60799999999999998</v>
      </c>
      <c r="O3" s="5">
        <f>34150/P3</f>
        <v>0.699436763952893</v>
      </c>
      <c r="P3" s="5">
        <v>48825</v>
      </c>
      <c r="Q3" s="5">
        <v>0.624</v>
      </c>
      <c r="R3" s="5">
        <v>1952</v>
      </c>
      <c r="S3" s="5">
        <v>0.59799999999999998</v>
      </c>
      <c r="T3" s="5">
        <f>33453/U3</f>
        <v>0.70074781625086402</v>
      </c>
      <c r="U3" s="5">
        <v>47739</v>
      </c>
      <c r="V3" s="5">
        <v>0.69299999999999995</v>
      </c>
      <c r="W3" s="5">
        <v>1987</v>
      </c>
      <c r="X3" s="5">
        <v>0.58399999999999996</v>
      </c>
      <c r="Y3" s="5">
        <f>32093/Z3</f>
        <v>0.69986479413817171</v>
      </c>
      <c r="Z3" s="5">
        <v>45856</v>
      </c>
      <c r="AA3" s="5">
        <v>0.78600000000000003</v>
      </c>
      <c r="AB3" s="5">
        <v>1844</v>
      </c>
      <c r="AC3" s="5">
        <v>0.54800000000000004</v>
      </c>
      <c r="AD3" s="5">
        <f>29051/AE3</f>
        <v>0.67613927291346643</v>
      </c>
      <c r="AE3" s="5">
        <v>42966</v>
      </c>
      <c r="AF3" s="5">
        <v>0.79700000000000004</v>
      </c>
      <c r="AG3" s="5">
        <v>2027</v>
      </c>
      <c r="AH3" s="5">
        <v>0.52400000000000002</v>
      </c>
      <c r="AI3" s="5">
        <f>27982/AJ3</f>
        <v>0.6624997040509506</v>
      </c>
      <c r="AJ3" s="5">
        <v>42237</v>
      </c>
      <c r="AK3" s="5">
        <v>0.79400000000000004</v>
      </c>
      <c r="AL3" s="5">
        <v>2192</v>
      </c>
    </row>
    <row r="4" spans="1:38" s="7" customFormat="1" x14ac:dyDescent="0.3">
      <c r="A4" s="6" t="s">
        <v>1</v>
      </c>
      <c r="B4" s="7">
        <v>0.55000000000000004</v>
      </c>
      <c r="C4" s="7">
        <v>0.66</v>
      </c>
      <c r="D4" s="7">
        <f>8545+1907</f>
        <v>10452</v>
      </c>
      <c r="E4" s="7">
        <v>0.7</v>
      </c>
      <c r="F4" s="7">
        <v>379</v>
      </c>
      <c r="G4" s="7">
        <v>0.89</v>
      </c>
      <c r="H4" s="7">
        <f>11428/G4</f>
        <v>12840.449438202248</v>
      </c>
      <c r="I4" s="7">
        <v>0.52</v>
      </c>
      <c r="J4" s="7">
        <v>0.65</v>
      </c>
      <c r="K4" s="7">
        <v>9812</v>
      </c>
      <c r="L4" s="7">
        <v>0.52</v>
      </c>
      <c r="M4" s="7">
        <v>486</v>
      </c>
      <c r="N4" s="7">
        <v>0.52600000000000002</v>
      </c>
      <c r="O4" s="7">
        <f>6631/P4</f>
        <v>0.66690133762445947</v>
      </c>
      <c r="P4" s="7">
        <v>9943</v>
      </c>
      <c r="Q4" s="7">
        <v>0.57999999999999996</v>
      </c>
      <c r="R4" s="7">
        <v>436</v>
      </c>
      <c r="S4" s="7">
        <v>0.504</v>
      </c>
      <c r="T4" s="7">
        <f>6493/U4</f>
        <v>0.66153846153846152</v>
      </c>
      <c r="U4" s="7">
        <v>9815</v>
      </c>
      <c r="V4" s="7">
        <v>0.64300000000000002</v>
      </c>
      <c r="W4" s="7">
        <v>373</v>
      </c>
      <c r="X4" s="7">
        <v>0.49199999999999999</v>
      </c>
      <c r="Y4" s="7">
        <f>6323/Z4</f>
        <v>0.66522882693319307</v>
      </c>
      <c r="Z4" s="7">
        <v>9505</v>
      </c>
      <c r="AA4" s="7">
        <v>0.72199999999999998</v>
      </c>
      <c r="AB4" s="7">
        <v>442</v>
      </c>
      <c r="AC4" s="7">
        <v>0.46400000000000002</v>
      </c>
      <c r="AD4" s="7">
        <f>5856/AE4</f>
        <v>0.65269728042799824</v>
      </c>
      <c r="AE4" s="7">
        <v>8972</v>
      </c>
      <c r="AF4" s="7">
        <v>0.74099999999999999</v>
      </c>
      <c r="AG4" s="7">
        <v>464</v>
      </c>
      <c r="AH4" s="7">
        <v>0.432</v>
      </c>
      <c r="AI4" s="7">
        <f>5548/AJ4</f>
        <v>0.63326104325990185</v>
      </c>
      <c r="AJ4" s="7">
        <v>8761</v>
      </c>
      <c r="AK4" s="7">
        <v>0.76100000000000001</v>
      </c>
      <c r="AL4" s="7">
        <v>523</v>
      </c>
    </row>
    <row r="5" spans="1:38" s="9" customFormat="1" x14ac:dyDescent="0.3">
      <c r="A5" s="8" t="s">
        <v>2</v>
      </c>
      <c r="B5" s="9">
        <v>0.61</v>
      </c>
      <c r="C5" s="9">
        <v>0.69</v>
      </c>
      <c r="D5" s="9">
        <f>20680+2680</f>
        <v>23360</v>
      </c>
      <c r="E5" s="9">
        <v>0.76</v>
      </c>
      <c r="F5" s="10">
        <v>817</v>
      </c>
      <c r="G5" s="10">
        <v>0.94</v>
      </c>
      <c r="H5" s="9">
        <f>15534/G5</f>
        <v>16525.531914893618</v>
      </c>
      <c r="I5" s="10">
        <v>0.6</v>
      </c>
      <c r="J5" s="10">
        <v>0.68</v>
      </c>
      <c r="K5" s="10">
        <v>21289</v>
      </c>
      <c r="L5" s="9">
        <v>0.65</v>
      </c>
      <c r="M5" s="9">
        <v>942</v>
      </c>
      <c r="N5" s="10">
        <v>0.60099999999999998</v>
      </c>
      <c r="O5" s="10">
        <f>14305/P5</f>
        <v>0.69076247042348737</v>
      </c>
      <c r="P5" s="10">
        <v>20709</v>
      </c>
      <c r="Q5" s="10">
        <v>0.59199999999999997</v>
      </c>
      <c r="R5" s="10">
        <v>925</v>
      </c>
      <c r="S5" s="10">
        <v>0.59099999999999997</v>
      </c>
      <c r="T5" s="9">
        <f>13744/U5</f>
        <v>0.69214886438031931</v>
      </c>
      <c r="U5" s="10">
        <v>19857</v>
      </c>
      <c r="V5" s="9">
        <v>0.67200000000000004</v>
      </c>
      <c r="W5" s="9">
        <v>1041</v>
      </c>
      <c r="X5" s="10">
        <v>0.57899999999999996</v>
      </c>
      <c r="Y5" s="9">
        <f>13086/Z5</f>
        <v>0.69278416009317589</v>
      </c>
      <c r="Z5" s="10">
        <v>18889</v>
      </c>
      <c r="AA5" s="9">
        <v>0.78</v>
      </c>
      <c r="AB5" s="9">
        <v>827</v>
      </c>
      <c r="AC5" s="10">
        <v>0.55600000000000005</v>
      </c>
      <c r="AD5" s="9">
        <f>11758/AE5</f>
        <v>0.67792896678966785</v>
      </c>
      <c r="AE5" s="10">
        <v>17344</v>
      </c>
      <c r="AF5" s="9">
        <v>0.79200000000000004</v>
      </c>
      <c r="AG5" s="9">
        <v>940</v>
      </c>
      <c r="AH5" s="10">
        <v>0.53400000000000003</v>
      </c>
      <c r="AI5" s="9">
        <f>11177/AJ5</f>
        <v>0.66688544152744633</v>
      </c>
      <c r="AJ5" s="10">
        <v>16760</v>
      </c>
      <c r="AK5" s="10">
        <v>0.76</v>
      </c>
      <c r="AL5" s="10">
        <v>983</v>
      </c>
    </row>
    <row r="6" spans="1:38" s="3" customFormat="1" x14ac:dyDescent="0.3">
      <c r="A6" s="2" t="s">
        <v>3</v>
      </c>
      <c r="B6" s="3">
        <v>0.62</v>
      </c>
      <c r="C6" s="3">
        <v>0.7</v>
      </c>
      <c r="D6" s="3">
        <f>13388+802</f>
        <v>14190</v>
      </c>
      <c r="E6" s="3">
        <v>0.78</v>
      </c>
      <c r="F6" s="3">
        <v>323</v>
      </c>
      <c r="G6" s="3">
        <v>0.87</v>
      </c>
      <c r="H6" s="3">
        <f>26226/G6</f>
        <v>30144.827586206895</v>
      </c>
      <c r="I6" s="3">
        <v>0.65</v>
      </c>
      <c r="J6" s="3">
        <v>0.71</v>
      </c>
      <c r="K6" s="3">
        <v>14502</v>
      </c>
      <c r="L6" s="3">
        <v>0.71</v>
      </c>
      <c r="M6" s="3">
        <v>355</v>
      </c>
      <c r="N6" s="3">
        <v>0.66300000000000003</v>
      </c>
      <c r="O6" s="3">
        <f>11043/P6</f>
        <v>0.72389380530973446</v>
      </c>
      <c r="P6" s="3">
        <v>15255</v>
      </c>
      <c r="Q6" s="3">
        <v>0.71099999999999997</v>
      </c>
      <c r="R6" s="3">
        <v>432</v>
      </c>
      <c r="S6" s="3">
        <v>0.66</v>
      </c>
      <c r="T6" s="3">
        <f>11189/U6</f>
        <v>0.72868772386844671</v>
      </c>
      <c r="U6" s="3">
        <v>15355</v>
      </c>
      <c r="V6" s="3">
        <v>0.76700000000000002</v>
      </c>
      <c r="W6" s="3">
        <v>425</v>
      </c>
      <c r="X6" s="3">
        <v>0.64200000000000002</v>
      </c>
      <c r="Y6" s="3">
        <f>10809/Z6</f>
        <v>0.72286497692770679</v>
      </c>
      <c r="Z6" s="3">
        <v>14953</v>
      </c>
      <c r="AA6" s="3">
        <v>0.83099999999999996</v>
      </c>
      <c r="AB6" s="3">
        <v>453</v>
      </c>
      <c r="AC6" s="3">
        <v>0.58599999999999997</v>
      </c>
      <c r="AD6" s="3">
        <f>9829/AE6</f>
        <v>0.68157548020248249</v>
      </c>
      <c r="AE6" s="3">
        <v>14421</v>
      </c>
      <c r="AF6" s="3">
        <v>0.85799999999999998</v>
      </c>
      <c r="AG6" s="3">
        <v>478</v>
      </c>
      <c r="AH6" s="3">
        <v>0.56200000000000006</v>
      </c>
      <c r="AI6" s="3">
        <f>9762/AJ6</f>
        <v>0.66812675381561837</v>
      </c>
      <c r="AJ6" s="3">
        <v>14611</v>
      </c>
      <c r="AK6" s="3">
        <v>0.81699999999999995</v>
      </c>
      <c r="AL6" s="3">
        <v>553</v>
      </c>
    </row>
    <row r="7" spans="1:38" s="7" customFormat="1" x14ac:dyDescent="0.3">
      <c r="A7" s="6" t="s">
        <v>4</v>
      </c>
      <c r="B7" s="7">
        <v>0.61</v>
      </c>
      <c r="C7" s="7">
        <v>0.69</v>
      </c>
      <c r="D7" s="7">
        <f>20680+13388+8545+1891+1769</f>
        <v>46273</v>
      </c>
      <c r="E7" s="7">
        <v>0.76</v>
      </c>
      <c r="F7" s="7">
        <v>1445</v>
      </c>
      <c r="G7" s="7">
        <v>0.89</v>
      </c>
      <c r="H7" s="7">
        <f>51471/G7</f>
        <v>57832.584269662919</v>
      </c>
      <c r="I7" s="7">
        <v>0.61</v>
      </c>
      <c r="J7" s="7">
        <v>0.69</v>
      </c>
      <c r="K7" s="7">
        <v>42711</v>
      </c>
      <c r="L7" s="7">
        <v>0.65</v>
      </c>
      <c r="M7" s="7">
        <v>1707</v>
      </c>
      <c r="N7" s="7">
        <v>0.61299999999999999</v>
      </c>
      <c r="O7" s="7">
        <f>29956/P7</f>
        <v>0.70248340876579973</v>
      </c>
      <c r="P7" s="7">
        <v>42643</v>
      </c>
      <c r="Q7" s="7">
        <v>0.63700000000000001</v>
      </c>
      <c r="R7" s="7">
        <v>1722</v>
      </c>
      <c r="S7" s="7">
        <v>0.60499999999999998</v>
      </c>
      <c r="T7" s="7">
        <f>29387/U7</f>
        <v>0.70409948007762901</v>
      </c>
      <c r="U7" s="7">
        <v>41737</v>
      </c>
      <c r="V7" s="7">
        <v>0.71</v>
      </c>
      <c r="W7" s="7">
        <v>1750</v>
      </c>
      <c r="X7" s="7">
        <v>0.59</v>
      </c>
      <c r="Y7" s="7">
        <f>28197/Z7</f>
        <v>0.70257138585737777</v>
      </c>
      <c r="Z7" s="7">
        <v>40134</v>
      </c>
      <c r="AA7" s="7">
        <v>0.79400000000000004</v>
      </c>
      <c r="AB7" s="7">
        <v>1617</v>
      </c>
      <c r="AC7" s="7">
        <v>0.52</v>
      </c>
      <c r="AD7" s="7">
        <f>25394/AE7</f>
        <v>0.67639773060224273</v>
      </c>
      <c r="AE7" s="7">
        <v>37543</v>
      </c>
      <c r="AF7" s="7">
        <v>0.80500000000000005</v>
      </c>
      <c r="AG7" s="7">
        <v>1804</v>
      </c>
      <c r="AH7" s="7">
        <v>0.52800000000000002</v>
      </c>
      <c r="AI7" s="7">
        <f>24847/AJ7</f>
        <v>0.66446488741509335</v>
      </c>
      <c r="AJ7" s="7">
        <v>37394</v>
      </c>
      <c r="AK7" s="7">
        <v>0.79700000000000004</v>
      </c>
      <c r="AL7" s="7">
        <v>1943</v>
      </c>
    </row>
    <row r="8" spans="1:38" s="3" customFormat="1" x14ac:dyDescent="0.3">
      <c r="A8" s="2" t="s">
        <v>5</v>
      </c>
      <c r="B8" s="3">
        <v>0.59</v>
      </c>
      <c r="C8" s="3">
        <v>0.68</v>
      </c>
      <c r="D8" s="3">
        <f>2680+1907+802+252+190</f>
        <v>5831</v>
      </c>
      <c r="E8" s="3">
        <v>0.64</v>
      </c>
      <c r="F8" s="3">
        <v>180</v>
      </c>
      <c r="G8" s="3">
        <v>0.9</v>
      </c>
      <c r="H8" s="3">
        <f>6246/G8</f>
        <v>6940</v>
      </c>
      <c r="I8" s="3">
        <v>0.56999999999999995</v>
      </c>
      <c r="J8" s="3">
        <v>0.67</v>
      </c>
      <c r="K8" s="3">
        <v>5512</v>
      </c>
      <c r="L8" s="3">
        <v>0.56000000000000005</v>
      </c>
      <c r="M8" s="3">
        <v>201</v>
      </c>
      <c r="N8" s="3">
        <v>0.57499999999999996</v>
      </c>
      <c r="O8" s="3">
        <f>3703/P8</f>
        <v>0.67425345957756733</v>
      </c>
      <c r="P8" s="3">
        <v>5492</v>
      </c>
      <c r="Q8" s="3">
        <v>0.495</v>
      </c>
      <c r="R8" s="3">
        <v>192</v>
      </c>
      <c r="S8" s="3">
        <v>0.55700000000000005</v>
      </c>
      <c r="T8" s="3">
        <f>3610/U8</f>
        <v>0.6738846369236513</v>
      </c>
      <c r="U8" s="3">
        <v>5357</v>
      </c>
      <c r="V8" s="3">
        <v>0.55500000000000005</v>
      </c>
      <c r="W8" s="3">
        <v>209</v>
      </c>
      <c r="X8" s="3">
        <v>0.55000000000000004</v>
      </c>
      <c r="Y8" s="3">
        <f>3460/Z8</f>
        <v>0.67657411028549086</v>
      </c>
      <c r="Z8" s="3">
        <v>5114</v>
      </c>
      <c r="AA8" s="3">
        <v>0.71499999999999997</v>
      </c>
      <c r="AB8" s="3">
        <v>200</v>
      </c>
      <c r="AC8" s="3">
        <v>0.48599999999999999</v>
      </c>
      <c r="AD8" s="3">
        <f>3288/AE8</f>
        <v>0.67102040816326536</v>
      </c>
      <c r="AE8" s="3">
        <v>4900</v>
      </c>
      <c r="AF8" s="3">
        <v>0.72199999999999998</v>
      </c>
      <c r="AG8" s="3">
        <v>194</v>
      </c>
      <c r="AH8" s="3">
        <v>0.49299999999999999</v>
      </c>
      <c r="AI8" s="3">
        <f>3135/AJ8</f>
        <v>0.64732603758001239</v>
      </c>
      <c r="AJ8" s="3">
        <v>4843</v>
      </c>
      <c r="AK8" s="3">
        <v>0.77100000000000002</v>
      </c>
      <c r="AL8" s="3">
        <v>249</v>
      </c>
    </row>
    <row r="9" spans="1:38" s="7" customFormat="1" x14ac:dyDescent="0.3">
      <c r="A9" s="6" t="s">
        <v>6</v>
      </c>
      <c r="B9" s="7">
        <f>(0.69+0.63)/2</f>
        <v>0.65999999999999992</v>
      </c>
      <c r="C9" s="7">
        <f>(0.8+0.75)/2</f>
        <v>0.77500000000000002</v>
      </c>
      <c r="D9" s="7">
        <f>K9/K$3*D$3</f>
        <v>2629.1890390819617</v>
      </c>
      <c r="E9" s="7">
        <f>(0.69+0.75)/2</f>
        <v>0.72</v>
      </c>
      <c r="F9" s="7">
        <f>64+637/2</f>
        <v>382.5</v>
      </c>
      <c r="G9" s="7">
        <v>0.46</v>
      </c>
      <c r="H9" s="7">
        <f>2609/G9</f>
        <v>5671.7391304347821</v>
      </c>
      <c r="I9" s="7">
        <f>(64+2537/2)/K9</f>
        <v>0.53816639741518579</v>
      </c>
      <c r="J9" s="7">
        <f>(70+3242/2)/K9</f>
        <v>0.68295638126009695</v>
      </c>
      <c r="K9" s="7">
        <f>85+4782/2</f>
        <v>2476</v>
      </c>
      <c r="L9" s="7">
        <f>(9+509/2)/(13+752/2)</f>
        <v>0.67737789203084831</v>
      </c>
      <c r="M9" s="7">
        <f>13+752/2</f>
        <v>389</v>
      </c>
      <c r="N9" s="7">
        <f>(59+2437/2)/P9</f>
        <v>0.53631402183039467</v>
      </c>
      <c r="O9" s="7">
        <f>(73+3177/2)/P9</f>
        <v>0.69752308984047018</v>
      </c>
      <c r="P9" s="7">
        <f>89+4586/2</f>
        <v>2382</v>
      </c>
      <c r="Q9" s="7">
        <f>(6+520/2)/R9</f>
        <v>0.6479902557856273</v>
      </c>
      <c r="R9" s="7">
        <f>10+801/2</f>
        <v>410.5</v>
      </c>
      <c r="S9" s="7">
        <f>(58+2268/2)/U9</f>
        <v>0.52109289617486343</v>
      </c>
      <c r="T9" s="7">
        <f>(78+2991/2)/U9</f>
        <v>0.68786885245901641</v>
      </c>
      <c r="U9" s="7">
        <f>97+4381/2</f>
        <v>2287.5</v>
      </c>
      <c r="V9" s="7">
        <f>(4+539/2)/W9</f>
        <v>0.67781908302354399</v>
      </c>
      <c r="W9" s="7">
        <f>15+777/2</f>
        <v>403.5</v>
      </c>
      <c r="X9" s="7">
        <v>0.5</v>
      </c>
      <c r="Y9" s="7">
        <f>2901/2/Z9</f>
        <v>0.6882562277580071</v>
      </c>
      <c r="Z9" s="7">
        <f>4215/2</f>
        <v>2107.5</v>
      </c>
      <c r="AA9" s="7">
        <v>0.78700000000000003</v>
      </c>
      <c r="AB9" s="7">
        <f>679/2</f>
        <v>339.5</v>
      </c>
      <c r="AC9" s="7">
        <v>0.41899999999999998</v>
      </c>
      <c r="AD9" s="7">
        <f>928/AE9</f>
        <v>0.64940517844646606</v>
      </c>
      <c r="AE9" s="7">
        <v>1429</v>
      </c>
      <c r="AF9" s="7">
        <v>0.72799999999999998</v>
      </c>
      <c r="AG9" s="7">
        <v>379</v>
      </c>
      <c r="AH9" s="7">
        <v>0.36099999999999999</v>
      </c>
      <c r="AI9" s="7">
        <f>840/AJ9</f>
        <v>0.61313868613138689</v>
      </c>
      <c r="AJ9" s="7">
        <v>1370</v>
      </c>
      <c r="AK9" s="7">
        <v>0.751</v>
      </c>
      <c r="AL9" s="7">
        <v>406</v>
      </c>
    </row>
    <row r="10" spans="1:38" s="9" customFormat="1" x14ac:dyDescent="0.3">
      <c r="A10" s="8" t="s">
        <v>7</v>
      </c>
      <c r="B10" s="9">
        <f>(0.63+0.59)/2</f>
        <v>0.61</v>
      </c>
      <c r="C10" s="9">
        <f>(0.75+0.69)/2</f>
        <v>0.72</v>
      </c>
      <c r="D10" s="9">
        <f>K10/K$3*D$3</f>
        <v>8565.3053661126305</v>
      </c>
      <c r="E10" s="10">
        <v>0.75</v>
      </c>
      <c r="F10" s="9">
        <f>(637+485)/2</f>
        <v>561</v>
      </c>
      <c r="G10" s="10">
        <v>0.66</v>
      </c>
      <c r="H10" s="9">
        <f>11929/G10</f>
        <v>18074.242424242424</v>
      </c>
      <c r="I10" s="10">
        <f>(2537/2+13080/4)/K10</f>
        <v>0.56265302959863628</v>
      </c>
      <c r="J10" s="9">
        <f>(3242/2+15350/4)/K10</f>
        <v>0.67670850767085078</v>
      </c>
      <c r="K10" s="10">
        <f>4782/2+22701/4</f>
        <v>8066.25</v>
      </c>
      <c r="L10" s="9">
        <f>(509/2+577/4)/(752/2+925/4)</f>
        <v>0.65664882667764513</v>
      </c>
      <c r="M10" s="9">
        <f>752/2+925/4</f>
        <v>607.25</v>
      </c>
      <c r="N10" s="10">
        <f>(2437/2+13814/4)/P10</f>
        <v>0.57174325399253501</v>
      </c>
      <c r="O10" s="10">
        <f>(3177/2+16195/4)/P10</f>
        <v>0.68986722144037205</v>
      </c>
      <c r="P10" s="9">
        <f>4586/2+23514/4</f>
        <v>8171.5</v>
      </c>
      <c r="Q10" s="9">
        <f>(520/2+524/4)/R10</f>
        <v>0.6303909713825071</v>
      </c>
      <c r="R10" s="9">
        <f>801/2+879/4</f>
        <v>620.25</v>
      </c>
      <c r="S10" s="9">
        <f>(2268/2+13884/4)/U10</f>
        <v>0.55970829535095712</v>
      </c>
      <c r="T10" s="9">
        <f>(2991/2+16632/4)/U10</f>
        <v>0.68714676390154972</v>
      </c>
      <c r="U10" s="9">
        <f>4381/2+24148/4</f>
        <v>8227.5</v>
      </c>
      <c r="V10" s="9">
        <f>(539/2+649/4)/W10</f>
        <v>0.69246190858059342</v>
      </c>
      <c r="W10" s="9">
        <f>777/2+940/4</f>
        <v>623.5</v>
      </c>
      <c r="X10" s="9">
        <f>(2109/2+13696/4)/Z10</f>
        <v>0.54650843527868453</v>
      </c>
      <c r="Y10" s="9">
        <f>(2901/2+16816/4)/Z10</f>
        <v>0.69001494859513712</v>
      </c>
      <c r="Z10" s="9">
        <f>4215/2+24349/4</f>
        <v>8194.75</v>
      </c>
      <c r="AA10" s="9">
        <f>(534/2+717/4)/AB10</f>
        <v>0.78496042216358841</v>
      </c>
      <c r="AB10" s="9">
        <f>679/2+916/4</f>
        <v>568.5</v>
      </c>
      <c r="AC10" s="10">
        <v>0.51300000000000001</v>
      </c>
      <c r="AD10" s="9">
        <f>12448/2/AE10</f>
        <v>0.66975142580436886</v>
      </c>
      <c r="AE10" s="9">
        <f>18586/2</f>
        <v>9293</v>
      </c>
      <c r="AF10" s="10">
        <v>0.79900000000000004</v>
      </c>
      <c r="AG10" s="9">
        <f>1203/2</f>
        <v>601.5</v>
      </c>
      <c r="AH10" s="10">
        <v>0.49399999999999999</v>
      </c>
      <c r="AI10" s="9">
        <f>12589/2/AJ10</f>
        <v>0.66073584212459979</v>
      </c>
      <c r="AJ10" s="9">
        <f>19053/2</f>
        <v>9526.5</v>
      </c>
      <c r="AK10" s="10">
        <v>0.78900000000000003</v>
      </c>
      <c r="AL10" s="9">
        <f>1267/2</f>
        <v>633.5</v>
      </c>
    </row>
    <row r="11" spans="1:38" s="9" customFormat="1" x14ac:dyDescent="0.3">
      <c r="A11" s="8" t="s">
        <v>8</v>
      </c>
      <c r="B11" s="9">
        <v>0.59</v>
      </c>
      <c r="C11" s="9">
        <f>(0.69+0.67)/2</f>
        <v>0.67999999999999994</v>
      </c>
      <c r="D11" s="9">
        <f>K11/K$3*D$3</f>
        <v>12052.750479846449</v>
      </c>
      <c r="E11" s="9">
        <f>(0.75+0.77)/2</f>
        <v>0.76</v>
      </c>
      <c r="F11" s="9">
        <f>(485+257)/2</f>
        <v>371</v>
      </c>
      <c r="G11" s="10">
        <v>0.85</v>
      </c>
      <c r="H11" s="9">
        <f>12469/G11</f>
        <v>14669.411764705883</v>
      </c>
      <c r="I11" s="9">
        <f>(13080/2)/K11</f>
        <v>0.57618607109818953</v>
      </c>
      <c r="J11" s="9">
        <v>0.68</v>
      </c>
      <c r="K11" s="9">
        <f>22701/2</f>
        <v>11350.5</v>
      </c>
      <c r="L11" s="10">
        <v>0.62</v>
      </c>
      <c r="M11" s="9">
        <f>925/2</f>
        <v>462.5</v>
      </c>
      <c r="N11" s="10">
        <v>0.58699999999999997</v>
      </c>
      <c r="O11" s="10">
        <f>16195/2/P11</f>
        <v>0.68873862379858808</v>
      </c>
      <c r="P11" s="9">
        <f>23514/2</f>
        <v>11757</v>
      </c>
      <c r="Q11" s="10">
        <v>0.59599999999999997</v>
      </c>
      <c r="R11" s="9">
        <f>879/2</f>
        <v>439.5</v>
      </c>
      <c r="S11" s="10">
        <v>0.57499999999999996</v>
      </c>
      <c r="T11" s="9">
        <f>16632/2/U11</f>
        <v>0.68875269173430509</v>
      </c>
      <c r="U11" s="9">
        <f>24148/2</f>
        <v>12074</v>
      </c>
      <c r="V11" s="9">
        <f>0.69</f>
        <v>0.69</v>
      </c>
      <c r="W11" s="9">
        <f>940/2</f>
        <v>470</v>
      </c>
      <c r="X11" s="9">
        <f>0.563</f>
        <v>0.56299999999999994</v>
      </c>
      <c r="Y11" s="9">
        <f>16816/2/Z11</f>
        <v>0.69062384492176265</v>
      </c>
      <c r="Z11" s="9">
        <f>24349/2</f>
        <v>12174.5</v>
      </c>
      <c r="AA11" s="9">
        <f>0.783</f>
        <v>0.78300000000000003</v>
      </c>
      <c r="AB11" s="9">
        <f>916/2</f>
        <v>458</v>
      </c>
      <c r="AC11" s="10">
        <v>0.51300000000000001</v>
      </c>
      <c r="AD11" s="9">
        <f>12448/2/AE11</f>
        <v>0.66975142580436886</v>
      </c>
      <c r="AE11" s="9">
        <f>18586/2</f>
        <v>9293</v>
      </c>
      <c r="AF11" s="10">
        <v>0.79900000000000004</v>
      </c>
      <c r="AG11" s="9">
        <f>1203/2</f>
        <v>601.5</v>
      </c>
      <c r="AH11" s="10">
        <v>0.49399999999999999</v>
      </c>
      <c r="AI11" s="9">
        <f>12589/2/AJ11</f>
        <v>0.66073584212459979</v>
      </c>
      <c r="AJ11" s="9">
        <f>19053/2</f>
        <v>9526.5</v>
      </c>
      <c r="AK11" s="10">
        <v>0.78900000000000003</v>
      </c>
      <c r="AL11" s="9">
        <f>1267/2</f>
        <v>633.5</v>
      </c>
    </row>
    <row r="12" spans="1:38" s="9" customFormat="1" x14ac:dyDescent="0.3">
      <c r="A12" s="8" t="s">
        <v>9</v>
      </c>
      <c r="B12" s="9">
        <f>(0.59+0.62)/2</f>
        <v>0.60499999999999998</v>
      </c>
      <c r="C12" s="9">
        <f>(0.67+0.7)/2</f>
        <v>0.68500000000000005</v>
      </c>
      <c r="D12" s="9">
        <f>K12/K$3*D$3</f>
        <v>17391.565177441091</v>
      </c>
      <c r="E12" s="9">
        <f>(0.77+0.74)/2</f>
        <v>0.755</v>
      </c>
      <c r="F12" s="9">
        <f>(257+140)/2</f>
        <v>198.5</v>
      </c>
      <c r="G12" s="10">
        <v>0.94</v>
      </c>
      <c r="H12" s="9">
        <f>16936/G12</f>
        <v>18017.021276595744</v>
      </c>
      <c r="I12" s="10">
        <f>(15172/4+14962/2)/K12</f>
        <v>0.68835193015126772</v>
      </c>
      <c r="J12" s="9">
        <f>(15350/4+15199/2)/K12</f>
        <v>0.69830415337413954</v>
      </c>
      <c r="K12" s="10">
        <f>22701/4+21406/2</f>
        <v>16378.25</v>
      </c>
      <c r="L12" s="9">
        <f>(577/4+151/2)/M12</f>
        <v>0.60914760914760913</v>
      </c>
      <c r="M12" s="9">
        <f>925/4+259/2</f>
        <v>360.75</v>
      </c>
      <c r="N12" s="9">
        <f>(13814/4+13369/2)/P12</f>
        <v>0.62593770259006576</v>
      </c>
      <c r="O12" s="10">
        <f>(16195/4+14705/2)/P12</f>
        <v>0.70393294847652266</v>
      </c>
      <c r="P12" s="9">
        <f>23514/4+20636/2</f>
        <v>16196.5</v>
      </c>
      <c r="Q12" s="9">
        <f>(524/4+169/2)/R12</f>
        <v>0.6143977191732003</v>
      </c>
      <c r="R12" s="9">
        <f>879/4+262/2</f>
        <v>350.75</v>
      </c>
      <c r="S12" s="9">
        <f>(13884/4+12356/2)/U12</f>
        <v>0.61878346747042035</v>
      </c>
      <c r="T12" s="9">
        <f>(16632/4+13752/2)/U12</f>
        <v>0.70760252669381474</v>
      </c>
      <c r="U12" s="9">
        <f>24148/4+19113/2</f>
        <v>15593.5</v>
      </c>
      <c r="V12" s="9">
        <f>(649/4+184/2)/W12</f>
        <v>0.70137931034482759</v>
      </c>
      <c r="W12" s="9">
        <f>940/4+255/2</f>
        <v>362.5</v>
      </c>
      <c r="X12" s="9">
        <f>(13696/4+10971/2)/Z12</f>
        <v>0.60472061493560481</v>
      </c>
      <c r="Y12" s="9">
        <f>(16816/4+12376/2)/Z12</f>
        <v>0.70534335601445708</v>
      </c>
      <c r="Z12" s="9">
        <f>24349/4+17292/2</f>
        <v>14733.25</v>
      </c>
      <c r="AA12" s="9">
        <f>(717/4+198/2)/AB12</f>
        <v>0.78712871287128716</v>
      </c>
      <c r="AB12" s="9">
        <f>916/4+249/2</f>
        <v>353.5</v>
      </c>
      <c r="AC12" s="10">
        <v>0.58299999999999996</v>
      </c>
      <c r="AD12" s="9">
        <f>14636/2/AE12</f>
        <v>0.68469311377245512</v>
      </c>
      <c r="AE12" s="9">
        <f>21376/2</f>
        <v>10688</v>
      </c>
      <c r="AF12" s="10">
        <v>0.85199999999999998</v>
      </c>
      <c r="AG12" s="9">
        <f>418/2</f>
        <v>209</v>
      </c>
      <c r="AH12" s="10">
        <v>0.56000000000000005</v>
      </c>
      <c r="AI12" s="9">
        <f>13644/2/AJ12</f>
        <v>0.66931567328918318</v>
      </c>
      <c r="AJ12" s="9">
        <f>20385/2</f>
        <v>10192.5</v>
      </c>
      <c r="AK12" s="10">
        <v>0.83799999999999997</v>
      </c>
      <c r="AL12" s="9">
        <f>488/2</f>
        <v>244</v>
      </c>
    </row>
    <row r="13" spans="1:38" s="3" customFormat="1" x14ac:dyDescent="0.3">
      <c r="A13" s="2" t="s">
        <v>10</v>
      </c>
      <c r="B13" s="3">
        <f>(0.62+0.63)/2</f>
        <v>0.625</v>
      </c>
      <c r="C13" s="3">
        <f>(0.7+0.69)/2</f>
        <v>0.69499999999999995</v>
      </c>
      <c r="D13" s="9">
        <f>K13/K$3*D$3</f>
        <v>11365.189937517865</v>
      </c>
      <c r="E13" s="3">
        <f>(0.74+0.7)/2</f>
        <v>0.72</v>
      </c>
      <c r="F13" s="3">
        <f>140/2+77</f>
        <v>147</v>
      </c>
      <c r="G13" s="9"/>
      <c r="H13" s="9"/>
      <c r="I13" s="3">
        <v>0.65</v>
      </c>
      <c r="J13" s="3">
        <v>0.71</v>
      </c>
      <c r="K13" s="3">
        <f>21406/2</f>
        <v>10703</v>
      </c>
      <c r="L13" s="3">
        <v>0.57999999999999996</v>
      </c>
      <c r="M13" s="3">
        <f>259/2</f>
        <v>129.5</v>
      </c>
      <c r="N13" s="3">
        <v>0.64800000000000002</v>
      </c>
      <c r="O13" s="3">
        <f>14705/2/P13</f>
        <v>0.71258964915681333</v>
      </c>
      <c r="P13" s="3">
        <f>20636/2</f>
        <v>10318</v>
      </c>
      <c r="Q13" s="3">
        <f>0.645</f>
        <v>0.64500000000000002</v>
      </c>
      <c r="R13" s="3">
        <f>262/2</f>
        <v>131</v>
      </c>
      <c r="S13" s="3">
        <v>0.64600000000000002</v>
      </c>
      <c r="T13" s="3">
        <f>13752/2/U13</f>
        <v>0.71951028096060277</v>
      </c>
      <c r="U13" s="3">
        <f>19113/2</f>
        <v>9556.5</v>
      </c>
      <c r="V13" s="3">
        <v>0.72199999999999998</v>
      </c>
      <c r="W13" s="3">
        <f>255/2</f>
        <v>127.5</v>
      </c>
      <c r="X13" s="3">
        <v>0.63500000000000001</v>
      </c>
      <c r="Y13" s="3">
        <f>12376/2/Z13</f>
        <v>0.71570668517233405</v>
      </c>
      <c r="Z13" s="3">
        <f>17292/2</f>
        <v>8646</v>
      </c>
      <c r="AA13" s="3">
        <f>0.795</f>
        <v>0.79500000000000004</v>
      </c>
      <c r="AB13" s="3">
        <f>249/2</f>
        <v>124.5</v>
      </c>
      <c r="AC13" s="3">
        <f>(954+12454/2)/AE13</f>
        <v>0.58558264698687112</v>
      </c>
      <c r="AD13" s="3">
        <f>(1039+14636/2)/AE13</f>
        <v>0.68148087743619012</v>
      </c>
      <c r="AE13" s="3">
        <f>21376/2+1575</f>
        <v>12263</v>
      </c>
      <c r="AF13" s="3">
        <v>0.85199999999999998</v>
      </c>
      <c r="AG13" s="3">
        <f>418/2+27</f>
        <v>236</v>
      </c>
      <c r="AH13" s="3">
        <f>(817+11413/2)/AJ13</f>
        <v>0.56133029299143833</v>
      </c>
      <c r="AI13" s="3">
        <f>(909+13644/2)/AJ13</f>
        <v>0.66523254313126534</v>
      </c>
      <c r="AJ13" s="3">
        <f>20385/2+1429</f>
        <v>11621.5</v>
      </c>
      <c r="AK13" s="3">
        <f>(26+409/2)/AL13</f>
        <v>0.83818181818181814</v>
      </c>
      <c r="AL13" s="3">
        <f>488/2+31</f>
        <v>275</v>
      </c>
    </row>
    <row r="14" spans="1:38" s="7" customFormat="1" x14ac:dyDescent="0.3">
      <c r="A14" s="6" t="s">
        <v>11</v>
      </c>
      <c r="B14" s="7">
        <v>0.62</v>
      </c>
      <c r="C14" s="7">
        <v>0.7</v>
      </c>
      <c r="D14" s="7">
        <f>K14/K3*D3</f>
        <v>40388.208845509864</v>
      </c>
      <c r="E14" s="7">
        <v>0.76</v>
      </c>
      <c r="F14" s="7">
        <v>1352</v>
      </c>
      <c r="I14" s="7">
        <v>0.62</v>
      </c>
      <c r="J14" s="7">
        <v>0.7</v>
      </c>
      <c r="K14" s="7">
        <v>38035</v>
      </c>
      <c r="L14" s="7">
        <v>0.66</v>
      </c>
      <c r="M14" s="7">
        <v>1633</v>
      </c>
      <c r="N14" s="7">
        <v>0.623</v>
      </c>
      <c r="O14" s="7">
        <f>26628/P14</f>
        <v>0.7070256491954755</v>
      </c>
      <c r="P14" s="7">
        <v>37662</v>
      </c>
      <c r="Q14" s="7">
        <v>0.64700000000000002</v>
      </c>
      <c r="R14" s="7">
        <v>1639</v>
      </c>
      <c r="S14" s="7">
        <v>0.61499999999999999</v>
      </c>
      <c r="T14" s="7">
        <f>26020/U14</f>
        <v>0.70912708145967895</v>
      </c>
      <c r="U14" s="7">
        <v>36693</v>
      </c>
      <c r="V14" s="7">
        <v>0.71199999999999997</v>
      </c>
      <c r="W14" s="7">
        <v>1227</v>
      </c>
      <c r="X14" s="7">
        <v>0.59899999999999998</v>
      </c>
      <c r="Y14" s="7">
        <f>24782/Z14</f>
        <v>0.70567799988609825</v>
      </c>
      <c r="Z14" s="7">
        <v>35118</v>
      </c>
      <c r="AA14" s="7">
        <v>0.79700000000000004</v>
      </c>
      <c r="AB14" s="7">
        <v>1531</v>
      </c>
      <c r="AC14" s="7">
        <v>0.57099999999999995</v>
      </c>
      <c r="AD14" s="7">
        <f>19823/AE14</f>
        <v>0.69342708224017913</v>
      </c>
      <c r="AE14" s="7">
        <v>28587</v>
      </c>
      <c r="AF14" s="7">
        <v>0.83599999999999997</v>
      </c>
      <c r="AG14" s="7">
        <v>1429</v>
      </c>
      <c r="AH14" s="7">
        <v>0.54700000000000004</v>
      </c>
      <c r="AI14" s="7">
        <f>19137/AJ14</f>
        <v>0.68224598930481284</v>
      </c>
      <c r="AJ14" s="7">
        <v>28050</v>
      </c>
      <c r="AK14" s="7">
        <v>0.82499999999999996</v>
      </c>
      <c r="AL14" s="7">
        <v>1410</v>
      </c>
    </row>
    <row r="15" spans="1:38" s="9" customFormat="1" x14ac:dyDescent="0.3">
      <c r="A15" s="8" t="s">
        <v>12</v>
      </c>
      <c r="B15" s="9">
        <v>0.52</v>
      </c>
      <c r="C15" s="9">
        <v>0.61</v>
      </c>
      <c r="D15" s="9">
        <f>K15/K3*D3</f>
        <v>2715.2004737207499</v>
      </c>
      <c r="E15" s="9">
        <v>0.65</v>
      </c>
      <c r="F15" s="10">
        <v>92</v>
      </c>
      <c r="I15" s="10">
        <v>0.5</v>
      </c>
      <c r="J15" s="9">
        <v>0.61</v>
      </c>
      <c r="K15" s="10">
        <v>2557</v>
      </c>
      <c r="L15" s="10">
        <v>0.56999999999999995</v>
      </c>
      <c r="M15" s="9">
        <v>94</v>
      </c>
      <c r="N15" s="10">
        <v>0.51400000000000001</v>
      </c>
      <c r="O15" s="10">
        <f>1632/P15</f>
        <v>0.61724659606656584</v>
      </c>
      <c r="P15" s="10">
        <v>2644</v>
      </c>
      <c r="Q15" s="10">
        <v>0.46899999999999997</v>
      </c>
      <c r="R15" s="9">
        <v>98</v>
      </c>
      <c r="S15" s="10">
        <v>0.49</v>
      </c>
      <c r="T15" s="9">
        <f>1594/U15</f>
        <v>0.60909438288116169</v>
      </c>
      <c r="U15" s="10">
        <v>2617</v>
      </c>
      <c r="V15" s="9">
        <v>0.66700000000000004</v>
      </c>
      <c r="W15" s="9">
        <v>58</v>
      </c>
      <c r="X15" s="10">
        <v>0.49</v>
      </c>
      <c r="Y15" s="9">
        <f>1604/Z15</f>
        <v>0.62242918121847113</v>
      </c>
      <c r="Z15" s="10">
        <v>2577</v>
      </c>
      <c r="AA15" s="9">
        <v>0.77600000000000002</v>
      </c>
      <c r="AB15" s="9">
        <v>91</v>
      </c>
      <c r="AC15" s="10">
        <v>0.46100000000000002</v>
      </c>
      <c r="AD15" s="9">
        <f>1142/AE15</f>
        <v>0.62098966829798807</v>
      </c>
      <c r="AE15" s="10">
        <v>1839</v>
      </c>
      <c r="AF15" s="10">
        <v>0.8</v>
      </c>
      <c r="AG15" s="9">
        <v>40</v>
      </c>
      <c r="AH15" s="10">
        <v>0.44700000000000001</v>
      </c>
      <c r="AI15" s="9">
        <f>1122/AJ15</f>
        <v>0.59427966101694918</v>
      </c>
      <c r="AJ15" s="10">
        <v>1888</v>
      </c>
      <c r="AK15" s="10">
        <v>0.76600000000000001</v>
      </c>
      <c r="AL15" s="9">
        <v>47</v>
      </c>
    </row>
    <row r="16" spans="1:38" s="9" customFormat="1" x14ac:dyDescent="0.3">
      <c r="A16" s="8" t="s">
        <v>13</v>
      </c>
      <c r="B16" s="10">
        <v>0.56999999999999995</v>
      </c>
      <c r="C16" s="9">
        <v>0.7</v>
      </c>
      <c r="D16" s="9">
        <f>K16/K8*D8</f>
        <v>3093.2227866473154</v>
      </c>
      <c r="E16" s="9">
        <v>0.77</v>
      </c>
      <c r="F16" s="10">
        <v>57</v>
      </c>
      <c r="I16" s="10">
        <v>0.55000000000000004</v>
      </c>
      <c r="J16" s="9">
        <v>0.71</v>
      </c>
      <c r="K16" s="10">
        <v>2924</v>
      </c>
      <c r="L16" s="10">
        <v>0.54</v>
      </c>
      <c r="M16" s="9">
        <v>52</v>
      </c>
      <c r="N16" s="10">
        <v>0.55200000000000005</v>
      </c>
      <c r="O16" s="10">
        <f>2153/P16</f>
        <v>0.71079564212611424</v>
      </c>
      <c r="P16" s="10">
        <v>3029</v>
      </c>
      <c r="Q16" s="10">
        <v>0.60399999999999998</v>
      </c>
      <c r="R16" s="10">
        <v>53</v>
      </c>
      <c r="S16" s="10">
        <v>0.54300000000000004</v>
      </c>
      <c r="T16" s="9">
        <f>2184/U16</f>
        <v>0.71419228253760625</v>
      </c>
      <c r="U16" s="10">
        <v>3058</v>
      </c>
      <c r="V16" s="10">
        <v>0.61</v>
      </c>
      <c r="W16" s="9">
        <v>42</v>
      </c>
      <c r="X16" s="10">
        <v>0.53500000000000003</v>
      </c>
      <c r="Y16" s="9">
        <f>2212/Z16</f>
        <v>0.72572178477690286</v>
      </c>
      <c r="Z16" s="10">
        <v>3048</v>
      </c>
      <c r="AA16" s="9">
        <v>0.73</v>
      </c>
      <c r="AB16" s="9">
        <v>48</v>
      </c>
      <c r="AC16" s="10">
        <v>0.52800000000000002</v>
      </c>
      <c r="AD16" s="9">
        <f>1968/AE16</f>
        <v>0.72140762463343111</v>
      </c>
      <c r="AE16" s="10">
        <v>2728</v>
      </c>
      <c r="AF16" s="10">
        <v>0.72699999999999998</v>
      </c>
      <c r="AG16" s="9">
        <v>55</v>
      </c>
      <c r="AH16" s="10">
        <v>0.497</v>
      </c>
      <c r="AI16" s="9">
        <f>1953/AJ16</f>
        <v>0.6896186440677966</v>
      </c>
      <c r="AJ16" s="10">
        <v>2832</v>
      </c>
      <c r="AK16" s="10">
        <v>0.65</v>
      </c>
      <c r="AL16" s="9">
        <v>60</v>
      </c>
    </row>
    <row r="17" spans="1:38" s="3" customFormat="1" x14ac:dyDescent="0.3">
      <c r="A17" s="2" t="s">
        <v>14</v>
      </c>
      <c r="B17" s="3">
        <v>0.6</v>
      </c>
      <c r="C17" s="3">
        <v>0.67</v>
      </c>
      <c r="D17" s="3">
        <f>K17/K3*D3</f>
        <v>5361.3794258177813</v>
      </c>
      <c r="E17" s="3">
        <v>0.66</v>
      </c>
      <c r="F17" s="3">
        <v>157</v>
      </c>
      <c r="I17" s="3">
        <v>0.57999999999999996</v>
      </c>
      <c r="J17" s="3">
        <v>0.66</v>
      </c>
      <c r="K17" s="3">
        <v>5049</v>
      </c>
      <c r="L17" s="3">
        <v>0.55000000000000004</v>
      </c>
      <c r="M17" s="3">
        <v>169</v>
      </c>
      <c r="N17" s="3">
        <v>0.58399999999999996</v>
      </c>
      <c r="O17" s="3">
        <f>3424/P17</f>
        <v>0.67401574803149611</v>
      </c>
      <c r="P17" s="3">
        <v>5080</v>
      </c>
      <c r="Q17" s="3">
        <v>0.497</v>
      </c>
      <c r="R17" s="3">
        <v>157</v>
      </c>
      <c r="S17" s="3">
        <v>0.57099999999999995</v>
      </c>
      <c r="T17" s="3">
        <f>3327/U17</f>
        <v>0.6704957678355502</v>
      </c>
      <c r="U17" s="3">
        <v>4962</v>
      </c>
      <c r="V17" s="3">
        <v>0.55200000000000005</v>
      </c>
      <c r="W17" s="3">
        <v>125</v>
      </c>
      <c r="X17" s="3">
        <v>0.56100000000000005</v>
      </c>
      <c r="Y17" s="3">
        <f>3268/Z17</f>
        <v>0.67871235721703016</v>
      </c>
      <c r="Z17" s="3">
        <v>4815</v>
      </c>
      <c r="AA17" s="3">
        <v>0.70899999999999996</v>
      </c>
      <c r="AB17" s="3">
        <v>174</v>
      </c>
      <c r="AC17" s="3">
        <v>0.56200000000000006</v>
      </c>
      <c r="AD17" s="3">
        <f>1985/AE17</f>
        <v>0.70315267445979457</v>
      </c>
      <c r="AE17" s="3">
        <v>2823</v>
      </c>
      <c r="AF17" s="3">
        <v>0.84299999999999997</v>
      </c>
      <c r="AG17" s="3">
        <v>70</v>
      </c>
      <c r="AH17" s="3">
        <v>0.52300000000000002</v>
      </c>
      <c r="AI17" s="3">
        <f>1920/AJ17</f>
        <v>0.67039106145251393</v>
      </c>
      <c r="AJ17" s="3">
        <v>2864</v>
      </c>
      <c r="AK17" s="3">
        <v>0.78700000000000003</v>
      </c>
      <c r="AL17" s="3">
        <v>75</v>
      </c>
    </row>
    <row r="18" spans="1:38" x14ac:dyDescent="0.3">
      <c r="A18" s="1" t="s">
        <v>20</v>
      </c>
      <c r="E18" s="10">
        <v>1</v>
      </c>
      <c r="L18" s="10">
        <v>1</v>
      </c>
      <c r="Q18">
        <v>1</v>
      </c>
      <c r="V18">
        <v>1</v>
      </c>
      <c r="AA18">
        <v>3</v>
      </c>
      <c r="AF18">
        <v>3</v>
      </c>
      <c r="AK18">
        <v>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9" sqref="G8:G9"/>
    </sheetView>
  </sheetViews>
  <sheetFormatPr defaultRowHeight="14.4" x14ac:dyDescent="0.3"/>
  <cols>
    <col min="1" max="1" width="8.88671875" style="1"/>
  </cols>
  <sheetData>
    <row r="1" spans="1:2" s="1" customFormat="1" x14ac:dyDescent="0.3">
      <c r="A1" s="1" t="s">
        <v>24</v>
      </c>
      <c r="B1" s="1" t="s">
        <v>25</v>
      </c>
    </row>
    <row r="2" spans="1:2" x14ac:dyDescent="0.3">
      <c r="A2" s="1">
        <v>2010</v>
      </c>
      <c r="B2">
        <v>0.86</v>
      </c>
    </row>
    <row r="3" spans="1:2" x14ac:dyDescent="0.3">
      <c r="A3" s="1">
        <v>2011</v>
      </c>
      <c r="B3">
        <v>0.87</v>
      </c>
    </row>
    <row r="4" spans="1:2" x14ac:dyDescent="0.3">
      <c r="A4" s="1">
        <v>2012</v>
      </c>
      <c r="B4">
        <v>0.87</v>
      </c>
    </row>
    <row r="5" spans="1:2" x14ac:dyDescent="0.3">
      <c r="A5" s="1">
        <v>2013</v>
      </c>
      <c r="B5">
        <v>0.88</v>
      </c>
    </row>
    <row r="6" spans="1:2" x14ac:dyDescent="0.3">
      <c r="A6" s="1">
        <v>2014</v>
      </c>
      <c r="B6">
        <v>0.88</v>
      </c>
    </row>
    <row r="7" spans="1:2" x14ac:dyDescent="0.3">
      <c r="A7" s="1">
        <v>2015</v>
      </c>
      <c r="B7">
        <v>0.88</v>
      </c>
    </row>
    <row r="8" spans="1:2" x14ac:dyDescent="0.3">
      <c r="A8" s="1">
        <v>2016</v>
      </c>
      <c r="B8">
        <v>0.89</v>
      </c>
    </row>
    <row r="9" spans="1:2" x14ac:dyDescent="0.3">
      <c r="A9" s="1">
        <v>2017</v>
      </c>
      <c r="B9">
        <v>0.89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2" sqref="A2"/>
    </sheetView>
  </sheetViews>
  <sheetFormatPr defaultRowHeight="14.4" x14ac:dyDescent="0.3"/>
  <cols>
    <col min="1" max="1" width="12.6640625" customWidth="1"/>
  </cols>
  <sheetData>
    <row r="1" spans="1:1" x14ac:dyDescent="0.3">
      <c r="A1" t="s">
        <v>26</v>
      </c>
    </row>
    <row r="2" spans="1:1" x14ac:dyDescent="0.3">
      <c r="A2" t="s">
        <v>21</v>
      </c>
    </row>
    <row r="8" spans="1:1" x14ac:dyDescent="0.3">
      <c r="A8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Stratified_Data</vt:lpstr>
      <vt:lpstr>Total_Data</vt:lpstr>
      <vt:lpstr>Comments</vt:lpstr>
    </vt:vector>
  </TitlesOfParts>
  <Company>Johns Hopkins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2020-05-23T13:38:33Z</dcterms:created>
  <dcterms:modified xsi:type="dcterms:W3CDTF">2020-06-05T18:29:57Z</dcterms:modified>
</cp:coreProperties>
</file>