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2"/>
  </bookViews>
  <sheets>
    <sheet name="Lower Limb Strength Indices" sheetId="3" r:id="rId1"/>
    <sheet name="Repetitions" sheetId="2" r:id="rId2"/>
    <sheet name="SPSS Output Dat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<sst xmlns="http://schemas.openxmlformats.org/spreadsheetml/2006/main" count="211" uniqueCount="82">
  <si>
    <t>Basic Information</t>
  </si>
  <si>
    <t>Squat 1RM</t>
  </si>
  <si>
    <t>Vertical jump height（cm)</t>
  </si>
  <si>
    <r>
      <t>30-Meter Sprint</t>
    </r>
    <r>
      <rPr>
        <sz val="14"/>
        <color theme="1"/>
        <rFont val="宋体"/>
        <charset val="134"/>
      </rPr>
      <t>（</t>
    </r>
    <r>
      <rPr>
        <sz val="14"/>
        <color theme="1"/>
        <rFont val="Times New Roman"/>
        <charset val="134"/>
      </rPr>
      <t>s</t>
    </r>
    <r>
      <rPr>
        <sz val="14"/>
        <color theme="1"/>
        <rFont val="宋体"/>
        <charset val="134"/>
      </rPr>
      <t>）</t>
    </r>
  </si>
  <si>
    <t>N</t>
  </si>
  <si>
    <t>Group</t>
  </si>
  <si>
    <t>Body Mass (kg)</t>
  </si>
  <si>
    <t>Height (cm)</t>
  </si>
  <si>
    <t>Test time</t>
  </si>
  <si>
    <t>Squat</t>
  </si>
  <si>
    <t>CMJ</t>
  </si>
  <si>
    <t>SJ</t>
  </si>
  <si>
    <t>30-Meter</t>
  </si>
  <si>
    <t>2/0/X/0</t>
  </si>
  <si>
    <t>T1</t>
  </si>
  <si>
    <t>T2</t>
  </si>
  <si>
    <t>Average Value</t>
  </si>
  <si>
    <t>T1: Average Value±Standard Deviation</t>
  </si>
  <si>
    <t>131±9.66</t>
  </si>
  <si>
    <t>45.75±4.62</t>
  </si>
  <si>
    <t>45.95±5.65</t>
  </si>
  <si>
    <t>4.44±0.18</t>
  </si>
  <si>
    <t>Standard Deviation</t>
  </si>
  <si>
    <t>T2: Average Value±Standard Deviation</t>
  </si>
  <si>
    <t>143.5±7.47</t>
  </si>
  <si>
    <t>50.95±5.06</t>
  </si>
  <si>
    <t>51.39±4.21</t>
  </si>
  <si>
    <t>4.32±0.13</t>
  </si>
  <si>
    <t>4/0/X/0</t>
  </si>
  <si>
    <t>134.5±13.63</t>
  </si>
  <si>
    <t>48.04±5.93</t>
  </si>
  <si>
    <t>46.09±6.58</t>
  </si>
  <si>
    <t>4.41±0.18</t>
  </si>
  <si>
    <t>143±12.74</t>
  </si>
  <si>
    <t>43.32±4.42</t>
  </si>
  <si>
    <t>41.44±4.38</t>
  </si>
  <si>
    <t>4.53±0.20</t>
  </si>
  <si>
    <t>V/V/V/V</t>
  </si>
  <si>
    <t xml:space="preserve"> </t>
  </si>
  <si>
    <t>132±10.06</t>
  </si>
  <si>
    <t>43.88±3.44</t>
  </si>
  <si>
    <t>45.92±5.47</t>
  </si>
  <si>
    <t>4.36±0.23</t>
  </si>
  <si>
    <t>140.5±8.64</t>
  </si>
  <si>
    <t>44.71±1.78</t>
  </si>
  <si>
    <t>47.06±3.06</t>
  </si>
  <si>
    <t>4.39±0.15</t>
  </si>
  <si>
    <t>Number</t>
  </si>
  <si>
    <t>Squat 1RM(pre)</t>
  </si>
  <si>
    <t>Weight(70%1RM)</t>
  </si>
  <si>
    <t>Body weight</t>
  </si>
  <si>
    <t>Training Course 1 (actual repetition)</t>
  </si>
  <si>
    <t>Training Course 2 (actual repetition)</t>
  </si>
  <si>
    <t>Training Course 3 (actual repetition)</t>
  </si>
  <si>
    <r>
      <rPr>
        <b/>
        <sz val="12"/>
        <color rgb="FFFF0000"/>
        <rFont val="Times New Roman"/>
        <charset val="134"/>
      </rPr>
      <t>Increase the load(Kg</t>
    </r>
    <r>
      <rPr>
        <sz val="12"/>
        <color theme="1"/>
        <rFont val="宋体"/>
        <charset val="134"/>
      </rPr>
      <t>）</t>
    </r>
  </si>
  <si>
    <t>Training Course 4 (actual repetition)</t>
  </si>
  <si>
    <t>Training Course 5 (actual repetition)</t>
  </si>
  <si>
    <t>Training Course 6 (actual repetition)</t>
  </si>
  <si>
    <t>Training Course 7 (actual repetition)</t>
  </si>
  <si>
    <r>
      <rPr>
        <sz val="12"/>
        <color theme="1"/>
        <rFont val="Times New Roman"/>
        <charset val="134"/>
      </rPr>
      <t xml:space="preserve">Training Course 8 (actual repetition) </t>
    </r>
    <r>
      <rPr>
        <sz val="12"/>
        <color rgb="FFFF0000"/>
        <rFont val="Times New Roman"/>
        <charset val="134"/>
      </rPr>
      <t>Fourth week</t>
    </r>
  </si>
  <si>
    <t>Training Course 9 (actual repetition)</t>
  </si>
  <si>
    <t>Training Course 10 (actual repetition)</t>
  </si>
  <si>
    <t>Training Course 11 (actual repetition)</t>
  </si>
  <si>
    <t>Training Course 12 (actual repetition)</t>
  </si>
  <si>
    <t>Training Course 13 (actual repetition)</t>
  </si>
  <si>
    <t>Training Course 14 (actual repetition)</t>
  </si>
  <si>
    <t>Training Course 15 (actual repetition)</t>
  </si>
  <si>
    <r>
      <rPr>
        <b/>
        <sz val="12"/>
        <color rgb="FFFF0000"/>
        <rFont val="Times New Roman"/>
        <charset val="134"/>
      </rPr>
      <t>Increase the load(Kg</t>
    </r>
    <r>
      <rPr>
        <b/>
        <sz val="12"/>
        <color rgb="FFFF0000"/>
        <rFont val="宋体"/>
        <charset val="134"/>
      </rPr>
      <t>）</t>
    </r>
  </si>
  <si>
    <t>Training Course 16 (actual repetition)</t>
  </si>
  <si>
    <t>Total number of repetitions (per person)</t>
  </si>
  <si>
    <t>TUT-E</t>
  </si>
  <si>
    <t>8-Week Total Barbell Weight Gain</t>
  </si>
  <si>
    <t>Group1 total number of repetitions</t>
  </si>
  <si>
    <t>Mean±standard deviation</t>
  </si>
  <si>
    <t>105.5±7.53</t>
  </si>
  <si>
    <t>Mean±standard deviation(Repetitions)</t>
  </si>
  <si>
    <t>Group2 total number of repetitions</t>
  </si>
  <si>
    <t>103.5±9.14</t>
  </si>
  <si>
    <t>1:2/0/X/0
2:4/0/X/0
3:V/V/X/V</t>
  </si>
  <si>
    <t>CMJ height</t>
  </si>
  <si>
    <t>SJ height</t>
  </si>
  <si>
    <t>30-Meter Sprint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</si>
</sst>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4">
    <font>
      <sz val="11"/>
      <color theme="1"/>
      <name val="宋体"/>
      <charset val="134"/>
      <scheme val="minor"/>
    </font>
    <font>
      <b/>
      <sz val="36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theme="1"/>
      <name val="Times New Roman"/>
      <charset val="134"/>
    </font>
    <font>
      <b/>
      <i/>
      <u/>
      <sz val="12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b/>
      <i/>
      <u/>
      <sz val="12"/>
      <color rgb="FFFF0000"/>
      <name val="Times New Roman"/>
      <charset val="134"/>
    </font>
    <font>
      <b/>
      <sz val="14"/>
      <color theme="8"/>
      <name val="Times New Roman"/>
      <charset val="134"/>
    </font>
    <font>
      <b/>
      <sz val="16"/>
      <color theme="8"/>
      <name val="宋体"/>
      <charset val="134"/>
      <scheme val="minor"/>
    </font>
    <font>
      <b/>
      <sz val="11"/>
      <color rgb="FFFF0000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rgb="FFFF0000"/>
      <name val="宋体"/>
      <charset val="134"/>
      <scheme val="minor"/>
    </font>
    <font>
      <sz val="14"/>
      <color theme="1"/>
      <name val="Times New Roman"/>
      <charset val="134"/>
    </font>
    <font>
      <sz val="14"/>
      <color theme="1"/>
      <name val="宋体"/>
      <charset val="134"/>
      <scheme val="minor"/>
    </font>
    <font>
      <b/>
      <sz val="14"/>
      <color rgb="FFFF0000"/>
      <name val="Times New Roman"/>
      <charset val="134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Times New Roman"/>
      <charset val="134"/>
    </font>
    <font>
      <b/>
      <sz val="12"/>
      <color rgb="FFFF0000"/>
      <name val="宋体"/>
      <charset val="134"/>
    </font>
    <font>
      <sz val="14"/>
      <color theme="1"/>
      <name val="宋体"/>
      <charset val="134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9" applyNumberFormat="0" applyAlignment="0" applyProtection="0">
      <alignment vertical="center"/>
    </xf>
    <xf numFmtId="0" fontId="30" fillId="7" borderId="20" applyNumberFormat="0" applyAlignment="0" applyProtection="0">
      <alignment vertical="center"/>
    </xf>
    <xf numFmtId="0" fontId="31" fillId="7" borderId="19" applyNumberFormat="0" applyAlignment="0" applyProtection="0">
      <alignment vertical="center"/>
    </xf>
    <xf numFmtId="0" fontId="32" fillId="8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0" fillId="0" borderId="0" xfId="0" applyNumberForma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0" xfId="0" applyFont="1" applyBorder="1" applyAlignment="1">
      <alignment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76" fontId="20" fillId="0" borderId="3" xfId="0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176" fontId="20" fillId="0" borderId="14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</xdr:row>
      <xdr:rowOff>6350</xdr:rowOff>
    </xdr:from>
    <xdr:to>
      <xdr:col>9</xdr:col>
      <xdr:colOff>480695</xdr:colOff>
      <xdr:row>17</xdr:row>
      <xdr:rowOff>35560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39750"/>
          <a:ext cx="5966460" cy="287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427355</xdr:colOff>
      <xdr:row>1</xdr:row>
      <xdr:rowOff>23495</xdr:rowOff>
    </xdr:from>
    <xdr:to>
      <xdr:col>19</xdr:col>
      <xdr:colOff>84455</xdr:colOff>
      <xdr:row>12</xdr:row>
      <xdr:rowOff>36195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13755" y="556895"/>
          <a:ext cx="5753100" cy="196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583565</xdr:colOff>
      <xdr:row>1</xdr:row>
      <xdr:rowOff>1905</xdr:rowOff>
    </xdr:from>
    <xdr:to>
      <xdr:col>28</xdr:col>
      <xdr:colOff>554355</xdr:colOff>
      <xdr:row>21</xdr:row>
      <xdr:rowOff>50165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556365" y="535305"/>
          <a:ext cx="6879590" cy="360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571500</xdr:colOff>
      <xdr:row>1</xdr:row>
      <xdr:rowOff>6350</xdr:rowOff>
    </xdr:from>
    <xdr:to>
      <xdr:col>40</xdr:col>
      <xdr:colOff>292100</xdr:colOff>
      <xdr:row>19</xdr:row>
      <xdr:rowOff>44450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453100" y="539750"/>
          <a:ext cx="7035800" cy="323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24</xdr:row>
      <xdr:rowOff>20955</xdr:rowOff>
    </xdr:from>
    <xdr:to>
      <xdr:col>9</xdr:col>
      <xdr:colOff>473710</xdr:colOff>
      <xdr:row>40</xdr:row>
      <xdr:rowOff>120015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5405755"/>
          <a:ext cx="5959475" cy="294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391795</xdr:colOff>
      <xdr:row>24</xdr:row>
      <xdr:rowOff>5080</xdr:rowOff>
    </xdr:from>
    <xdr:to>
      <xdr:col>18</xdr:col>
      <xdr:colOff>379095</xdr:colOff>
      <xdr:row>34</xdr:row>
      <xdr:rowOff>100330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878195" y="5389880"/>
          <a:ext cx="5473700" cy="187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375285</xdr:colOff>
      <xdr:row>24</xdr:row>
      <xdr:rowOff>18415</xdr:rowOff>
    </xdr:from>
    <xdr:to>
      <xdr:col>28</xdr:col>
      <xdr:colOff>453390</xdr:colOff>
      <xdr:row>46</xdr:row>
      <xdr:rowOff>92710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348085" y="5403215"/>
          <a:ext cx="6986905" cy="3985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50</xdr:row>
      <xdr:rowOff>36195</xdr:rowOff>
    </xdr:from>
    <xdr:to>
      <xdr:col>9</xdr:col>
      <xdr:colOff>600710</xdr:colOff>
      <xdr:row>66</xdr:row>
      <xdr:rowOff>178435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0" y="10443845"/>
          <a:ext cx="6080760" cy="298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608965</xdr:colOff>
      <xdr:row>50</xdr:row>
      <xdr:rowOff>43180</xdr:rowOff>
    </xdr:from>
    <xdr:to>
      <xdr:col>19</xdr:col>
      <xdr:colOff>62865</xdr:colOff>
      <xdr:row>60</xdr:row>
      <xdr:rowOff>151130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95365" y="10450830"/>
          <a:ext cx="5549900" cy="188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46990</xdr:colOff>
      <xdr:row>49</xdr:row>
      <xdr:rowOff>157480</xdr:rowOff>
    </xdr:from>
    <xdr:to>
      <xdr:col>29</xdr:col>
      <xdr:colOff>309245</xdr:colOff>
      <xdr:row>73</xdr:row>
      <xdr:rowOff>74295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629390" y="10387330"/>
          <a:ext cx="7171055" cy="418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75</xdr:row>
      <xdr:rowOff>8255</xdr:rowOff>
    </xdr:from>
    <xdr:to>
      <xdr:col>10</xdr:col>
      <xdr:colOff>307975</xdr:colOff>
      <xdr:row>92</xdr:row>
      <xdr:rowOff>147955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5" y="15260955"/>
          <a:ext cx="6403340" cy="316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197485</xdr:colOff>
      <xdr:row>75</xdr:row>
      <xdr:rowOff>34290</xdr:rowOff>
    </xdr:from>
    <xdr:to>
      <xdr:col>19</xdr:col>
      <xdr:colOff>292735</xdr:colOff>
      <xdr:row>85</xdr:row>
      <xdr:rowOff>53340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93485" y="15286990"/>
          <a:ext cx="5581650" cy="179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269240</xdr:colOff>
      <xdr:row>74</xdr:row>
      <xdr:rowOff>506730</xdr:rowOff>
    </xdr:from>
    <xdr:to>
      <xdr:col>40</xdr:col>
      <xdr:colOff>435610</xdr:colOff>
      <xdr:row>92</xdr:row>
      <xdr:rowOff>125095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8760440" y="15181580"/>
          <a:ext cx="6871970" cy="321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285115</xdr:colOff>
      <xdr:row>74</xdr:row>
      <xdr:rowOff>512445</xdr:rowOff>
    </xdr:from>
    <xdr:to>
      <xdr:col>29</xdr:col>
      <xdr:colOff>245110</xdr:colOff>
      <xdr:row>101</xdr:row>
      <xdr:rowOff>41275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867515" y="15187295"/>
          <a:ext cx="6868795" cy="472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361950</xdr:colOff>
      <xdr:row>50</xdr:row>
      <xdr:rowOff>27305</xdr:rowOff>
    </xdr:from>
    <xdr:to>
      <xdr:col>40</xdr:col>
      <xdr:colOff>514350</xdr:colOff>
      <xdr:row>68</xdr:row>
      <xdr:rowOff>103505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853150" y="10434955"/>
          <a:ext cx="6858000" cy="327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508635</xdr:colOff>
      <xdr:row>23</xdr:row>
      <xdr:rowOff>541655</xdr:rowOff>
    </xdr:from>
    <xdr:to>
      <xdr:col>40</xdr:col>
      <xdr:colOff>89535</xdr:colOff>
      <xdr:row>42</xdr:row>
      <xdr:rowOff>135255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390235" y="5380355"/>
          <a:ext cx="6896100" cy="334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"/>
  <sheetViews>
    <sheetView zoomScale="115" zoomScaleNormal="115" workbookViewId="0">
      <pane xSplit="2" ySplit="3" topLeftCell="C56" activePane="bottomRight" state="frozen"/>
      <selection/>
      <selection pane="topRight"/>
      <selection pane="bottomLeft"/>
      <selection pane="bottomRight" activeCell="I1" sqref="I1"/>
    </sheetView>
  </sheetViews>
  <sheetFormatPr defaultColWidth="8.72727272727273" defaultRowHeight="14"/>
  <cols>
    <col min="2" max="2" width="12.1818181818182" customWidth="1"/>
    <col min="3" max="3" width="14" customWidth="1"/>
    <col min="4" max="4" width="16.3636363636364"/>
    <col min="5" max="5" width="20" customWidth="1"/>
    <col min="6" max="6" width="20.0909090909091" customWidth="1"/>
    <col min="7" max="8" width="17" customWidth="1"/>
    <col min="9" max="9" width="19.5636363636364" customWidth="1"/>
  </cols>
  <sheetData>
    <row r="1" ht="52" customHeight="1" spans="1:10">
      <c r="A1" s="47" t="s">
        <v>0</v>
      </c>
      <c r="B1" s="48"/>
      <c r="C1" s="48"/>
      <c r="D1" s="48"/>
      <c r="E1" s="49" t="s">
        <v>1</v>
      </c>
      <c r="F1" s="49"/>
      <c r="G1" s="49" t="s">
        <v>2</v>
      </c>
      <c r="H1" s="49"/>
      <c r="I1" s="50" t="s">
        <v>3</v>
      </c>
      <c r="J1" s="51"/>
    </row>
    <row r="2" ht="28" customHeight="1" spans="1:10">
      <c r="A2" s="52" t="s">
        <v>4</v>
      </c>
      <c r="B2" s="53" t="s">
        <v>5</v>
      </c>
      <c r="C2" s="54" t="s">
        <v>6</v>
      </c>
      <c r="D2" s="54" t="s">
        <v>7</v>
      </c>
      <c r="E2" s="55" t="s">
        <v>8</v>
      </c>
      <c r="F2" s="55" t="s">
        <v>9</v>
      </c>
      <c r="G2" s="55" t="s">
        <v>10</v>
      </c>
      <c r="H2" s="55" t="s">
        <v>11</v>
      </c>
      <c r="I2" s="56" t="s">
        <v>12</v>
      </c>
    </row>
    <row r="3" spans="1:10">
      <c r="A3" s="52"/>
      <c r="B3" s="53"/>
      <c r="C3" s="54"/>
      <c r="D3" s="54"/>
      <c r="E3" s="55"/>
      <c r="F3" s="57"/>
      <c r="G3" s="57"/>
      <c r="H3" s="57"/>
      <c r="I3" s="56"/>
    </row>
    <row r="4" ht="18" spans="1:10">
      <c r="A4" s="58">
        <v>1</v>
      </c>
      <c r="B4" s="59" t="s">
        <v>13</v>
      </c>
      <c r="C4" s="59">
        <v>70</v>
      </c>
      <c r="D4" s="59">
        <v>178</v>
      </c>
      <c r="E4" s="60" t="s">
        <v>14</v>
      </c>
      <c r="F4" s="61">
        <v>120</v>
      </c>
      <c r="G4" s="62">
        <v>49.15</v>
      </c>
      <c r="H4" s="61">
        <v>53.698</v>
      </c>
      <c r="I4" s="63">
        <v>4.54</v>
      </c>
    </row>
    <row r="5" ht="18" spans="1:10">
      <c r="A5" s="58"/>
      <c r="B5" s="59"/>
      <c r="C5" s="59"/>
      <c r="D5" s="59"/>
      <c r="E5" s="60" t="s">
        <v>15</v>
      </c>
      <c r="F5" s="61">
        <v>145</v>
      </c>
      <c r="G5" s="62">
        <v>54.25</v>
      </c>
      <c r="H5" s="61">
        <v>55.69</v>
      </c>
      <c r="I5" s="63">
        <v>4.4</v>
      </c>
    </row>
    <row r="6" ht="18" spans="1:10">
      <c r="A6" s="58">
        <v>2</v>
      </c>
      <c r="B6" s="59" t="s">
        <v>13</v>
      </c>
      <c r="C6" s="59">
        <v>75</v>
      </c>
      <c r="D6" s="59">
        <v>181</v>
      </c>
      <c r="E6" s="60" t="s">
        <v>14</v>
      </c>
      <c r="F6" s="61">
        <v>140</v>
      </c>
      <c r="G6" s="62">
        <v>36.44</v>
      </c>
      <c r="H6" s="61">
        <v>40.22</v>
      </c>
      <c r="I6" s="63">
        <v>4.65</v>
      </c>
    </row>
    <row r="7" ht="18" spans="1:10">
      <c r="A7" s="58"/>
      <c r="B7" s="59"/>
      <c r="C7" s="59"/>
      <c r="D7" s="59"/>
      <c r="E7" s="60" t="s">
        <v>15</v>
      </c>
      <c r="F7" s="61">
        <v>150</v>
      </c>
      <c r="G7" s="62">
        <v>41.25</v>
      </c>
      <c r="H7" s="61">
        <v>47.22</v>
      </c>
      <c r="I7" s="63">
        <v>4.45</v>
      </c>
    </row>
    <row r="8" ht="18" spans="1:10">
      <c r="A8" s="58">
        <v>3</v>
      </c>
      <c r="B8" s="59" t="s">
        <v>13</v>
      </c>
      <c r="C8" s="59">
        <v>76</v>
      </c>
      <c r="D8" s="59">
        <v>179</v>
      </c>
      <c r="E8" s="60" t="s">
        <v>14</v>
      </c>
      <c r="F8" s="61">
        <v>130</v>
      </c>
      <c r="G8" s="62">
        <v>44.28</v>
      </c>
      <c r="H8" s="61">
        <v>48.69</v>
      </c>
      <c r="I8" s="63">
        <v>4.32</v>
      </c>
    </row>
    <row r="9" ht="18" spans="1:10">
      <c r="A9" s="58"/>
      <c r="B9" s="59"/>
      <c r="C9" s="59"/>
      <c r="D9" s="59"/>
      <c r="E9" s="60" t="s">
        <v>15</v>
      </c>
      <c r="F9" s="61">
        <v>145</v>
      </c>
      <c r="G9" s="62">
        <v>49.58</v>
      </c>
      <c r="H9" s="61">
        <v>52.66</v>
      </c>
      <c r="I9" s="63">
        <v>4.25</v>
      </c>
    </row>
    <row r="10" ht="18" spans="1:10">
      <c r="A10" s="58">
        <v>4</v>
      </c>
      <c r="B10" s="59" t="s">
        <v>13</v>
      </c>
      <c r="C10" s="59">
        <v>72</v>
      </c>
      <c r="D10" s="59">
        <v>182</v>
      </c>
      <c r="E10" s="60" t="s">
        <v>14</v>
      </c>
      <c r="F10" s="61">
        <v>150</v>
      </c>
      <c r="G10" s="62">
        <v>48.22</v>
      </c>
      <c r="H10" s="61">
        <v>39.66</v>
      </c>
      <c r="I10" s="63">
        <v>4.1</v>
      </c>
    </row>
    <row r="11" ht="18" spans="1:10">
      <c r="A11" s="58"/>
      <c r="B11" s="59"/>
      <c r="C11" s="59"/>
      <c r="D11" s="59"/>
      <c r="E11" s="60" t="s">
        <v>15</v>
      </c>
      <c r="F11" s="61">
        <v>160</v>
      </c>
      <c r="G11" s="62">
        <v>55.36</v>
      </c>
      <c r="H11" s="61">
        <v>45.95</v>
      </c>
      <c r="I11" s="63">
        <v>4.21</v>
      </c>
    </row>
    <row r="12" ht="18" spans="1:10">
      <c r="A12" s="58">
        <v>5</v>
      </c>
      <c r="B12" s="59" t="s">
        <v>13</v>
      </c>
      <c r="C12" s="59">
        <v>78</v>
      </c>
      <c r="D12" s="59">
        <v>180</v>
      </c>
      <c r="E12" s="60" t="s">
        <v>14</v>
      </c>
      <c r="F12" s="61">
        <v>125</v>
      </c>
      <c r="G12" s="62">
        <v>48.53</v>
      </c>
      <c r="H12" s="61">
        <v>49.63</v>
      </c>
      <c r="I12" s="63">
        <v>4.57</v>
      </c>
    </row>
    <row r="13" ht="18" spans="1:10">
      <c r="A13" s="58"/>
      <c r="B13" s="59"/>
      <c r="C13" s="59"/>
      <c r="D13" s="59"/>
      <c r="E13" s="60" t="s">
        <v>15</v>
      </c>
      <c r="F13" s="61">
        <v>135</v>
      </c>
      <c r="G13" s="62">
        <v>56.87</v>
      </c>
      <c r="H13" s="61">
        <v>57.52</v>
      </c>
      <c r="I13" s="63">
        <v>4.45</v>
      </c>
    </row>
    <row r="14" ht="18" spans="1:10">
      <c r="A14" s="58">
        <v>6</v>
      </c>
      <c r="B14" s="59" t="s">
        <v>13</v>
      </c>
      <c r="C14" s="59">
        <v>80</v>
      </c>
      <c r="D14" s="59">
        <v>181</v>
      </c>
      <c r="E14" s="60" t="s">
        <v>14</v>
      </c>
      <c r="F14" s="61">
        <v>140</v>
      </c>
      <c r="G14" s="62">
        <v>43.09</v>
      </c>
      <c r="H14" s="61">
        <v>42.56</v>
      </c>
      <c r="I14" s="63">
        <v>4.34</v>
      </c>
    </row>
    <row r="15" ht="18" spans="1:10">
      <c r="A15" s="58"/>
      <c r="B15" s="59"/>
      <c r="C15" s="59"/>
      <c r="D15" s="59"/>
      <c r="E15" s="60" t="s">
        <v>15</v>
      </c>
      <c r="F15" s="61">
        <v>145</v>
      </c>
      <c r="G15" s="62">
        <v>48.26</v>
      </c>
      <c r="H15" s="61">
        <v>50.88</v>
      </c>
      <c r="I15" s="63">
        <v>4.12</v>
      </c>
    </row>
    <row r="16" ht="18" spans="1:10">
      <c r="A16" s="58">
        <v>7</v>
      </c>
      <c r="B16" s="59" t="s">
        <v>13</v>
      </c>
      <c r="C16" s="59">
        <v>74</v>
      </c>
      <c r="D16" s="59">
        <v>175</v>
      </c>
      <c r="E16" s="60" t="s">
        <v>14</v>
      </c>
      <c r="F16" s="61">
        <v>130</v>
      </c>
      <c r="G16" s="62">
        <v>46.66</v>
      </c>
      <c r="H16" s="61">
        <v>44</v>
      </c>
      <c r="I16" s="63">
        <v>4.45</v>
      </c>
    </row>
    <row r="17" ht="18" spans="1:9">
      <c r="A17" s="58"/>
      <c r="B17" s="59"/>
      <c r="C17" s="59"/>
      <c r="D17" s="59"/>
      <c r="E17" s="60" t="s">
        <v>15</v>
      </c>
      <c r="F17" s="61">
        <v>140</v>
      </c>
      <c r="G17" s="62">
        <v>49.36</v>
      </c>
      <c r="H17" s="61">
        <v>50.21</v>
      </c>
      <c r="I17" s="63">
        <v>4.3</v>
      </c>
    </row>
    <row r="18" ht="18" spans="1:9">
      <c r="A18" s="58">
        <v>8</v>
      </c>
      <c r="B18" s="59" t="s">
        <v>13</v>
      </c>
      <c r="C18" s="59">
        <v>72</v>
      </c>
      <c r="D18" s="59">
        <v>179</v>
      </c>
      <c r="E18" s="60" t="s">
        <v>14</v>
      </c>
      <c r="F18" s="61">
        <v>120</v>
      </c>
      <c r="G18" s="62">
        <v>53.07</v>
      </c>
      <c r="H18" s="61">
        <v>55.69</v>
      </c>
      <c r="I18" s="63">
        <v>4.36</v>
      </c>
    </row>
    <row r="19" ht="18" spans="1:9">
      <c r="A19" s="58"/>
      <c r="B19" s="59"/>
      <c r="C19" s="59"/>
      <c r="D19" s="59"/>
      <c r="E19" s="60" t="s">
        <v>15</v>
      </c>
      <c r="F19" s="61">
        <v>135</v>
      </c>
      <c r="G19" s="62">
        <v>54.58</v>
      </c>
      <c r="H19" s="61">
        <v>57.23</v>
      </c>
      <c r="I19" s="63">
        <v>4.28</v>
      </c>
    </row>
    <row r="20" ht="18" spans="1:9">
      <c r="A20" s="58">
        <v>9</v>
      </c>
      <c r="B20" s="59" t="s">
        <v>13</v>
      </c>
      <c r="C20" s="59">
        <v>70</v>
      </c>
      <c r="D20" s="59">
        <v>186</v>
      </c>
      <c r="E20" s="60" t="s">
        <v>14</v>
      </c>
      <c r="F20" s="61">
        <v>130</v>
      </c>
      <c r="G20" s="62">
        <v>41.75</v>
      </c>
      <c r="H20" s="61">
        <v>43.92</v>
      </c>
      <c r="I20" s="63">
        <v>4.38</v>
      </c>
    </row>
    <row r="21" ht="18" spans="1:9">
      <c r="A21" s="58"/>
      <c r="B21" s="59"/>
      <c r="C21" s="59"/>
      <c r="D21" s="59"/>
      <c r="E21" s="60" t="s">
        <v>15</v>
      </c>
      <c r="F21" s="61">
        <v>140</v>
      </c>
      <c r="G21" s="62">
        <v>45.25</v>
      </c>
      <c r="H21" s="61">
        <v>48.96</v>
      </c>
      <c r="I21" s="63">
        <v>4.21</v>
      </c>
    </row>
    <row r="22" ht="18" spans="1:9">
      <c r="A22" s="58">
        <v>10</v>
      </c>
      <c r="B22" s="59" t="s">
        <v>13</v>
      </c>
      <c r="C22" s="59">
        <v>73</v>
      </c>
      <c r="D22" s="59">
        <v>175</v>
      </c>
      <c r="E22" s="60" t="s">
        <v>14</v>
      </c>
      <c r="F22" s="61">
        <v>125</v>
      </c>
      <c r="G22" s="62">
        <v>46.33</v>
      </c>
      <c r="H22" s="61">
        <v>41.5</v>
      </c>
      <c r="I22" s="63">
        <v>4.7</v>
      </c>
    </row>
    <row r="23" ht="18" spans="1:9">
      <c r="A23" s="58"/>
      <c r="B23" s="59"/>
      <c r="C23" s="59"/>
      <c r="D23" s="59"/>
      <c r="E23" s="60" t="s">
        <v>15</v>
      </c>
      <c r="F23" s="61">
        <v>140</v>
      </c>
      <c r="G23" s="62">
        <v>54.69</v>
      </c>
      <c r="H23" s="61">
        <v>47.66</v>
      </c>
      <c r="I23" s="63">
        <v>4.5</v>
      </c>
    </row>
    <row r="24" ht="54" spans="1:9">
      <c r="A24" s="64" t="s">
        <v>16</v>
      </c>
      <c r="B24" s="65"/>
      <c r="C24" s="66">
        <f>AVERAGE(C4:C22)</f>
        <v>74</v>
      </c>
      <c r="D24" s="66">
        <f>AVERAGE(D4:D22)</f>
        <v>179.6</v>
      </c>
      <c r="E24" s="67" t="s">
        <v>17</v>
      </c>
      <c r="F24" s="68" t="s">
        <v>18</v>
      </c>
      <c r="G24" s="68" t="s">
        <v>19</v>
      </c>
      <c r="H24" s="68" t="s">
        <v>20</v>
      </c>
      <c r="I24" s="69" t="s">
        <v>21</v>
      </c>
    </row>
    <row r="25" ht="40" customHeight="1" spans="1:9">
      <c r="A25" s="64" t="s">
        <v>22</v>
      </c>
      <c r="B25" s="65"/>
      <c r="C25" s="70">
        <f>_xlfn.STDEV.S(C4:C22)</f>
        <v>3.29983164553722</v>
      </c>
      <c r="D25" s="70">
        <f>_xlfn.STDEV.S(D4:D22)</f>
        <v>3.27278338896895</v>
      </c>
      <c r="E25" s="67" t="s">
        <v>23</v>
      </c>
      <c r="F25" s="68" t="s">
        <v>24</v>
      </c>
      <c r="G25" s="68" t="s">
        <v>25</v>
      </c>
      <c r="H25" s="68" t="s">
        <v>26</v>
      </c>
      <c r="I25" s="69" t="s">
        <v>27</v>
      </c>
    </row>
    <row r="26" ht="18" spans="1:9">
      <c r="A26" s="58">
        <v>1</v>
      </c>
      <c r="B26" s="59" t="s">
        <v>28</v>
      </c>
      <c r="C26" s="59">
        <v>75</v>
      </c>
      <c r="D26" s="59">
        <v>179</v>
      </c>
      <c r="E26" s="60" t="s">
        <v>14</v>
      </c>
      <c r="F26" s="61">
        <v>115</v>
      </c>
      <c r="G26" s="62">
        <v>47.58</v>
      </c>
      <c r="H26" s="61">
        <v>46.6</v>
      </c>
      <c r="I26" s="63">
        <v>4.71</v>
      </c>
    </row>
    <row r="27" ht="18" spans="1:9">
      <c r="A27" s="58"/>
      <c r="B27" s="59"/>
      <c r="C27" s="59"/>
      <c r="D27" s="59"/>
      <c r="E27" s="60" t="s">
        <v>15</v>
      </c>
      <c r="F27" s="61">
        <v>120</v>
      </c>
      <c r="G27" s="62">
        <v>48.8</v>
      </c>
      <c r="H27" s="61">
        <v>47.48</v>
      </c>
      <c r="I27" s="63">
        <v>4.74</v>
      </c>
    </row>
    <row r="28" ht="18" spans="1:9">
      <c r="A28" s="58">
        <v>2</v>
      </c>
      <c r="B28" s="59" t="s">
        <v>28</v>
      </c>
      <c r="C28" s="59">
        <v>82</v>
      </c>
      <c r="D28" s="59">
        <v>178</v>
      </c>
      <c r="E28" s="60" t="s">
        <v>14</v>
      </c>
      <c r="F28" s="61">
        <v>135</v>
      </c>
      <c r="G28" s="62">
        <v>49.58</v>
      </c>
      <c r="H28" s="61">
        <v>47.52</v>
      </c>
      <c r="I28" s="63">
        <v>4.64</v>
      </c>
    </row>
    <row r="29" ht="18" spans="1:9">
      <c r="A29" s="58"/>
      <c r="B29" s="59"/>
      <c r="C29" s="59"/>
      <c r="D29" s="59"/>
      <c r="E29" s="60" t="s">
        <v>15</v>
      </c>
      <c r="F29" s="61">
        <v>145</v>
      </c>
      <c r="G29" s="62">
        <v>41.63</v>
      </c>
      <c r="H29" s="61">
        <v>39.47</v>
      </c>
      <c r="I29" s="63">
        <v>4.85</v>
      </c>
    </row>
    <row r="30" ht="18" spans="1:9">
      <c r="A30" s="58">
        <v>3</v>
      </c>
      <c r="B30" s="59" t="s">
        <v>28</v>
      </c>
      <c r="C30" s="59">
        <v>74</v>
      </c>
      <c r="D30" s="59">
        <v>182</v>
      </c>
      <c r="E30" s="60" t="s">
        <v>14</v>
      </c>
      <c r="F30" s="61">
        <v>120</v>
      </c>
      <c r="G30" s="62">
        <v>59.62</v>
      </c>
      <c r="H30" s="61">
        <v>48.98</v>
      </c>
      <c r="I30" s="63">
        <v>4.34</v>
      </c>
    </row>
    <row r="31" ht="18" spans="1:9">
      <c r="A31" s="58"/>
      <c r="B31" s="59"/>
      <c r="C31" s="59"/>
      <c r="D31" s="59"/>
      <c r="E31" s="60" t="s">
        <v>15</v>
      </c>
      <c r="F31" s="61">
        <v>130</v>
      </c>
      <c r="G31" s="62">
        <v>49.4</v>
      </c>
      <c r="H31" s="61">
        <v>45.52</v>
      </c>
      <c r="I31" s="63">
        <v>4.52</v>
      </c>
    </row>
    <row r="32" ht="18" spans="1:9">
      <c r="A32" s="58">
        <v>4</v>
      </c>
      <c r="B32" s="59" t="s">
        <v>28</v>
      </c>
      <c r="C32" s="59">
        <v>85</v>
      </c>
      <c r="D32" s="59">
        <v>181</v>
      </c>
      <c r="E32" s="60" t="s">
        <v>14</v>
      </c>
      <c r="F32" s="61">
        <v>160</v>
      </c>
      <c r="G32" s="62">
        <v>54.71</v>
      </c>
      <c r="H32" s="61">
        <v>61.32</v>
      </c>
      <c r="I32" s="63">
        <v>4.26</v>
      </c>
    </row>
    <row r="33" ht="18" spans="1:9">
      <c r="A33" s="58"/>
      <c r="B33" s="59"/>
      <c r="C33" s="59"/>
      <c r="D33" s="59"/>
      <c r="E33" s="60" t="s">
        <v>15</v>
      </c>
      <c r="F33" s="61">
        <v>165</v>
      </c>
      <c r="G33" s="62">
        <v>49.65</v>
      </c>
      <c r="H33" s="61">
        <v>47.56</v>
      </c>
      <c r="I33" s="63">
        <v>4.48</v>
      </c>
    </row>
    <row r="34" ht="18" spans="1:9">
      <c r="A34" s="58">
        <v>5</v>
      </c>
      <c r="B34" s="59" t="s">
        <v>28</v>
      </c>
      <c r="C34" s="59">
        <v>76</v>
      </c>
      <c r="D34" s="59">
        <v>183</v>
      </c>
      <c r="E34" s="60" t="s">
        <v>14</v>
      </c>
      <c r="F34" s="61">
        <v>125</v>
      </c>
      <c r="G34" s="62">
        <v>44.14</v>
      </c>
      <c r="H34" s="61">
        <v>42.15</v>
      </c>
      <c r="I34" s="63">
        <v>4.552</v>
      </c>
    </row>
    <row r="35" ht="18" spans="1:9">
      <c r="A35" s="58"/>
      <c r="B35" s="59"/>
      <c r="C35" s="59"/>
      <c r="D35" s="59"/>
      <c r="E35" s="60" t="s">
        <v>15</v>
      </c>
      <c r="F35" s="61">
        <v>135</v>
      </c>
      <c r="G35" s="62">
        <v>40.21</v>
      </c>
      <c r="H35" s="61">
        <v>36.21</v>
      </c>
      <c r="I35" s="63">
        <v>4.52</v>
      </c>
    </row>
    <row r="36" ht="18" spans="1:9">
      <c r="A36" s="58">
        <v>6</v>
      </c>
      <c r="B36" s="59" t="s">
        <v>28</v>
      </c>
      <c r="C36" s="59">
        <v>90</v>
      </c>
      <c r="D36" s="59">
        <v>181</v>
      </c>
      <c r="E36" s="60" t="s">
        <v>14</v>
      </c>
      <c r="F36" s="61">
        <v>150</v>
      </c>
      <c r="G36" s="62">
        <v>43.64</v>
      </c>
      <c r="H36" s="61">
        <v>45.94</v>
      </c>
      <c r="I36" s="63">
        <v>4.24</v>
      </c>
    </row>
    <row r="37" ht="18" spans="1:9">
      <c r="A37" s="58"/>
      <c r="B37" s="59"/>
      <c r="C37" s="59"/>
      <c r="D37" s="59"/>
      <c r="E37" s="60" t="s">
        <v>15</v>
      </c>
      <c r="F37" s="61">
        <v>155</v>
      </c>
      <c r="G37" s="62">
        <v>40.25</v>
      </c>
      <c r="H37" s="61">
        <v>40.52</v>
      </c>
      <c r="I37" s="63">
        <v>4.3</v>
      </c>
    </row>
    <row r="38" ht="18" spans="1:9">
      <c r="A38" s="58">
        <v>7</v>
      </c>
      <c r="B38" s="59" t="s">
        <v>28</v>
      </c>
      <c r="C38" s="59">
        <v>80</v>
      </c>
      <c r="D38" s="59">
        <v>179</v>
      </c>
      <c r="E38" s="60" t="s">
        <v>14</v>
      </c>
      <c r="F38" s="61">
        <v>130</v>
      </c>
      <c r="G38" s="62">
        <v>38.91</v>
      </c>
      <c r="H38" s="61">
        <v>35.85</v>
      </c>
      <c r="I38" s="63">
        <v>4.47</v>
      </c>
    </row>
    <row r="39" ht="18" spans="1:9">
      <c r="A39" s="58"/>
      <c r="B39" s="59"/>
      <c r="C39" s="59"/>
      <c r="D39" s="59"/>
      <c r="E39" s="60" t="s">
        <v>15</v>
      </c>
      <c r="F39" s="61">
        <v>140</v>
      </c>
      <c r="G39" s="62">
        <v>37.22</v>
      </c>
      <c r="H39" s="61">
        <v>35.22</v>
      </c>
      <c r="I39" s="63">
        <v>4.5</v>
      </c>
    </row>
    <row r="40" ht="18" spans="1:9">
      <c r="A40" s="58">
        <v>8</v>
      </c>
      <c r="B40" s="59" t="s">
        <v>28</v>
      </c>
      <c r="C40" s="59">
        <v>92</v>
      </c>
      <c r="D40" s="59">
        <v>184</v>
      </c>
      <c r="E40" s="60" t="s">
        <v>14</v>
      </c>
      <c r="F40" s="61">
        <v>140</v>
      </c>
      <c r="G40" s="62">
        <v>47.39</v>
      </c>
      <c r="H40" s="61">
        <v>42.7</v>
      </c>
      <c r="I40" s="63">
        <v>4.45</v>
      </c>
    </row>
    <row r="41" ht="18" spans="1:9">
      <c r="A41" s="58"/>
      <c r="B41" s="59"/>
      <c r="C41" s="59"/>
      <c r="D41" s="59"/>
      <c r="E41" s="60" t="s">
        <v>15</v>
      </c>
      <c r="F41" s="61">
        <v>150</v>
      </c>
      <c r="G41" s="62">
        <v>42.54</v>
      </c>
      <c r="H41" s="61">
        <v>40.58</v>
      </c>
      <c r="I41" s="63">
        <v>4.75</v>
      </c>
    </row>
    <row r="42" ht="18" spans="1:9">
      <c r="A42" s="58">
        <v>9</v>
      </c>
      <c r="B42" s="59" t="s">
        <v>28</v>
      </c>
      <c r="C42" s="59">
        <v>75</v>
      </c>
      <c r="D42" s="59">
        <v>186</v>
      </c>
      <c r="E42" s="60" t="s">
        <v>14</v>
      </c>
      <c r="F42" s="61">
        <v>130</v>
      </c>
      <c r="G42" s="62">
        <v>44.52</v>
      </c>
      <c r="H42" s="61">
        <v>42.36</v>
      </c>
      <c r="I42" s="63">
        <v>4.33</v>
      </c>
    </row>
    <row r="43" ht="18" spans="1:9">
      <c r="A43" s="58"/>
      <c r="B43" s="59"/>
      <c r="C43" s="59"/>
      <c r="D43" s="59"/>
      <c r="E43" s="60" t="s">
        <v>15</v>
      </c>
      <c r="F43" s="61">
        <v>145</v>
      </c>
      <c r="G43" s="62">
        <v>40.22</v>
      </c>
      <c r="H43" s="61">
        <v>38.66</v>
      </c>
      <c r="I43" s="63">
        <v>4.25</v>
      </c>
    </row>
    <row r="44" ht="18" spans="1:9">
      <c r="A44" s="58">
        <v>10</v>
      </c>
      <c r="B44" s="59" t="s">
        <v>28</v>
      </c>
      <c r="C44" s="59">
        <v>76</v>
      </c>
      <c r="D44" s="59">
        <v>184</v>
      </c>
      <c r="E44" s="60" t="s">
        <v>14</v>
      </c>
      <c r="F44" s="61">
        <v>140</v>
      </c>
      <c r="G44" s="62">
        <v>50.32</v>
      </c>
      <c r="H44" s="61">
        <v>47.56</v>
      </c>
      <c r="I44" s="63">
        <v>4.15</v>
      </c>
    </row>
    <row r="45" ht="18" spans="1:9">
      <c r="A45" s="58"/>
      <c r="B45" s="59"/>
      <c r="C45" s="59"/>
      <c r="D45" s="59"/>
      <c r="E45" s="60" t="s">
        <v>15</v>
      </c>
      <c r="F45" s="61">
        <v>145</v>
      </c>
      <c r="G45" s="62">
        <v>43.28</v>
      </c>
      <c r="H45" s="61">
        <v>43.25</v>
      </c>
      <c r="I45" s="63">
        <v>4.35</v>
      </c>
    </row>
    <row r="46" ht="54" spans="1:9">
      <c r="A46" s="64" t="s">
        <v>16</v>
      </c>
      <c r="B46" s="65"/>
      <c r="C46" s="66">
        <f>AVERAGE(C26:C44)</f>
        <v>80.5</v>
      </c>
      <c r="D46" s="66">
        <f>AVERAGE(D26:D44)</f>
        <v>181.7</v>
      </c>
      <c r="E46" s="67" t="s">
        <v>17</v>
      </c>
      <c r="F46" s="68" t="s">
        <v>29</v>
      </c>
      <c r="G46" s="68" t="s">
        <v>30</v>
      </c>
      <c r="H46" s="68" t="s">
        <v>31</v>
      </c>
      <c r="I46" s="69" t="s">
        <v>32</v>
      </c>
    </row>
    <row r="47" ht="54" spans="1:9">
      <c r="A47" s="64" t="s">
        <v>22</v>
      </c>
      <c r="B47" s="65"/>
      <c r="C47" s="70">
        <f>_xlfn.STDEV.S(C26:C44)</f>
        <v>6.57013444814234</v>
      </c>
      <c r="D47" s="70">
        <f>_xlfn.STDEV.S(D26:D44)</f>
        <v>2.58413965910857</v>
      </c>
      <c r="E47" s="67" t="s">
        <v>23</v>
      </c>
      <c r="F47" s="68" t="s">
        <v>33</v>
      </c>
      <c r="G47" s="68" t="s">
        <v>34</v>
      </c>
      <c r="H47" s="68" t="s">
        <v>35</v>
      </c>
      <c r="I47" s="69" t="s">
        <v>36</v>
      </c>
    </row>
    <row r="48" ht="18" spans="1:9">
      <c r="A48" s="58">
        <v>1</v>
      </c>
      <c r="B48" s="59" t="s">
        <v>37</v>
      </c>
      <c r="C48" s="59">
        <v>78</v>
      </c>
      <c r="D48" s="59">
        <v>178</v>
      </c>
      <c r="E48" s="60" t="s">
        <v>14</v>
      </c>
      <c r="F48" s="61">
        <v>140</v>
      </c>
      <c r="G48" s="61">
        <v>40.29</v>
      </c>
      <c r="H48" s="61">
        <v>40.58</v>
      </c>
      <c r="I48" s="63">
        <v>4.23</v>
      </c>
    </row>
    <row r="49" ht="18" spans="1:11">
      <c r="A49" s="58"/>
      <c r="B49" s="59"/>
      <c r="C49" s="59"/>
      <c r="D49" s="59"/>
      <c r="E49" s="60" t="s">
        <v>15</v>
      </c>
      <c r="F49" s="61">
        <v>145</v>
      </c>
      <c r="G49" s="61">
        <v>42.33</v>
      </c>
      <c r="H49" s="61">
        <v>43.56</v>
      </c>
      <c r="I49" s="63">
        <v>4.33</v>
      </c>
    </row>
    <row r="50" ht="18" spans="1:11">
      <c r="A50" s="58">
        <v>2</v>
      </c>
      <c r="B50" s="59" t="s">
        <v>37</v>
      </c>
      <c r="C50" s="59">
        <v>75</v>
      </c>
      <c r="D50" s="59">
        <v>175</v>
      </c>
      <c r="E50" s="60" t="s">
        <v>14</v>
      </c>
      <c r="F50" s="61">
        <v>120</v>
      </c>
      <c r="G50" s="62">
        <v>47.33</v>
      </c>
      <c r="H50" s="61">
        <v>49.54</v>
      </c>
      <c r="I50" s="63">
        <v>4.26</v>
      </c>
    </row>
    <row r="51" ht="18" spans="1:11">
      <c r="A51" s="58"/>
      <c r="B51" s="59"/>
      <c r="C51" s="59"/>
      <c r="D51" s="59"/>
      <c r="E51" s="60" t="s">
        <v>15</v>
      </c>
      <c r="F51" s="61">
        <v>125</v>
      </c>
      <c r="G51" s="62">
        <v>45.2</v>
      </c>
      <c r="H51" s="61">
        <v>47.52</v>
      </c>
      <c r="I51" s="63">
        <v>4.45</v>
      </c>
    </row>
    <row r="52" ht="18" spans="1:11">
      <c r="A52" s="58">
        <v>3</v>
      </c>
      <c r="B52" s="59" t="s">
        <v>37</v>
      </c>
      <c r="C52" s="59">
        <v>77</v>
      </c>
      <c r="D52" s="59">
        <v>182</v>
      </c>
      <c r="E52" s="60" t="s">
        <v>14</v>
      </c>
      <c r="F52" s="61">
        <v>130</v>
      </c>
      <c r="G52" s="62">
        <v>45.71</v>
      </c>
      <c r="H52" s="61">
        <v>41.28</v>
      </c>
      <c r="I52" s="63">
        <v>4.02</v>
      </c>
    </row>
    <row r="53" ht="18" spans="1:11">
      <c r="A53" s="58"/>
      <c r="B53" s="59"/>
      <c r="C53" s="59"/>
      <c r="D53" s="59"/>
      <c r="E53" s="60" t="s">
        <v>15</v>
      </c>
      <c r="F53" s="61">
        <v>140</v>
      </c>
      <c r="G53" s="62">
        <v>44.59</v>
      </c>
      <c r="H53" s="61">
        <v>45.88</v>
      </c>
      <c r="I53" s="63">
        <v>4.21</v>
      </c>
    </row>
    <row r="54" ht="18" spans="1:11">
      <c r="A54" s="58">
        <v>4</v>
      </c>
      <c r="B54" s="59" t="s">
        <v>37</v>
      </c>
      <c r="C54" s="59">
        <v>74</v>
      </c>
      <c r="D54" s="59">
        <v>181</v>
      </c>
      <c r="E54" s="60" t="s">
        <v>14</v>
      </c>
      <c r="F54" s="61">
        <v>140</v>
      </c>
      <c r="G54" s="62">
        <v>41.23</v>
      </c>
      <c r="H54" s="61">
        <v>52.36</v>
      </c>
      <c r="I54" s="63">
        <v>4.75</v>
      </c>
    </row>
    <row r="55" ht="18" spans="1:11">
      <c r="A55" s="58"/>
      <c r="B55" s="59"/>
      <c r="C55" s="59"/>
      <c r="D55" s="59"/>
      <c r="E55" s="60" t="s">
        <v>15</v>
      </c>
      <c r="F55" s="61">
        <v>150</v>
      </c>
      <c r="G55" s="62">
        <v>42.56</v>
      </c>
      <c r="H55" s="61">
        <v>53.69</v>
      </c>
      <c r="I55" s="63">
        <v>4.68</v>
      </c>
    </row>
    <row r="56" ht="18" spans="1:11">
      <c r="A56" s="58">
        <v>5</v>
      </c>
      <c r="B56" s="59" t="s">
        <v>37</v>
      </c>
      <c r="C56" s="59">
        <v>73</v>
      </c>
      <c r="D56" s="59">
        <v>180</v>
      </c>
      <c r="E56" s="60" t="s">
        <v>14</v>
      </c>
      <c r="F56" s="61">
        <v>125</v>
      </c>
      <c r="G56" s="62">
        <v>48.25</v>
      </c>
      <c r="H56" s="61">
        <v>44.32</v>
      </c>
      <c r="I56" s="63">
        <v>4.26</v>
      </c>
    </row>
    <row r="57" ht="18" spans="1:11">
      <c r="A57" s="58"/>
      <c r="B57" s="59"/>
      <c r="C57" s="59"/>
      <c r="D57" s="59"/>
      <c r="E57" s="60" t="s">
        <v>15</v>
      </c>
      <c r="F57" s="61">
        <v>135</v>
      </c>
      <c r="G57" s="62">
        <v>47.56</v>
      </c>
      <c r="H57" s="61">
        <v>46.87</v>
      </c>
      <c r="I57" s="63">
        <v>4.4</v>
      </c>
    </row>
    <row r="58" ht="18" spans="1:11">
      <c r="A58" s="58">
        <v>6</v>
      </c>
      <c r="B58" s="59" t="s">
        <v>37</v>
      </c>
      <c r="C58" s="59">
        <v>74</v>
      </c>
      <c r="D58" s="59">
        <v>177</v>
      </c>
      <c r="E58" s="60" t="s">
        <v>14</v>
      </c>
      <c r="F58" s="61">
        <v>120</v>
      </c>
      <c r="G58" s="62">
        <v>41.32</v>
      </c>
      <c r="H58" s="61">
        <v>50.23</v>
      </c>
      <c r="I58" s="63">
        <v>4.65</v>
      </c>
    </row>
    <row r="59" ht="18" spans="1:11">
      <c r="A59" s="58"/>
      <c r="B59" s="59"/>
      <c r="C59" s="59"/>
      <c r="D59" s="59"/>
      <c r="E59" s="60" t="s">
        <v>15</v>
      </c>
      <c r="F59" s="61">
        <v>135</v>
      </c>
      <c r="G59" s="62">
        <v>44.69</v>
      </c>
      <c r="H59" s="61">
        <v>48.25</v>
      </c>
      <c r="I59" s="63">
        <v>4.23</v>
      </c>
    </row>
    <row r="60" ht="18" spans="1:11">
      <c r="A60" s="58">
        <v>7</v>
      </c>
      <c r="B60" s="59" t="s">
        <v>37</v>
      </c>
      <c r="C60" s="59">
        <v>80</v>
      </c>
      <c r="D60" s="59">
        <v>186</v>
      </c>
      <c r="E60" s="60" t="s">
        <v>14</v>
      </c>
      <c r="F60" s="61">
        <v>150</v>
      </c>
      <c r="G60" s="62">
        <v>38.13</v>
      </c>
      <c r="H60" s="61">
        <v>39.65</v>
      </c>
      <c r="I60" s="63">
        <v>4.25</v>
      </c>
    </row>
    <row r="61" ht="18" spans="1:11">
      <c r="A61" s="58"/>
      <c r="B61" s="59"/>
      <c r="C61" s="59"/>
      <c r="D61" s="59"/>
      <c r="E61" s="60" t="s">
        <v>15</v>
      </c>
      <c r="F61" s="61">
        <v>155</v>
      </c>
      <c r="G61" s="62">
        <v>42.74</v>
      </c>
      <c r="H61" s="61">
        <v>42.63</v>
      </c>
      <c r="I61" s="63">
        <v>4.35</v>
      </c>
    </row>
    <row r="62" ht="18" spans="1:11">
      <c r="A62" s="58">
        <v>8</v>
      </c>
      <c r="B62" s="59" t="s">
        <v>37</v>
      </c>
      <c r="C62" s="59">
        <v>71</v>
      </c>
      <c r="D62" s="59">
        <v>180</v>
      </c>
      <c r="E62" s="60" t="s">
        <v>14</v>
      </c>
      <c r="F62" s="61">
        <v>125</v>
      </c>
      <c r="G62" s="62">
        <v>44.16</v>
      </c>
      <c r="H62" s="61">
        <v>48.55</v>
      </c>
      <c r="I62" s="63">
        <v>4.35</v>
      </c>
      <c r="K62" t="s">
        <v>38</v>
      </c>
    </row>
    <row r="63" ht="18" spans="1:11">
      <c r="A63" s="58"/>
      <c r="B63" s="59"/>
      <c r="C63" s="59"/>
      <c r="D63" s="59"/>
      <c r="E63" s="60" t="s">
        <v>15</v>
      </c>
      <c r="F63" s="61">
        <v>135</v>
      </c>
      <c r="G63" s="62">
        <v>46.36</v>
      </c>
      <c r="H63" s="61">
        <v>48.97</v>
      </c>
      <c r="I63" s="63">
        <v>4.36</v>
      </c>
    </row>
    <row r="64" ht="18" spans="1:11">
      <c r="A64" s="58">
        <v>9</v>
      </c>
      <c r="B64" s="59" t="s">
        <v>37</v>
      </c>
      <c r="C64" s="59">
        <v>68</v>
      </c>
      <c r="D64" s="59">
        <v>178</v>
      </c>
      <c r="E64" s="60" t="s">
        <v>14</v>
      </c>
      <c r="F64" s="61">
        <v>140</v>
      </c>
      <c r="G64" s="62">
        <v>47.22</v>
      </c>
      <c r="H64" s="61">
        <v>42.33</v>
      </c>
      <c r="I64" s="63">
        <v>4.65</v>
      </c>
    </row>
    <row r="65" ht="18" spans="1:9">
      <c r="A65" s="58"/>
      <c r="B65" s="59"/>
      <c r="C65" s="59"/>
      <c r="D65" s="59"/>
      <c r="E65" s="60" t="s">
        <v>15</v>
      </c>
      <c r="F65" s="61">
        <v>145</v>
      </c>
      <c r="G65" s="62">
        <v>46.58</v>
      </c>
      <c r="H65" s="61">
        <v>45.66</v>
      </c>
      <c r="I65" s="63">
        <v>4.58</v>
      </c>
    </row>
    <row r="66" ht="18" spans="1:9">
      <c r="A66" s="58">
        <v>10</v>
      </c>
      <c r="B66" s="59" t="s">
        <v>37</v>
      </c>
      <c r="C66" s="59">
        <v>69</v>
      </c>
      <c r="D66" s="59">
        <v>179</v>
      </c>
      <c r="E66" s="60" t="s">
        <v>14</v>
      </c>
      <c r="F66" s="61">
        <v>130</v>
      </c>
      <c r="G66" s="62">
        <v>45.21</v>
      </c>
      <c r="H66" s="61">
        <v>48.26</v>
      </c>
      <c r="I66" s="63">
        <v>4.25</v>
      </c>
    </row>
    <row r="67" ht="18" spans="1:9">
      <c r="A67" s="58"/>
      <c r="B67" s="59"/>
      <c r="C67" s="59"/>
      <c r="D67" s="59"/>
      <c r="E67" s="60" t="s">
        <v>15</v>
      </c>
      <c r="F67" s="61">
        <v>140</v>
      </c>
      <c r="G67" s="62">
        <v>44.58</v>
      </c>
      <c r="H67" s="61">
        <v>47.58</v>
      </c>
      <c r="I67" s="63">
        <v>4.32</v>
      </c>
    </row>
    <row r="68" ht="54" spans="1:9">
      <c r="A68" s="64" t="s">
        <v>16</v>
      </c>
      <c r="B68" s="65"/>
      <c r="C68" s="66">
        <f>AVERAGE(C48:C66)</f>
        <v>73.9</v>
      </c>
      <c r="D68" s="66">
        <f>AVERAGE(D48:D66)</f>
        <v>179.6</v>
      </c>
      <c r="E68" s="67" t="s">
        <v>17</v>
      </c>
      <c r="F68" s="68" t="s">
        <v>39</v>
      </c>
      <c r="G68" s="68" t="s">
        <v>40</v>
      </c>
      <c r="H68" s="68" t="s">
        <v>41</v>
      </c>
      <c r="I68" s="69" t="s">
        <v>42</v>
      </c>
    </row>
    <row r="69" ht="54.75" spans="1:9">
      <c r="A69" s="71" t="s">
        <v>22</v>
      </c>
      <c r="B69" s="72"/>
      <c r="C69" s="73">
        <f>_xlfn.STDEV.S(C48:C66)</f>
        <v>3.84274207652123</v>
      </c>
      <c r="D69" s="73">
        <f>_xlfn.STDEV.S(D48:D66)</f>
        <v>3.02581485810939</v>
      </c>
      <c r="E69" s="74" t="s">
        <v>23</v>
      </c>
      <c r="F69" s="75" t="s">
        <v>43</v>
      </c>
      <c r="G69" s="75" t="s">
        <v>44</v>
      </c>
      <c r="H69" s="75" t="s">
        <v>45</v>
      </c>
      <c r="I69" s="76" t="s">
        <v>46</v>
      </c>
    </row>
  </sheetData>
  <mergeCells count="138">
    <mergeCell ref="A1:D1"/>
    <mergeCell ref="E1:F1"/>
    <mergeCell ref="G1:H1"/>
    <mergeCell ref="A24:B24"/>
    <mergeCell ref="A25:B25"/>
    <mergeCell ref="A46:B46"/>
    <mergeCell ref="A47:B47"/>
    <mergeCell ref="A68:B68"/>
    <mergeCell ref="A69:B69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E2:E3"/>
    <mergeCell ref="F2:F3"/>
    <mergeCell ref="G2:G3"/>
    <mergeCell ref="H2:H3"/>
    <mergeCell ref="I2:I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8"/>
  <sheetViews>
    <sheetView topLeftCell="U1" workbookViewId="0">
      <selection activeCell="AB20" sqref="AB20"/>
    </sheetView>
  </sheetViews>
  <sheetFormatPr defaultColWidth="8.72727272727273" defaultRowHeight="14"/>
  <cols>
    <col min="1" max="1" width="6.4" customWidth="1"/>
    <col min="2" max="2" width="14.2272727272727" style="4" customWidth="1"/>
    <col min="3" max="3" width="8.20909090909091" customWidth="1"/>
    <col min="4" max="4" width="9.4" customWidth="1"/>
    <col min="5" max="5" width="9.63636363636364" customWidth="1"/>
    <col min="6" max="34" width="11.3" customWidth="1"/>
    <col min="36" max="36" width="15.8181818181818" customWidth="1"/>
    <col min="37" max="37" width="11.3636363636364" customWidth="1"/>
    <col min="38" max="38" width="10.0909090909091" customWidth="1"/>
  </cols>
  <sheetData>
    <row r="1" s="3" customFormat="1" ht="93" spans="1:38">
      <c r="A1" s="5" t="s">
        <v>47</v>
      </c>
      <c r="B1" s="6" t="s">
        <v>5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53</v>
      </c>
      <c r="I1" s="8" t="s">
        <v>54</v>
      </c>
      <c r="J1" s="7" t="s">
        <v>55</v>
      </c>
      <c r="K1" s="8" t="s">
        <v>54</v>
      </c>
      <c r="L1" s="7" t="s">
        <v>56</v>
      </c>
      <c r="M1" s="8" t="s">
        <v>54</v>
      </c>
      <c r="N1" s="7" t="s">
        <v>57</v>
      </c>
      <c r="O1" s="8" t="s">
        <v>54</v>
      </c>
      <c r="P1" s="7" t="s">
        <v>58</v>
      </c>
      <c r="Q1" s="8" t="s">
        <v>54</v>
      </c>
      <c r="R1" s="7" t="s">
        <v>59</v>
      </c>
      <c r="S1" s="8" t="s">
        <v>54</v>
      </c>
      <c r="T1" s="7" t="s">
        <v>60</v>
      </c>
      <c r="U1" s="7" t="s">
        <v>61</v>
      </c>
      <c r="V1" s="8" t="s">
        <v>54</v>
      </c>
      <c r="W1" s="7" t="s">
        <v>62</v>
      </c>
      <c r="X1" s="8" t="s">
        <v>54</v>
      </c>
      <c r="Y1" s="7" t="s">
        <v>63</v>
      </c>
      <c r="Z1" s="8" t="s">
        <v>54</v>
      </c>
      <c r="AA1" s="7" t="s">
        <v>64</v>
      </c>
      <c r="AB1" s="8" t="s">
        <v>54</v>
      </c>
      <c r="AC1" s="7" t="s">
        <v>65</v>
      </c>
      <c r="AD1" s="8" t="s">
        <v>54</v>
      </c>
      <c r="AE1" s="7" t="s">
        <v>66</v>
      </c>
      <c r="AF1" s="8" t="s">
        <v>67</v>
      </c>
      <c r="AG1" s="7" t="s">
        <v>68</v>
      </c>
      <c r="AH1" s="7" t="s">
        <v>69</v>
      </c>
      <c r="AI1" s="7" t="s">
        <v>70</v>
      </c>
      <c r="AJ1" s="9" t="s">
        <v>71</v>
      </c>
      <c r="AK1" s="9"/>
    </row>
    <row r="2" ht="15" spans="1:38">
      <c r="A2" s="10">
        <v>1</v>
      </c>
      <c r="B2" s="11" t="s">
        <v>13</v>
      </c>
      <c r="C2" s="12">
        <v>120</v>
      </c>
      <c r="D2" s="12">
        <f t="shared" ref="D2:D11" si="0">C2*0.7</f>
        <v>84</v>
      </c>
      <c r="E2" s="13">
        <v>75</v>
      </c>
      <c r="F2" s="13">
        <f>3*9</f>
        <v>27</v>
      </c>
      <c r="G2" s="13">
        <f>3*9</f>
        <v>27</v>
      </c>
      <c r="H2" s="13">
        <f>9+9+8</f>
        <v>26</v>
      </c>
      <c r="I2" s="14"/>
      <c r="J2" s="13">
        <f>9+10+11</f>
        <v>30</v>
      </c>
      <c r="K2" s="15"/>
      <c r="L2" s="13">
        <f>9+10+11</f>
        <v>30</v>
      </c>
      <c r="M2" s="16">
        <v>90</v>
      </c>
      <c r="N2" s="17">
        <f>8+8+7</f>
        <v>23</v>
      </c>
      <c r="O2" s="18"/>
      <c r="P2" s="13">
        <f>8+8+8</f>
        <v>24</v>
      </c>
      <c r="Q2" s="13"/>
      <c r="R2" s="13">
        <f>8+8+8</f>
        <v>24</v>
      </c>
      <c r="S2" s="14"/>
      <c r="T2" s="13">
        <f>8+8+10+10</f>
        <v>36</v>
      </c>
      <c r="U2" s="13">
        <f>8+8+10+10</f>
        <v>36</v>
      </c>
      <c r="V2" s="15">
        <v>95</v>
      </c>
      <c r="W2" s="17">
        <f>8+8+8+8</f>
        <v>32</v>
      </c>
      <c r="X2" s="18"/>
      <c r="Y2" s="13">
        <f>7+7+6+6</f>
        <v>26</v>
      </c>
      <c r="Z2" s="14"/>
      <c r="AA2" s="13">
        <f>7+8+8+7</f>
        <v>30</v>
      </c>
      <c r="AB2" s="14"/>
      <c r="AC2" s="13">
        <f>8+8+8+10</f>
        <v>34</v>
      </c>
      <c r="AD2" s="14"/>
      <c r="AE2" s="13">
        <f>8+8+8+10</f>
        <v>34</v>
      </c>
      <c r="AF2" s="19">
        <v>100</v>
      </c>
      <c r="AG2" s="17">
        <f>8+8+7+6</f>
        <v>29</v>
      </c>
      <c r="AH2" s="20">
        <f>(SUM(F2:H2,J2,L2,N2,P2,R2,T2:U2,W2,Y2,AA2,AC2,AE2,AG2))</f>
        <v>468</v>
      </c>
      <c r="AI2" s="21">
        <f t="shared" ref="AI2:AI11" si="1">AH2*2</f>
        <v>936</v>
      </c>
      <c r="AJ2" s="22">
        <v>100</v>
      </c>
      <c r="AK2" s="22"/>
      <c r="AL2">
        <f>AVERAGE(AJ2:AK11)</f>
        <v>105.5</v>
      </c>
    </row>
    <row r="3" ht="15" spans="1:38">
      <c r="A3" s="22">
        <v>2</v>
      </c>
      <c r="B3" s="11" t="s">
        <v>13</v>
      </c>
      <c r="C3" s="13">
        <v>140</v>
      </c>
      <c r="D3" s="13">
        <f t="shared" si="0"/>
        <v>98</v>
      </c>
      <c r="E3" s="13">
        <v>90</v>
      </c>
      <c r="F3" s="13">
        <f>3*10</f>
        <v>30</v>
      </c>
      <c r="G3" s="13">
        <f>3*10</f>
        <v>30</v>
      </c>
      <c r="H3" s="13">
        <f>10+10+12</f>
        <v>32</v>
      </c>
      <c r="I3" s="18"/>
      <c r="J3" s="13">
        <f>10+10+12</f>
        <v>32</v>
      </c>
      <c r="K3" s="16">
        <v>105</v>
      </c>
      <c r="L3" s="17">
        <f>8+9+7</f>
        <v>24</v>
      </c>
      <c r="M3" s="18"/>
      <c r="N3" s="13">
        <f>8+8+7</f>
        <v>23</v>
      </c>
      <c r="O3" s="14"/>
      <c r="P3" s="13">
        <f>8+8+10</f>
        <v>26</v>
      </c>
      <c r="Q3" s="13"/>
      <c r="R3" s="13">
        <f>8+8+10</f>
        <v>26</v>
      </c>
      <c r="S3" s="14"/>
      <c r="T3" s="13">
        <f>9+8+8+9</f>
        <v>34</v>
      </c>
      <c r="U3" s="13">
        <f>9+9+10+11</f>
        <v>39</v>
      </c>
      <c r="V3" s="15"/>
      <c r="W3" s="13">
        <f>9+10+10+10</f>
        <v>39</v>
      </c>
      <c r="X3" s="16">
        <v>110</v>
      </c>
      <c r="Y3" s="17">
        <f>7+8+8+8</f>
        <v>31</v>
      </c>
      <c r="Z3" s="18"/>
      <c r="AA3" s="13">
        <f>8+7+8+8</f>
        <v>31</v>
      </c>
      <c r="AB3" s="14"/>
      <c r="AC3" s="13">
        <f>8+8+8+8</f>
        <v>32</v>
      </c>
      <c r="AD3" s="14"/>
      <c r="AE3" s="13">
        <f>8+9+8+9</f>
        <v>34</v>
      </c>
      <c r="AF3" s="19">
        <v>115</v>
      </c>
      <c r="AG3" s="17">
        <f>7+8+7+8</f>
        <v>30</v>
      </c>
      <c r="AH3" s="20">
        <f>SUM(F3:H3,J3,L3,N3,P3,R3,T3,U3,W3,Y3,AA3,AC3,AE3,AG3)</f>
        <v>493</v>
      </c>
      <c r="AI3" s="21">
        <f t="shared" si="1"/>
        <v>986</v>
      </c>
      <c r="AJ3" s="22">
        <v>115</v>
      </c>
      <c r="AK3" s="22"/>
      <c r="AL3" s="23">
        <f>_xlfn.STDEV.S(AJ2:AK11)</f>
        <v>7.52772652709081</v>
      </c>
    </row>
    <row r="4" ht="15" spans="1:38">
      <c r="A4" s="22">
        <v>3</v>
      </c>
      <c r="B4" s="11" t="s">
        <v>13</v>
      </c>
      <c r="C4" s="13">
        <v>130</v>
      </c>
      <c r="D4" s="13">
        <f t="shared" si="0"/>
        <v>91</v>
      </c>
      <c r="E4" s="13">
        <v>85</v>
      </c>
      <c r="F4" s="13">
        <f>10+10+8</f>
        <v>28</v>
      </c>
      <c r="G4" s="13">
        <f>10+9+9</f>
        <v>28</v>
      </c>
      <c r="H4" s="13">
        <f>10+10+10</f>
        <v>30</v>
      </c>
      <c r="I4" s="18"/>
      <c r="J4" s="13">
        <f>10+10+10</f>
        <v>30</v>
      </c>
      <c r="K4" s="16">
        <v>95</v>
      </c>
      <c r="L4" s="17">
        <f>8+9+8</f>
        <v>25</v>
      </c>
      <c r="M4" s="18"/>
      <c r="N4" s="24">
        <f>8+8+9</f>
        <v>25</v>
      </c>
      <c r="O4" s="25"/>
      <c r="P4" s="24">
        <f>9+9+10</f>
        <v>28</v>
      </c>
      <c r="Q4" s="24"/>
      <c r="R4" s="24">
        <f>9+10+10</f>
        <v>29</v>
      </c>
      <c r="S4" s="19">
        <v>100</v>
      </c>
      <c r="T4" s="26">
        <f>7+8+7+7</f>
        <v>29</v>
      </c>
      <c r="U4" s="24">
        <f>8+8+7+6</f>
        <v>29</v>
      </c>
      <c r="V4" s="27"/>
      <c r="W4" s="13">
        <f>7+7+7+7</f>
        <v>28</v>
      </c>
      <c r="X4" s="16"/>
      <c r="Y4" s="13">
        <f>8+9+9+8</f>
        <v>34</v>
      </c>
      <c r="Z4" s="14"/>
      <c r="AA4" s="13">
        <f>9+9+8+8</f>
        <v>34</v>
      </c>
      <c r="AB4" s="19">
        <v>105</v>
      </c>
      <c r="AC4" s="17">
        <f>7+6+6+7</f>
        <v>26</v>
      </c>
      <c r="AD4" s="18"/>
      <c r="AE4" s="13">
        <f>8+7+7+7</f>
        <v>29</v>
      </c>
      <c r="AF4" s="19"/>
      <c r="AG4" s="13">
        <f>8+7+7+7</f>
        <v>29</v>
      </c>
      <c r="AH4" s="20">
        <f>SUM(F4:H4,J4,L4,N4,P4,R4,T4,U4,W4,Y4,AA4,AC4,AE4,AG4)</f>
        <v>461</v>
      </c>
      <c r="AI4" s="21">
        <f t="shared" si="1"/>
        <v>922</v>
      </c>
      <c r="AJ4" s="22">
        <v>105</v>
      </c>
      <c r="AK4" s="22"/>
    </row>
    <row r="5" ht="15" spans="1:38">
      <c r="A5" s="22">
        <v>4</v>
      </c>
      <c r="B5" s="11" t="s">
        <v>13</v>
      </c>
      <c r="C5" s="13">
        <v>150</v>
      </c>
      <c r="D5" s="13">
        <f t="shared" si="0"/>
        <v>105</v>
      </c>
      <c r="E5" s="13">
        <v>100</v>
      </c>
      <c r="F5" s="13">
        <f>11+10+10</f>
        <v>31</v>
      </c>
      <c r="G5" s="13">
        <f>11+11+11</f>
        <v>33</v>
      </c>
      <c r="H5" s="13">
        <f>11+12+12</f>
        <v>35</v>
      </c>
      <c r="I5" s="16">
        <v>110</v>
      </c>
      <c r="J5" s="17">
        <f>9+9+9</f>
        <v>27</v>
      </c>
      <c r="K5" s="28"/>
      <c r="L5" s="13">
        <f>9+9+10</f>
        <v>28</v>
      </c>
      <c r="M5" s="14"/>
      <c r="N5" s="13">
        <f>10+10+9</f>
        <v>29</v>
      </c>
      <c r="O5" s="14"/>
      <c r="P5" s="13">
        <f>10+10+11</f>
        <v>31</v>
      </c>
      <c r="Q5" s="13"/>
      <c r="R5" s="13">
        <f>9+10+11</f>
        <v>30</v>
      </c>
      <c r="S5" s="16">
        <v>115</v>
      </c>
      <c r="T5" s="17">
        <f>9+8+7+7</f>
        <v>31</v>
      </c>
      <c r="U5" s="13">
        <f>9+9+8+7</f>
        <v>33</v>
      </c>
      <c r="V5" s="15"/>
      <c r="W5" s="13">
        <f>10+9+9+10</f>
        <v>38</v>
      </c>
      <c r="X5" s="16"/>
      <c r="Y5" s="13">
        <f>10+10+9+9</f>
        <v>38</v>
      </c>
      <c r="Z5" s="19">
        <v>120</v>
      </c>
      <c r="AA5" s="17">
        <f>7+8+8+8</f>
        <v>31</v>
      </c>
      <c r="AB5" s="18"/>
      <c r="AC5" s="13">
        <f>8+7+7+7</f>
        <v>29</v>
      </c>
      <c r="AD5" s="14"/>
      <c r="AE5" s="13">
        <f>9+9+8+8</f>
        <v>34</v>
      </c>
      <c r="AF5" s="19"/>
      <c r="AG5" s="13">
        <f>9+8+8+7</f>
        <v>32</v>
      </c>
      <c r="AH5" s="20">
        <f t="shared" ref="AH5:AH11" si="2">SUM(F5,G5,H5,J5,L5,N5,P5,R5,T5,U5,W5,Y5,AA5,AC5,AE5,AG5)</f>
        <v>510</v>
      </c>
      <c r="AI5" s="21">
        <f t="shared" si="1"/>
        <v>1020</v>
      </c>
      <c r="AJ5" s="22">
        <v>120</v>
      </c>
      <c r="AK5" s="22"/>
    </row>
    <row r="6" ht="15" spans="1:38">
      <c r="A6" s="22">
        <v>5</v>
      </c>
      <c r="B6" s="11" t="s">
        <v>13</v>
      </c>
      <c r="C6" s="13">
        <v>125</v>
      </c>
      <c r="D6" s="13">
        <f t="shared" si="0"/>
        <v>87.5</v>
      </c>
      <c r="E6" s="13">
        <v>80</v>
      </c>
      <c r="F6" s="13">
        <f>10+10+8</f>
        <v>28</v>
      </c>
      <c r="G6" s="13">
        <f>10+10+8</f>
        <v>28</v>
      </c>
      <c r="H6" s="13">
        <f>10+10+10</f>
        <v>30</v>
      </c>
      <c r="I6" s="28"/>
      <c r="J6" s="13">
        <f>10+10+11</f>
        <v>31</v>
      </c>
      <c r="K6" s="16">
        <v>92.5</v>
      </c>
      <c r="L6" s="17">
        <f>9+9+9</f>
        <v>27</v>
      </c>
      <c r="M6" s="18"/>
      <c r="N6" s="13">
        <f>8+9+8</f>
        <v>25</v>
      </c>
      <c r="O6" s="14"/>
      <c r="P6" s="13">
        <f>8+8+9</f>
        <v>25</v>
      </c>
      <c r="Q6" s="13"/>
      <c r="R6" s="13">
        <f>9+9+9</f>
        <v>27</v>
      </c>
      <c r="S6" s="16"/>
      <c r="T6" s="13">
        <f>10+10+10+9</f>
        <v>39</v>
      </c>
      <c r="U6" s="13">
        <f>11+11+10+11</f>
        <v>43</v>
      </c>
      <c r="V6" s="15"/>
      <c r="W6" s="13">
        <f>11+10+11+11</f>
        <v>43</v>
      </c>
      <c r="X6" s="16">
        <v>97.5</v>
      </c>
      <c r="Y6" s="17">
        <f>9+9+8+8</f>
        <v>34</v>
      </c>
      <c r="Z6" s="18"/>
      <c r="AA6" s="13">
        <f>9+9+9+8</f>
        <v>35</v>
      </c>
      <c r="AB6" s="14"/>
      <c r="AC6" s="13">
        <f>9+9+9+9</f>
        <v>36</v>
      </c>
      <c r="AD6" s="14"/>
      <c r="AE6" s="13">
        <f>10+10+8+8</f>
        <v>36</v>
      </c>
      <c r="AF6" s="19"/>
      <c r="AG6" s="13">
        <f>11+10+10+8</f>
        <v>39</v>
      </c>
      <c r="AH6" s="20">
        <f t="shared" si="2"/>
        <v>526</v>
      </c>
      <c r="AI6" s="21">
        <f t="shared" si="1"/>
        <v>1052</v>
      </c>
      <c r="AJ6" s="22">
        <v>97.5</v>
      </c>
      <c r="AK6" s="22"/>
    </row>
    <row r="7" ht="15" spans="1:38">
      <c r="A7" s="22">
        <v>6</v>
      </c>
      <c r="B7" s="11" t="s">
        <v>13</v>
      </c>
      <c r="C7" s="13">
        <v>140</v>
      </c>
      <c r="D7" s="13">
        <f t="shared" si="0"/>
        <v>98</v>
      </c>
      <c r="E7" s="13">
        <v>90</v>
      </c>
      <c r="F7" s="13">
        <f>12+12+10</f>
        <v>34</v>
      </c>
      <c r="G7" s="13">
        <f>12+12+11</f>
        <v>35</v>
      </c>
      <c r="H7" s="13">
        <f>12+12+12</f>
        <v>36</v>
      </c>
      <c r="I7" s="28"/>
      <c r="J7" s="13">
        <f>12+12+12</f>
        <v>36</v>
      </c>
      <c r="K7" s="16">
        <v>105</v>
      </c>
      <c r="L7" s="17">
        <f>11+11+10</f>
        <v>32</v>
      </c>
      <c r="M7" s="18"/>
      <c r="N7" s="13">
        <f>11+11+12</f>
        <v>34</v>
      </c>
      <c r="O7" s="14"/>
      <c r="P7" s="13">
        <f>10+11+12</f>
        <v>33</v>
      </c>
      <c r="Q7" s="15">
        <v>105</v>
      </c>
      <c r="R7" s="17">
        <f>11+11+10</f>
        <v>32</v>
      </c>
      <c r="S7" s="28"/>
      <c r="T7" s="13">
        <f>11+10+10+10</f>
        <v>41</v>
      </c>
      <c r="U7" s="13">
        <f>12+12+10+10</f>
        <v>44</v>
      </c>
      <c r="V7" s="15"/>
      <c r="W7" s="13">
        <f>12+12+10+10</f>
        <v>44</v>
      </c>
      <c r="X7" s="16"/>
      <c r="Y7" s="13">
        <f>12+12+11+10</f>
        <v>45</v>
      </c>
      <c r="Z7" s="14"/>
      <c r="AA7" s="13">
        <f>12+12+12+12</f>
        <v>48</v>
      </c>
      <c r="AB7" s="14"/>
      <c r="AC7" s="13">
        <f>13+13+12+12</f>
        <v>50</v>
      </c>
      <c r="AD7" s="19">
        <v>110</v>
      </c>
      <c r="AE7" s="17">
        <f>11+11+10+9</f>
        <v>41</v>
      </c>
      <c r="AF7" s="19"/>
      <c r="AG7" s="13">
        <f>11+10+10+9</f>
        <v>40</v>
      </c>
      <c r="AH7" s="20">
        <f t="shared" si="2"/>
        <v>625</v>
      </c>
      <c r="AI7" s="21">
        <f t="shared" si="1"/>
        <v>1250</v>
      </c>
      <c r="AJ7" s="22">
        <v>110</v>
      </c>
      <c r="AK7" s="22"/>
    </row>
    <row r="8" ht="15" spans="1:38">
      <c r="A8" s="22">
        <v>7</v>
      </c>
      <c r="B8" s="11" t="s">
        <v>13</v>
      </c>
      <c r="C8" s="13">
        <v>130</v>
      </c>
      <c r="D8" s="13">
        <f t="shared" si="0"/>
        <v>91</v>
      </c>
      <c r="E8" s="13">
        <v>85</v>
      </c>
      <c r="F8" s="13">
        <f>12+12+11</f>
        <v>35</v>
      </c>
      <c r="G8" s="13">
        <f>12+12+12</f>
        <v>36</v>
      </c>
      <c r="H8" s="13">
        <f>12+12+12</f>
        <v>36</v>
      </c>
      <c r="I8" s="16">
        <v>95</v>
      </c>
      <c r="J8" s="17">
        <f>12+11+11</f>
        <v>34</v>
      </c>
      <c r="K8" s="28"/>
      <c r="L8" s="13">
        <f>11+11+11</f>
        <v>33</v>
      </c>
      <c r="M8" s="14"/>
      <c r="N8" s="13">
        <f>12+12+13</f>
        <v>37</v>
      </c>
      <c r="O8" s="14"/>
      <c r="P8" s="13">
        <f>12+12+13</f>
        <v>37</v>
      </c>
      <c r="Q8" s="15">
        <v>100</v>
      </c>
      <c r="R8" s="17">
        <f>10+10+11</f>
        <v>31</v>
      </c>
      <c r="S8" s="28"/>
      <c r="T8" s="13">
        <f>10+10+9+9</f>
        <v>38</v>
      </c>
      <c r="U8" s="13">
        <f>11+11+9+9</f>
        <v>40</v>
      </c>
      <c r="V8" s="15"/>
      <c r="W8" s="13">
        <f>12+12+11+10</f>
        <v>45</v>
      </c>
      <c r="X8" s="16"/>
      <c r="Y8" s="13">
        <f>12+12+11+11</f>
        <v>46</v>
      </c>
      <c r="Z8" s="14"/>
      <c r="AA8" s="13">
        <f>12+12+12+12</f>
        <v>48</v>
      </c>
      <c r="AB8" s="14"/>
      <c r="AC8" s="13">
        <f>13+11+12+12</f>
        <v>48</v>
      </c>
      <c r="AD8" s="19">
        <v>105</v>
      </c>
      <c r="AE8" s="17">
        <f>11+11+10+10</f>
        <v>42</v>
      </c>
      <c r="AF8" s="19"/>
      <c r="AG8" s="13">
        <f>11+12+11+8</f>
        <v>42</v>
      </c>
      <c r="AH8" s="20">
        <f t="shared" si="2"/>
        <v>628</v>
      </c>
      <c r="AI8" s="21">
        <f t="shared" si="1"/>
        <v>1256</v>
      </c>
      <c r="AJ8" s="22">
        <v>105</v>
      </c>
      <c r="AK8" s="22"/>
    </row>
    <row r="9" ht="15" spans="1:38">
      <c r="A9" s="22">
        <v>8</v>
      </c>
      <c r="B9" s="11" t="s">
        <v>13</v>
      </c>
      <c r="C9" s="13">
        <v>120</v>
      </c>
      <c r="D9" s="13">
        <f t="shared" si="0"/>
        <v>84</v>
      </c>
      <c r="E9" s="13">
        <v>75</v>
      </c>
      <c r="F9" s="13">
        <f>11+11+10</f>
        <v>32</v>
      </c>
      <c r="G9" s="13">
        <f>11+11+11</f>
        <v>33</v>
      </c>
      <c r="H9" s="13">
        <f>11+12+12</f>
        <v>35</v>
      </c>
      <c r="I9" s="18"/>
      <c r="J9" s="13">
        <f>12+12+12</f>
        <v>36</v>
      </c>
      <c r="K9" s="16">
        <v>90</v>
      </c>
      <c r="L9" s="17">
        <f>9+9+9</f>
        <v>27</v>
      </c>
      <c r="M9" s="18"/>
      <c r="N9" s="13">
        <f>10+10+9</f>
        <v>29</v>
      </c>
      <c r="O9" s="14"/>
      <c r="P9" s="13">
        <f>10+10+10</f>
        <v>30</v>
      </c>
      <c r="Q9" s="13"/>
      <c r="R9" s="13">
        <f>11+10+10</f>
        <v>31</v>
      </c>
      <c r="S9" s="16"/>
      <c r="T9" s="13">
        <f>11+11+11+11</f>
        <v>44</v>
      </c>
      <c r="U9" s="13">
        <f>12+11+11+11</f>
        <v>45</v>
      </c>
      <c r="V9" s="15">
        <v>95</v>
      </c>
      <c r="W9" s="17">
        <f>9+9+10+10</f>
        <v>38</v>
      </c>
      <c r="X9" s="28"/>
      <c r="Y9" s="13">
        <f>10+10+8+8</f>
        <v>36</v>
      </c>
      <c r="Z9" s="14"/>
      <c r="AA9" s="13">
        <f>11+11+10+8</f>
        <v>40</v>
      </c>
      <c r="AB9" s="14"/>
      <c r="AC9" s="13">
        <f>12+11+11+11</f>
        <v>45</v>
      </c>
      <c r="AD9" s="13"/>
      <c r="AE9" s="13">
        <f>12+11+10+12</f>
        <v>45</v>
      </c>
      <c r="AF9" s="19">
        <v>100</v>
      </c>
      <c r="AG9" s="17">
        <f>9+10+10+9</f>
        <v>38</v>
      </c>
      <c r="AH9" s="20">
        <f t="shared" si="2"/>
        <v>584</v>
      </c>
      <c r="AI9" s="21">
        <f t="shared" si="1"/>
        <v>1168</v>
      </c>
      <c r="AJ9" s="22">
        <v>100</v>
      </c>
      <c r="AK9" s="22"/>
    </row>
    <row r="10" ht="15" spans="1:38">
      <c r="A10" s="22">
        <v>9</v>
      </c>
      <c r="B10" s="11" t="s">
        <v>13</v>
      </c>
      <c r="C10" s="13">
        <v>130</v>
      </c>
      <c r="D10" s="13">
        <f t="shared" si="0"/>
        <v>91</v>
      </c>
      <c r="E10" s="13">
        <v>85</v>
      </c>
      <c r="F10" s="13">
        <f>7+7+8</f>
        <v>22</v>
      </c>
      <c r="G10" s="13">
        <f>8+8+8</f>
        <v>24</v>
      </c>
      <c r="H10" s="13">
        <f>8+8+9</f>
        <v>25</v>
      </c>
      <c r="I10" s="14"/>
      <c r="J10" s="13">
        <f>9+9+10</f>
        <v>28</v>
      </c>
      <c r="K10" s="16"/>
      <c r="L10" s="13">
        <f>10+10+10</f>
        <v>30</v>
      </c>
      <c r="M10" s="16">
        <v>95</v>
      </c>
      <c r="N10" s="17">
        <f>8+8+7</f>
        <v>23</v>
      </c>
      <c r="O10" s="18"/>
      <c r="P10" s="13">
        <f>9+9+9</f>
        <v>27</v>
      </c>
      <c r="Q10" s="13"/>
      <c r="R10" s="13">
        <f>9+9+10</f>
        <v>28</v>
      </c>
      <c r="S10" s="15">
        <v>100</v>
      </c>
      <c r="T10" s="17">
        <f>8+8+7+7</f>
        <v>30</v>
      </c>
      <c r="U10" s="13">
        <f>8+8+8+7</f>
        <v>31</v>
      </c>
      <c r="V10" s="13"/>
      <c r="W10" s="13">
        <f>9+9+9+9</f>
        <v>36</v>
      </c>
      <c r="X10" s="16"/>
      <c r="Y10" s="13">
        <f>10+9+9+9</f>
        <v>37</v>
      </c>
      <c r="Z10" s="19">
        <v>105</v>
      </c>
      <c r="AA10" s="17">
        <f>8+8+7+7</f>
        <v>30</v>
      </c>
      <c r="AB10" s="18"/>
      <c r="AC10" s="13">
        <f>8+7+7+6</f>
        <v>28</v>
      </c>
      <c r="AD10" s="13"/>
      <c r="AE10" s="13">
        <f>9+9+8+8</f>
        <v>34</v>
      </c>
      <c r="AF10" s="13"/>
      <c r="AG10" s="13">
        <f>10+10+9+9</f>
        <v>38</v>
      </c>
      <c r="AH10" s="20">
        <f t="shared" si="2"/>
        <v>471</v>
      </c>
      <c r="AI10" s="21">
        <f t="shared" si="1"/>
        <v>942</v>
      </c>
      <c r="AJ10" s="22">
        <v>105</v>
      </c>
      <c r="AK10" s="22"/>
    </row>
    <row r="11" ht="15" spans="1:38">
      <c r="A11" s="22">
        <v>10</v>
      </c>
      <c r="B11" s="11" t="s">
        <v>13</v>
      </c>
      <c r="C11" s="13">
        <v>125</v>
      </c>
      <c r="D11" s="13">
        <f t="shared" si="0"/>
        <v>87.5</v>
      </c>
      <c r="E11" s="13">
        <v>80</v>
      </c>
      <c r="F11" s="13">
        <f>10+9+9</f>
        <v>28</v>
      </c>
      <c r="G11" s="13">
        <f>9+9+9</f>
        <v>27</v>
      </c>
      <c r="H11" s="13">
        <f>11+11+11</f>
        <v>33</v>
      </c>
      <c r="I11" s="13"/>
      <c r="J11" s="13">
        <f>11+10+10</f>
        <v>31</v>
      </c>
      <c r="K11" s="13"/>
      <c r="L11" s="13">
        <f>11+12+12</f>
        <v>35</v>
      </c>
      <c r="M11" s="16">
        <v>92.5</v>
      </c>
      <c r="N11" s="17">
        <f>9+9+8</f>
        <v>26</v>
      </c>
      <c r="O11" s="18"/>
      <c r="P11" s="13">
        <f>8+8+9</f>
        <v>25</v>
      </c>
      <c r="Q11" s="13"/>
      <c r="R11" s="13">
        <f>10+10+10</f>
        <v>30</v>
      </c>
      <c r="S11" s="15"/>
      <c r="T11" s="13">
        <f>10+10+9+8</f>
        <v>37</v>
      </c>
      <c r="U11" s="13">
        <f>12+11+11+11</f>
        <v>45</v>
      </c>
      <c r="V11" s="13"/>
      <c r="W11" s="13">
        <f>11+11+11+11</f>
        <v>44</v>
      </c>
      <c r="X11" s="15">
        <v>97.5</v>
      </c>
      <c r="Y11" s="17">
        <f>9+9+8+7</f>
        <v>33</v>
      </c>
      <c r="Z11" s="18"/>
      <c r="AA11" s="13">
        <f>10+10+9+9</f>
        <v>38</v>
      </c>
      <c r="AB11" s="13"/>
      <c r="AC11" s="13">
        <f>10+9+9+9</f>
        <v>37</v>
      </c>
      <c r="AD11" s="13"/>
      <c r="AE11" s="13">
        <f>11+10+10+10</f>
        <v>41</v>
      </c>
      <c r="AF11" s="13"/>
      <c r="AG11" s="13">
        <f>10+10+9+9</f>
        <v>38</v>
      </c>
      <c r="AH11" s="20">
        <f t="shared" si="2"/>
        <v>548</v>
      </c>
      <c r="AI11" s="21">
        <f t="shared" si="1"/>
        <v>1096</v>
      </c>
      <c r="AJ11" s="22">
        <v>97.5</v>
      </c>
      <c r="AK11" s="22"/>
    </row>
    <row r="12" ht="28" spans="1:38">
      <c r="A12" s="29" t="s">
        <v>72</v>
      </c>
      <c r="B12" s="30"/>
      <c r="C12" s="30"/>
      <c r="D12" s="30"/>
      <c r="E12" s="31">
        <f>SUM(AH2:AH11)</f>
        <v>5314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2"/>
      <c r="AI12" s="33">
        <f>SUM(AI2:AI11)</f>
        <v>10628</v>
      </c>
      <c r="AJ12" s="34" t="s">
        <v>73</v>
      </c>
      <c r="AK12" s="34" t="s">
        <v>74</v>
      </c>
    </row>
    <row r="13" ht="31" customHeight="1" spans="1:38">
      <c r="A13" s="35" t="s">
        <v>75</v>
      </c>
      <c r="B13" s="36"/>
      <c r="C13" s="36"/>
      <c r="D13" s="36"/>
      <c r="E13" s="37">
        <f>AVERAGE(AH2:AH11)</f>
        <v>531.4</v>
      </c>
      <c r="F13" s="37">
        <f>_xlfn.STDEV.S(AH2:AH11)</f>
        <v>62.9994708972491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8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8"/>
      <c r="AH13" s="39"/>
      <c r="AI13" s="21"/>
    </row>
    <row r="14" ht="31" customHeight="1" spans="1:38">
      <c r="A14" s="40" t="s">
        <v>70</v>
      </c>
      <c r="B14" s="36"/>
      <c r="C14" s="36"/>
      <c r="D14" s="36"/>
      <c r="E14" s="37">
        <f>AVERAGE(AI2:AI11)</f>
        <v>1062.8</v>
      </c>
      <c r="F14" s="37">
        <f>_xlfn.STDEV.S(AI2:AI11)</f>
        <v>125.998941794498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19"/>
      <c r="AG14" s="38"/>
      <c r="AH14" s="39"/>
      <c r="AI14" s="21"/>
    </row>
    <row r="15" ht="15" spans="1:38">
      <c r="A15" s="22">
        <v>1</v>
      </c>
      <c r="B15" s="11" t="s">
        <v>28</v>
      </c>
      <c r="C15" s="13">
        <v>115</v>
      </c>
      <c r="D15" s="13">
        <f t="shared" ref="D15:D24" si="3">C15*0.7</f>
        <v>80.5</v>
      </c>
      <c r="E15" s="13">
        <v>75</v>
      </c>
      <c r="F15" s="13">
        <f>7+6+6</f>
        <v>19</v>
      </c>
      <c r="G15" s="13">
        <f>7+7+6</f>
        <v>20</v>
      </c>
      <c r="H15" s="13">
        <f>7+7+7</f>
        <v>21</v>
      </c>
      <c r="I15" s="13"/>
      <c r="J15" s="13">
        <f>7+7+6</f>
        <v>20</v>
      </c>
      <c r="K15" s="13"/>
      <c r="L15" s="13">
        <f>8+8+7</f>
        <v>23</v>
      </c>
      <c r="M15" s="14"/>
      <c r="N15" s="13">
        <f>8+8+7</f>
        <v>23</v>
      </c>
      <c r="O15" s="14"/>
      <c r="P15" s="13">
        <f>8+8+8</f>
        <v>24</v>
      </c>
      <c r="Q15" s="13"/>
      <c r="R15" s="13">
        <f t="shared" ref="R15:R19" si="4">9+8+8</f>
        <v>25</v>
      </c>
      <c r="S15" s="15">
        <v>85</v>
      </c>
      <c r="T15" s="41">
        <f>7+7+6+6</f>
        <v>26</v>
      </c>
      <c r="U15" s="13">
        <f>7+7+7+6</f>
        <v>27</v>
      </c>
      <c r="V15" s="13"/>
      <c r="W15" s="13">
        <f>7+7+7+6</f>
        <v>27</v>
      </c>
      <c r="X15" s="13"/>
      <c r="Y15" s="13">
        <f>8+8+7+6</f>
        <v>29</v>
      </c>
      <c r="Z15" s="14"/>
      <c r="AA15" s="13">
        <f>8+8+7+6</f>
        <v>29</v>
      </c>
      <c r="AB15" s="13"/>
      <c r="AC15" s="13">
        <f>8+8+8+8</f>
        <v>32</v>
      </c>
      <c r="AD15" s="13"/>
      <c r="AE15" s="13">
        <f>9+8+8+8</f>
        <v>33</v>
      </c>
      <c r="AF15" s="19">
        <v>90</v>
      </c>
      <c r="AG15" s="41">
        <f>7+7+6+6</f>
        <v>26</v>
      </c>
      <c r="AH15" s="20">
        <f t="shared" ref="AH15:AH24" si="5">SUM(F15,G15,H15,J15,L15,N15,P15,R15,T15,U15,W15,Y15,AA15,AC15,AE15,AG15)</f>
        <v>404</v>
      </c>
      <c r="AI15" s="21">
        <f t="shared" ref="AI15:AI24" si="6">AH15*4</f>
        <v>1616</v>
      </c>
      <c r="AJ15" s="22">
        <v>90</v>
      </c>
      <c r="AK15" s="22"/>
      <c r="AL15">
        <f>AVERAGE(AJ15:AK24)</f>
        <v>103.5</v>
      </c>
    </row>
    <row r="16" ht="15" spans="1:38">
      <c r="A16" s="22">
        <v>2</v>
      </c>
      <c r="B16" s="11" t="s">
        <v>28</v>
      </c>
      <c r="C16" s="13">
        <v>135</v>
      </c>
      <c r="D16" s="13">
        <f t="shared" si="3"/>
        <v>94.5</v>
      </c>
      <c r="E16" s="13">
        <v>90</v>
      </c>
      <c r="F16" s="13">
        <f>8+7+6</f>
        <v>21</v>
      </c>
      <c r="G16" s="13">
        <f>8+7+7</f>
        <v>22</v>
      </c>
      <c r="H16" s="13">
        <f>9+8+7</f>
        <v>24</v>
      </c>
      <c r="I16" s="13"/>
      <c r="J16" s="13">
        <f>9+8+8</f>
        <v>25</v>
      </c>
      <c r="K16" s="13"/>
      <c r="L16" s="13">
        <f>9+8+8</f>
        <v>25</v>
      </c>
      <c r="M16" s="16">
        <v>100</v>
      </c>
      <c r="N16" s="41">
        <f>7+7+6</f>
        <v>20</v>
      </c>
      <c r="O16" s="18"/>
      <c r="P16" s="13">
        <f>8+7+7</f>
        <v>22</v>
      </c>
      <c r="Q16" s="13"/>
      <c r="R16" s="13">
        <f>8+7+7</f>
        <v>22</v>
      </c>
      <c r="S16" s="16"/>
      <c r="T16" s="13">
        <f>9+8+8+7</f>
        <v>32</v>
      </c>
      <c r="U16" s="13">
        <f>10+8+7+7</f>
        <v>32</v>
      </c>
      <c r="V16" s="13"/>
      <c r="W16" s="13">
        <f>8+8+8+8</f>
        <v>32</v>
      </c>
      <c r="X16" s="13"/>
      <c r="Y16" s="13">
        <f>9+8+8+8</f>
        <v>33</v>
      </c>
      <c r="Z16" s="19">
        <v>105</v>
      </c>
      <c r="AA16" s="41">
        <f>7+7+7+6</f>
        <v>27</v>
      </c>
      <c r="AB16" s="18"/>
      <c r="AC16" s="13">
        <f>8+8+7+7</f>
        <v>30</v>
      </c>
      <c r="AD16" s="13"/>
      <c r="AE16" s="13">
        <f>8+8+7+6</f>
        <v>29</v>
      </c>
      <c r="AF16" s="13"/>
      <c r="AG16" s="13">
        <f>8+7+6+6</f>
        <v>27</v>
      </c>
      <c r="AH16" s="20">
        <f t="shared" si="5"/>
        <v>423</v>
      </c>
      <c r="AI16" s="21">
        <f t="shared" si="6"/>
        <v>1692</v>
      </c>
      <c r="AJ16" s="22">
        <v>105</v>
      </c>
      <c r="AK16" s="22"/>
      <c r="AL16" s="23">
        <f>_xlfn.STDEV.S(AJ15:AK24)</f>
        <v>9.14391114956347</v>
      </c>
    </row>
    <row r="17" ht="15" spans="1:37">
      <c r="A17" s="22">
        <v>3</v>
      </c>
      <c r="B17" s="11" t="s">
        <v>28</v>
      </c>
      <c r="C17" s="13">
        <v>120</v>
      </c>
      <c r="D17" s="13">
        <f t="shared" si="3"/>
        <v>84</v>
      </c>
      <c r="E17" s="13">
        <v>80</v>
      </c>
      <c r="F17" s="13">
        <f>10+8+7</f>
        <v>25</v>
      </c>
      <c r="G17" s="13">
        <f>9+8+6</f>
        <v>23</v>
      </c>
      <c r="H17" s="13">
        <f>8+8+8</f>
        <v>24</v>
      </c>
      <c r="I17" s="13"/>
      <c r="J17" s="13">
        <f>9+8+8</f>
        <v>25</v>
      </c>
      <c r="K17" s="16">
        <v>90</v>
      </c>
      <c r="L17" s="41">
        <f>8+8+6</f>
        <v>22</v>
      </c>
      <c r="M17" s="18"/>
      <c r="N17" s="13">
        <f t="shared" ref="N17:N21" si="7">8+7+7</f>
        <v>22</v>
      </c>
      <c r="O17" s="14"/>
      <c r="P17" s="13">
        <f>8+8+7</f>
        <v>23</v>
      </c>
      <c r="Q17" s="13"/>
      <c r="R17" s="13">
        <f t="shared" si="4"/>
        <v>25</v>
      </c>
      <c r="S17" s="16"/>
      <c r="T17" s="13">
        <f>9+9+8+7</f>
        <v>33</v>
      </c>
      <c r="U17" s="13">
        <f>9+9+8+8</f>
        <v>34</v>
      </c>
      <c r="V17" s="13"/>
      <c r="W17" s="13">
        <f>9+8+8+8</f>
        <v>33</v>
      </c>
      <c r="X17" s="15">
        <v>95</v>
      </c>
      <c r="Y17" s="41">
        <f>7+7+7+6</f>
        <v>27</v>
      </c>
      <c r="Z17" s="19"/>
      <c r="AA17" s="13">
        <f>9+8+8+7</f>
        <v>32</v>
      </c>
      <c r="AB17" s="13"/>
      <c r="AC17" s="13">
        <f>9+7+7+7</f>
        <v>30</v>
      </c>
      <c r="AD17" s="14"/>
      <c r="AE17" s="13">
        <f>8+8+8+7</f>
        <v>31</v>
      </c>
      <c r="AF17" s="13"/>
      <c r="AG17" s="13">
        <f>8+8+7+7</f>
        <v>30</v>
      </c>
      <c r="AH17" s="20">
        <f t="shared" si="5"/>
        <v>439</v>
      </c>
      <c r="AI17" s="21">
        <f t="shared" si="6"/>
        <v>1756</v>
      </c>
      <c r="AJ17" s="22">
        <v>95</v>
      </c>
      <c r="AK17" s="22"/>
    </row>
    <row r="18" ht="15" spans="1:37">
      <c r="A18" s="22">
        <v>4</v>
      </c>
      <c r="B18" s="11" t="s">
        <v>28</v>
      </c>
      <c r="C18" s="13">
        <v>160</v>
      </c>
      <c r="D18" s="13">
        <f t="shared" si="3"/>
        <v>112</v>
      </c>
      <c r="E18" s="13">
        <v>100</v>
      </c>
      <c r="F18" s="13">
        <f>8+7+6</f>
        <v>21</v>
      </c>
      <c r="G18" s="13">
        <f>8+7+6</f>
        <v>21</v>
      </c>
      <c r="H18" s="13">
        <f>8+8+7</f>
        <v>23</v>
      </c>
      <c r="I18" s="13"/>
      <c r="J18" s="13">
        <f>8+8+8</f>
        <v>24</v>
      </c>
      <c r="K18" s="13"/>
      <c r="L18" s="13">
        <f>8+7+7</f>
        <v>22</v>
      </c>
      <c r="M18" s="14"/>
      <c r="N18" s="13">
        <f>8+8+8</f>
        <v>24</v>
      </c>
      <c r="O18" s="14"/>
      <c r="P18" s="13">
        <f>8+8+9</f>
        <v>25</v>
      </c>
      <c r="Q18" s="16">
        <v>115</v>
      </c>
      <c r="R18" s="41">
        <f t="shared" ref="R18:R24" si="8">7+7+6</f>
        <v>20</v>
      </c>
      <c r="S18" s="28"/>
      <c r="T18" s="13">
        <f>7+7+7+6</f>
        <v>27</v>
      </c>
      <c r="U18" s="13">
        <f>8+7+7+7</f>
        <v>29</v>
      </c>
      <c r="V18" s="13"/>
      <c r="W18" s="13">
        <f>8+7+7+7</f>
        <v>29</v>
      </c>
      <c r="X18" s="13"/>
      <c r="Y18" s="13">
        <f>8+8+8+8</f>
        <v>32</v>
      </c>
      <c r="Z18" s="14"/>
      <c r="AA18" s="13">
        <f>8+7+7+8</f>
        <v>30</v>
      </c>
      <c r="AB18" s="19">
        <v>120</v>
      </c>
      <c r="AC18" s="41">
        <f>7+7+6+6</f>
        <v>26</v>
      </c>
      <c r="AD18" s="18"/>
      <c r="AE18" s="13">
        <f>7+7+7+6</f>
        <v>27</v>
      </c>
      <c r="AF18" s="13"/>
      <c r="AG18" s="13">
        <f>8+8+7+6</f>
        <v>29</v>
      </c>
      <c r="AH18" s="20">
        <f t="shared" si="5"/>
        <v>409</v>
      </c>
      <c r="AI18" s="21">
        <f t="shared" si="6"/>
        <v>1636</v>
      </c>
      <c r="AJ18" s="22">
        <v>120</v>
      </c>
      <c r="AK18" s="22"/>
    </row>
    <row r="19" ht="15" spans="1:37">
      <c r="A19" s="22">
        <v>5</v>
      </c>
      <c r="B19" s="11" t="s">
        <v>28</v>
      </c>
      <c r="C19" s="13">
        <v>125</v>
      </c>
      <c r="D19" s="13">
        <f t="shared" si="3"/>
        <v>87.5</v>
      </c>
      <c r="E19" s="13">
        <v>80</v>
      </c>
      <c r="F19" s="13">
        <f>6+6+5</f>
        <v>17</v>
      </c>
      <c r="G19" s="13">
        <f t="shared" ref="G19:G24" si="9">7+6+6</f>
        <v>19</v>
      </c>
      <c r="H19" s="13">
        <f>7+6+7</f>
        <v>20</v>
      </c>
      <c r="I19" s="13"/>
      <c r="J19" s="13">
        <f>7+7+7</f>
        <v>21</v>
      </c>
      <c r="K19" s="16">
        <v>92.5</v>
      </c>
      <c r="L19" s="41">
        <f>7+6+6</f>
        <v>19</v>
      </c>
      <c r="M19" s="18"/>
      <c r="N19" s="13">
        <f t="shared" si="7"/>
        <v>22</v>
      </c>
      <c r="O19" s="14"/>
      <c r="P19" s="13">
        <f>8+8+8</f>
        <v>24</v>
      </c>
      <c r="Q19" s="13"/>
      <c r="R19" s="13">
        <f t="shared" si="4"/>
        <v>25</v>
      </c>
      <c r="S19" s="16">
        <v>97.5</v>
      </c>
      <c r="T19" s="41">
        <f>8+7+7+6</f>
        <v>28</v>
      </c>
      <c r="U19" s="13">
        <f>8+7+7+6</f>
        <v>28</v>
      </c>
      <c r="V19" s="13"/>
      <c r="W19" s="13">
        <f>8+8+7+7</f>
        <v>30</v>
      </c>
      <c r="X19" s="13"/>
      <c r="Y19" s="13">
        <f>8+8+7+7</f>
        <v>30</v>
      </c>
      <c r="Z19" s="13"/>
      <c r="AA19" s="13">
        <f>8+8+7+8</f>
        <v>31</v>
      </c>
      <c r="AB19" s="19"/>
      <c r="AC19" s="13">
        <f>9+8+8+7</f>
        <v>32</v>
      </c>
      <c r="AD19" s="14"/>
      <c r="AE19" s="13">
        <f>8+8+7+8</f>
        <v>31</v>
      </c>
      <c r="AF19" s="13"/>
      <c r="AG19" s="13">
        <f>8+8+8+8</f>
        <v>32</v>
      </c>
      <c r="AH19" s="20">
        <f t="shared" si="5"/>
        <v>409</v>
      </c>
      <c r="AI19" s="21">
        <f t="shared" si="6"/>
        <v>1636</v>
      </c>
      <c r="AJ19" s="22">
        <v>97.5</v>
      </c>
      <c r="AK19" s="22"/>
    </row>
    <row r="20" ht="15" spans="1:37">
      <c r="A20" s="22">
        <v>6</v>
      </c>
      <c r="B20" s="11" t="s">
        <v>28</v>
      </c>
      <c r="C20" s="13">
        <v>150</v>
      </c>
      <c r="D20" s="13">
        <f t="shared" si="3"/>
        <v>105</v>
      </c>
      <c r="E20" s="13">
        <v>95</v>
      </c>
      <c r="F20" s="13">
        <f>7+6+5</f>
        <v>18</v>
      </c>
      <c r="G20" s="13">
        <f t="shared" si="9"/>
        <v>19</v>
      </c>
      <c r="H20" s="13">
        <f>7+6+6</f>
        <v>19</v>
      </c>
      <c r="I20" s="13"/>
      <c r="J20" s="13">
        <f>8+7+7</f>
        <v>22</v>
      </c>
      <c r="K20" s="13"/>
      <c r="L20" s="13">
        <f t="shared" ref="L20:L24" si="10">8+8+7</f>
        <v>23</v>
      </c>
      <c r="M20" s="16">
        <v>110</v>
      </c>
      <c r="N20" s="41">
        <f>7+7+6</f>
        <v>20</v>
      </c>
      <c r="O20" s="18"/>
      <c r="P20" s="13">
        <f>7+7+6</f>
        <v>20</v>
      </c>
      <c r="Q20" s="13"/>
      <c r="R20" s="13">
        <f>8+8+7</f>
        <v>23</v>
      </c>
      <c r="S20" s="16"/>
      <c r="T20" s="13">
        <f>8+8+7+6</f>
        <v>29</v>
      </c>
      <c r="U20" s="13">
        <f>8+8+8+7</f>
        <v>31</v>
      </c>
      <c r="V20" s="13"/>
      <c r="W20" s="13">
        <f>8+8+8+7</f>
        <v>31</v>
      </c>
      <c r="X20" s="13"/>
      <c r="Y20" s="13">
        <f>9+8+8+8</f>
        <v>33</v>
      </c>
      <c r="Z20" s="13"/>
      <c r="AA20" s="13">
        <f>9+9+8+8</f>
        <v>34</v>
      </c>
      <c r="AB20" s="19">
        <v>115</v>
      </c>
      <c r="AC20" s="41">
        <f>7+7+6+6</f>
        <v>26</v>
      </c>
      <c r="AD20" s="18"/>
      <c r="AE20" s="13">
        <f>7+6+6+6</f>
        <v>25</v>
      </c>
      <c r="AF20" s="13"/>
      <c r="AG20" s="13">
        <f>8+7+7+7</f>
        <v>29</v>
      </c>
      <c r="AH20" s="20">
        <f t="shared" si="5"/>
        <v>402</v>
      </c>
      <c r="AI20" s="21">
        <f t="shared" si="6"/>
        <v>1608</v>
      </c>
      <c r="AJ20" s="22">
        <v>115</v>
      </c>
      <c r="AK20" s="22"/>
    </row>
    <row r="21" ht="15" spans="1:37">
      <c r="A21" s="22">
        <v>7</v>
      </c>
      <c r="B21" s="11" t="s">
        <v>28</v>
      </c>
      <c r="C21" s="13">
        <v>130</v>
      </c>
      <c r="D21" s="13">
        <f t="shared" si="3"/>
        <v>91</v>
      </c>
      <c r="E21" s="13">
        <v>85</v>
      </c>
      <c r="F21" s="13">
        <f>7+7+6</f>
        <v>20</v>
      </c>
      <c r="G21" s="13">
        <f>7+7+6</f>
        <v>20</v>
      </c>
      <c r="H21" s="13">
        <f>7+7+7</f>
        <v>21</v>
      </c>
      <c r="I21" s="13"/>
      <c r="J21" s="13">
        <f t="shared" ref="J21:J24" si="11">8+7+6</f>
        <v>21</v>
      </c>
      <c r="K21" s="13"/>
      <c r="L21" s="13">
        <f t="shared" si="10"/>
        <v>23</v>
      </c>
      <c r="M21" s="14"/>
      <c r="N21" s="13">
        <f t="shared" si="7"/>
        <v>22</v>
      </c>
      <c r="O21" s="14"/>
      <c r="P21" s="13">
        <f>8+8+8</f>
        <v>24</v>
      </c>
      <c r="Q21" s="14"/>
      <c r="R21" s="13">
        <f>9+8+8</f>
        <v>25</v>
      </c>
      <c r="S21" s="16">
        <v>97.5</v>
      </c>
      <c r="T21" s="41">
        <f>8+8+7+7</f>
        <v>30</v>
      </c>
      <c r="U21" s="13">
        <f>8+8+7+7</f>
        <v>30</v>
      </c>
      <c r="V21" s="13"/>
      <c r="W21" s="13">
        <f>9+9+8+8</f>
        <v>34</v>
      </c>
      <c r="X21" s="13"/>
      <c r="Y21" s="13">
        <f t="shared" ref="Y21:Y24" si="12">9+8+8+7</f>
        <v>32</v>
      </c>
      <c r="Z21" s="13"/>
      <c r="AA21" s="13">
        <f>9+8+7+7</f>
        <v>31</v>
      </c>
      <c r="AB21" s="13"/>
      <c r="AC21" s="13">
        <f>8+9+8+7</f>
        <v>32</v>
      </c>
      <c r="AD21" s="14"/>
      <c r="AE21" s="13">
        <f>9+8+8+7</f>
        <v>32</v>
      </c>
      <c r="AF21" s="14"/>
      <c r="AG21" s="13">
        <f>10+9+8+7</f>
        <v>34</v>
      </c>
      <c r="AH21" s="20">
        <f t="shared" si="5"/>
        <v>431</v>
      </c>
      <c r="AI21" s="21">
        <f t="shared" si="6"/>
        <v>1724</v>
      </c>
      <c r="AJ21" s="22">
        <v>97.5</v>
      </c>
      <c r="AK21" s="22"/>
    </row>
    <row r="22" ht="15" spans="1:37">
      <c r="A22" s="22">
        <v>8</v>
      </c>
      <c r="B22" s="11" t="s">
        <v>28</v>
      </c>
      <c r="C22" s="13">
        <v>140</v>
      </c>
      <c r="D22" s="13">
        <f t="shared" si="3"/>
        <v>98</v>
      </c>
      <c r="E22" s="13">
        <v>85</v>
      </c>
      <c r="F22" s="13">
        <f>7+6+6</f>
        <v>19</v>
      </c>
      <c r="G22" s="13">
        <f t="shared" si="9"/>
        <v>19</v>
      </c>
      <c r="H22" s="13">
        <f>8+7+7</f>
        <v>22</v>
      </c>
      <c r="I22" s="13"/>
      <c r="J22" s="13">
        <f t="shared" si="11"/>
        <v>21</v>
      </c>
      <c r="K22" s="13"/>
      <c r="L22" s="13">
        <f>8+8+8</f>
        <v>24</v>
      </c>
      <c r="M22" s="14"/>
      <c r="N22" s="13">
        <f>9+8+8</f>
        <v>25</v>
      </c>
      <c r="O22" s="16">
        <v>102.5</v>
      </c>
      <c r="P22" s="41">
        <f>7+7+6</f>
        <v>20</v>
      </c>
      <c r="Q22" s="18"/>
      <c r="R22" s="13">
        <f t="shared" si="8"/>
        <v>20</v>
      </c>
      <c r="S22" s="16"/>
      <c r="T22" s="13">
        <f>8+8+7</f>
        <v>23</v>
      </c>
      <c r="U22" s="13">
        <f>9+7+7</f>
        <v>23</v>
      </c>
      <c r="V22" s="13"/>
      <c r="W22" s="13">
        <f>9+8+8+8</f>
        <v>33</v>
      </c>
      <c r="X22" s="13"/>
      <c r="Y22" s="13">
        <f t="shared" si="12"/>
        <v>32</v>
      </c>
      <c r="Z22" s="13"/>
      <c r="AA22" s="13">
        <f>8+8+8+7</f>
        <v>31</v>
      </c>
      <c r="AB22" s="13"/>
      <c r="AC22" s="13">
        <f>9+9+8+8</f>
        <v>34</v>
      </c>
      <c r="AD22" s="13"/>
      <c r="AE22" s="13">
        <f>9+8+8+8</f>
        <v>33</v>
      </c>
      <c r="AF22" s="19">
        <v>107.5</v>
      </c>
      <c r="AG22" s="41">
        <f>7+7+6+6</f>
        <v>26</v>
      </c>
      <c r="AH22" s="20">
        <f t="shared" si="5"/>
        <v>405</v>
      </c>
      <c r="AI22" s="21">
        <f t="shared" si="6"/>
        <v>1620</v>
      </c>
      <c r="AJ22" s="22">
        <v>107.5</v>
      </c>
      <c r="AK22" s="22"/>
    </row>
    <row r="23" ht="15" spans="1:37">
      <c r="A23" s="22">
        <v>9</v>
      </c>
      <c r="B23" s="11" t="s">
        <v>28</v>
      </c>
      <c r="C23" s="13">
        <v>130</v>
      </c>
      <c r="D23" s="13">
        <f t="shared" si="3"/>
        <v>91</v>
      </c>
      <c r="E23" s="13">
        <v>80</v>
      </c>
      <c r="F23" s="13">
        <f>7+7+6</f>
        <v>20</v>
      </c>
      <c r="G23" s="13">
        <f t="shared" si="9"/>
        <v>19</v>
      </c>
      <c r="H23" s="13">
        <f>7+7+7</f>
        <v>21</v>
      </c>
      <c r="I23" s="13"/>
      <c r="J23" s="13">
        <f>8+8+7</f>
        <v>23</v>
      </c>
      <c r="K23" s="13"/>
      <c r="L23" s="13">
        <f>8+8+8</f>
        <v>24</v>
      </c>
      <c r="M23" s="13"/>
      <c r="N23" s="13">
        <f>9+8+8</f>
        <v>25</v>
      </c>
      <c r="O23" s="16">
        <v>98</v>
      </c>
      <c r="P23" s="41">
        <f>8+8+7</f>
        <v>23</v>
      </c>
      <c r="Q23" s="18"/>
      <c r="R23" s="13">
        <f t="shared" si="8"/>
        <v>20</v>
      </c>
      <c r="S23" s="14"/>
      <c r="T23" s="13">
        <f>7+7+7+6</f>
        <v>27</v>
      </c>
      <c r="U23" s="13">
        <f>8+8+7+7</f>
        <v>30</v>
      </c>
      <c r="V23" s="13"/>
      <c r="W23" s="13">
        <f>8+8+7+6</f>
        <v>29</v>
      </c>
      <c r="X23" s="13"/>
      <c r="Y23" s="13">
        <f t="shared" si="12"/>
        <v>32</v>
      </c>
      <c r="Z23" s="13"/>
      <c r="AA23" s="13">
        <f>9+9+8+8</f>
        <v>34</v>
      </c>
      <c r="AB23" s="13"/>
      <c r="AC23" s="13">
        <f>10+9+9+8</f>
        <v>36</v>
      </c>
      <c r="AD23" s="19">
        <v>102.5</v>
      </c>
      <c r="AE23" s="41">
        <f>8+8+7+7</f>
        <v>30</v>
      </c>
      <c r="AF23" s="19"/>
      <c r="AG23" s="13">
        <f>8+8+7+7</f>
        <v>30</v>
      </c>
      <c r="AH23" s="20">
        <f t="shared" si="5"/>
        <v>423</v>
      </c>
      <c r="AI23" s="21">
        <f t="shared" si="6"/>
        <v>1692</v>
      </c>
      <c r="AJ23" s="22">
        <v>102.5</v>
      </c>
      <c r="AK23" s="22"/>
    </row>
    <row r="24" ht="15" spans="1:37">
      <c r="A24" s="22">
        <v>10</v>
      </c>
      <c r="B24" s="11" t="s">
        <v>28</v>
      </c>
      <c r="C24" s="13">
        <v>140</v>
      </c>
      <c r="D24" s="13">
        <f t="shared" si="3"/>
        <v>98</v>
      </c>
      <c r="E24" s="13">
        <v>82.5</v>
      </c>
      <c r="F24" s="13">
        <f>7+6+6</f>
        <v>19</v>
      </c>
      <c r="G24" s="13">
        <f t="shared" si="9"/>
        <v>19</v>
      </c>
      <c r="H24" s="13">
        <f>8+7+7</f>
        <v>22</v>
      </c>
      <c r="I24" s="13"/>
      <c r="J24" s="13">
        <f t="shared" si="11"/>
        <v>21</v>
      </c>
      <c r="K24" s="13"/>
      <c r="L24" s="13">
        <f t="shared" si="10"/>
        <v>23</v>
      </c>
      <c r="M24" s="13"/>
      <c r="N24" s="13">
        <f>8+8+8</f>
        <v>24</v>
      </c>
      <c r="O24" s="13"/>
      <c r="P24" s="13">
        <f>9+8+8</f>
        <v>25</v>
      </c>
      <c r="Q24" s="15">
        <v>105</v>
      </c>
      <c r="R24" s="41">
        <f t="shared" si="8"/>
        <v>20</v>
      </c>
      <c r="S24" s="18"/>
      <c r="T24" s="13">
        <f>8+7+7+6</f>
        <v>28</v>
      </c>
      <c r="U24" s="13">
        <f>8+7+7+6</f>
        <v>28</v>
      </c>
      <c r="V24" s="13"/>
      <c r="W24" s="13">
        <f>9+8+7+7</f>
        <v>31</v>
      </c>
      <c r="X24" s="13"/>
      <c r="Y24" s="13">
        <f t="shared" si="12"/>
        <v>32</v>
      </c>
      <c r="Z24" s="13"/>
      <c r="AA24" s="13">
        <f>9+8+8+8</f>
        <v>33</v>
      </c>
      <c r="AB24" s="13"/>
      <c r="AC24" s="13">
        <f>10+8+8+7</f>
        <v>33</v>
      </c>
      <c r="AD24" s="13"/>
      <c r="AE24" s="13">
        <f>9+8+7+7</f>
        <v>31</v>
      </c>
      <c r="AF24" s="13"/>
      <c r="AG24" s="13">
        <f>10+8+8+8</f>
        <v>34</v>
      </c>
      <c r="AH24" s="20">
        <f t="shared" si="5"/>
        <v>423</v>
      </c>
      <c r="AI24" s="21">
        <f t="shared" si="6"/>
        <v>1692</v>
      </c>
      <c r="AJ24" s="22">
        <v>105</v>
      </c>
      <c r="AK24" s="22"/>
    </row>
    <row r="25" ht="28" spans="1:37">
      <c r="A25" s="29" t="s">
        <v>76</v>
      </c>
      <c r="B25" s="30"/>
      <c r="C25" s="30"/>
      <c r="D25" s="30"/>
      <c r="E25" s="42">
        <f>SUM(AH15:AH24)</f>
        <v>4168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43">
        <f>SUM(AI15:AI24)</f>
        <v>16672</v>
      </c>
      <c r="AJ25" s="34" t="s">
        <v>73</v>
      </c>
      <c r="AK25" s="34" t="s">
        <v>77</v>
      </c>
    </row>
    <row r="26" ht="36" customHeight="1" spans="1:37">
      <c r="A26" s="35" t="s">
        <v>75</v>
      </c>
      <c r="B26" s="36"/>
      <c r="C26" s="36"/>
      <c r="D26" s="36"/>
      <c r="E26" s="37">
        <f>AVERAGE(AH15:AH24)</f>
        <v>416.8</v>
      </c>
      <c r="F26" s="37">
        <f>_xlfn.STDEV.S(AH15:AH24)</f>
        <v>12.7087021804396</v>
      </c>
      <c r="G26" s="37"/>
      <c r="H26" s="37"/>
      <c r="I26" s="37"/>
      <c r="J26" s="37"/>
      <c r="K26" s="37"/>
      <c r="L26" s="37"/>
      <c r="M26" s="37"/>
      <c r="N26" s="38"/>
      <c r="O26" s="38"/>
      <c r="P26" s="44"/>
      <c r="Q26" s="44"/>
      <c r="R26" s="44"/>
      <c r="S26" s="44"/>
      <c r="T26" s="38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8"/>
      <c r="AH26" s="45"/>
    </row>
    <row r="27" ht="36" customHeight="1" spans="1:37">
      <c r="A27" s="35" t="s">
        <v>70</v>
      </c>
      <c r="B27" s="36"/>
      <c r="C27" s="36"/>
      <c r="D27" s="36"/>
      <c r="E27" s="37">
        <f>AVERAGE(AI15:AI24)</f>
        <v>1667.2</v>
      </c>
      <c r="F27" s="37">
        <f>_xlfn.STDEV.S(AI15:AI24)</f>
        <v>50.8348087217585</v>
      </c>
      <c r="G27" s="37"/>
      <c r="H27" s="37"/>
      <c r="I27" s="37"/>
      <c r="J27" s="37"/>
      <c r="K27" s="37"/>
      <c r="L27" s="37"/>
      <c r="M27" s="37"/>
      <c r="N27" s="38"/>
      <c r="O27" s="38"/>
      <c r="P27" s="44"/>
      <c r="Q27" s="44"/>
      <c r="R27" s="44"/>
      <c r="S27" s="44"/>
      <c r="T27" s="38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8"/>
      <c r="AH27" s="45"/>
    </row>
    <row r="28" spans="1:37">
      <c r="AG28" s="46"/>
    </row>
  </sheetData>
  <mergeCells count="29">
    <mergeCell ref="AJ1:AK1"/>
    <mergeCell ref="AJ2:AK2"/>
    <mergeCell ref="AJ3:AK3"/>
    <mergeCell ref="AJ4:AK4"/>
    <mergeCell ref="AJ5:AK5"/>
    <mergeCell ref="AJ6:AK6"/>
    <mergeCell ref="AJ7:AK7"/>
    <mergeCell ref="AJ8:AK8"/>
    <mergeCell ref="AJ9:AK9"/>
    <mergeCell ref="AJ10:AK10"/>
    <mergeCell ref="AJ11:AK11"/>
    <mergeCell ref="A12:D12"/>
    <mergeCell ref="E12:AH12"/>
    <mergeCell ref="A13:D13"/>
    <mergeCell ref="A14:D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AJ23:AK23"/>
    <mergeCell ref="AJ24:AK24"/>
    <mergeCell ref="A25:D25"/>
    <mergeCell ref="E25:AH25"/>
    <mergeCell ref="A26:D26"/>
    <mergeCell ref="A27:D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5"/>
  <sheetViews>
    <sheetView tabSelected="1" zoomScale="85" zoomScaleNormal="85" workbookViewId="0">
      <selection activeCell="AN106" sqref="AH105:AN106"/>
    </sheetView>
  </sheetViews>
  <sheetFormatPr defaultColWidth="8.72727272727273" defaultRowHeight="14"/>
  <cols>
    <col min="22" max="22" width="20.3636363636364" customWidth="1"/>
  </cols>
  <sheetData>
    <row r="1" ht="42" customHeight="1" spans="1:4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3" ht="45" spans="1:41">
      <c r="V23" s="2" t="s">
        <v>78</v>
      </c>
    </row>
    <row r="24" ht="43" customHeight="1" spans="1:41">
      <c r="A24" s="1" t="s">
        <v>79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49" ht="45.5" spans="1:41">
      <c r="A49" s="1" t="s">
        <v>80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75" ht="45.5" spans="1:41">
      <c r="A75" s="1" t="s">
        <v>81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</sheetData>
  <mergeCells count="4">
    <mergeCell ref="A1:AO1"/>
    <mergeCell ref="A24:AO24"/>
    <mergeCell ref="A49:AO49"/>
    <mergeCell ref="A75:AO7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Lower Limb Strength Indices</vt:lpstr>
      <vt:lpstr>Repetitions</vt:lpstr>
      <vt:lpstr>SPSS Output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生如夏花</cp:lastModifiedBy>
  <dcterms:created xsi:type="dcterms:W3CDTF">2024-09-19T01:52:00Z</dcterms:created>
  <dcterms:modified xsi:type="dcterms:W3CDTF">2026-07-07T13:10:39Z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2B0B5DCEB2A349869F2AD98878178991_13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