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\STAT101A\"/>
    </mc:Choice>
  </mc:AlternateContent>
  <bookViews>
    <workbookView xWindow="0" yWindow="0" windowWidth="23040" windowHeight="11412" firstSheet="4" activeTab="9"/>
  </bookViews>
  <sheets>
    <sheet name="ASFData2" sheetId="38" r:id="rId1"/>
    <sheet name="ASFData" sheetId="35" r:id="rId2"/>
    <sheet name="SLRData2" sheetId="27" r:id="rId3"/>
    <sheet name="SLRData" sheetId="24" r:id="rId4"/>
    <sheet name="Q1-8" sheetId="23" r:id="rId5"/>
    <sheet name="Q9" sheetId="25" r:id="rId6"/>
    <sheet name="Q15" sheetId="28" r:id="rId7"/>
    <sheet name="Q10-14 &amp; 16-17" sheetId="26" r:id="rId8"/>
    <sheet name="Q18-22" sheetId="34" r:id="rId9"/>
    <sheet name="Q23-25" sheetId="36" r:id="rId10"/>
    <sheet name="Q26-33" sheetId="37" r:id="rId11"/>
    <sheet name="Q34-36" sheetId="33" r:id="rId12"/>
    <sheet name="Q37-40" sheetId="32" r:id="rId13"/>
    <sheet name="EDUC data" sheetId="1" r:id="rId14"/>
    <sheet name="REC Data" sheetId="2" r:id="rId15"/>
    <sheet name="CON Data" sheetId="3" r:id="rId16"/>
    <sheet name="CLO Data" sheetId="4" r:id="rId17"/>
  </sheets>
  <definedNames>
    <definedName name="_xlnm._FilterDatabase" localSheetId="16" hidden="1">'CLO Data'!$A$1:$B$84</definedName>
    <definedName name="_xlnm._FilterDatabase" localSheetId="15" hidden="1">'CON Data'!$A$1:$B$84</definedName>
  </definedNames>
  <calcPr calcId="152511"/>
  <pivotCaches>
    <pivotCache cacheId="2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37" l="1"/>
  <c r="B12" i="37" s="1"/>
  <c r="B13" i="37" s="1"/>
  <c r="C13" i="37"/>
  <c r="J2" i="37"/>
  <c r="C12" i="37" s="1"/>
  <c r="E7" i="37"/>
  <c r="D7" i="37"/>
  <c r="C7" i="37"/>
  <c r="B7" i="37"/>
  <c r="E6" i="37"/>
  <c r="D6" i="37"/>
  <c r="C6" i="37"/>
  <c r="B6" i="37"/>
  <c r="E5" i="37"/>
  <c r="D5" i="37"/>
  <c r="C5" i="37"/>
  <c r="B5" i="37"/>
  <c r="I4" i="36"/>
  <c r="C7" i="36"/>
  <c r="G7" i="36" s="1"/>
  <c r="H7" i="36" s="1"/>
  <c r="B7" i="36"/>
  <c r="F7" i="36"/>
  <c r="C6" i="36"/>
  <c r="G5" i="36" s="1"/>
  <c r="H5" i="36" s="1"/>
  <c r="B6" i="36"/>
  <c r="F6" i="36"/>
  <c r="F5" i="36"/>
  <c r="C5" i="36"/>
  <c r="B5" i="36"/>
  <c r="B13" i="36"/>
  <c r="B12" i="36"/>
  <c r="B10" i="36"/>
  <c r="B15" i="34"/>
  <c r="B12" i="34" s="1"/>
  <c r="B13" i="34" s="1"/>
  <c r="C13" i="34"/>
  <c r="J2" i="34"/>
  <c r="C12" i="34" s="1"/>
  <c r="E7" i="34"/>
  <c r="D7" i="34"/>
  <c r="C7" i="34"/>
  <c r="B7" i="34"/>
  <c r="E6" i="34"/>
  <c r="D6" i="34"/>
  <c r="C6" i="34"/>
  <c r="B6" i="34"/>
  <c r="E5" i="34"/>
  <c r="D5" i="34"/>
  <c r="C5" i="34"/>
  <c r="B5" i="34"/>
  <c r="H20" i="33"/>
  <c r="H19" i="33"/>
  <c r="H18" i="33"/>
  <c r="H15" i="33"/>
  <c r="H16" i="33"/>
  <c r="H14" i="33"/>
  <c r="E16" i="33"/>
  <c r="F16" i="33" s="1"/>
  <c r="G16" i="33" s="1"/>
  <c r="E15" i="33"/>
  <c r="E14" i="33"/>
  <c r="F15" i="33"/>
  <c r="G15" i="33" s="1"/>
  <c r="F14" i="33"/>
  <c r="G14" i="33" s="1"/>
  <c r="B21" i="32"/>
  <c r="B24" i="32" s="1"/>
  <c r="E7" i="32"/>
  <c r="E6" i="32"/>
  <c r="D8" i="32"/>
  <c r="C8" i="32"/>
  <c r="B8" i="32"/>
  <c r="E8" i="32" s="1"/>
  <c r="C13" i="32" s="1"/>
  <c r="A14" i="32"/>
  <c r="A13" i="32"/>
  <c r="B11" i="32"/>
  <c r="A12" i="32"/>
  <c r="D12" i="32"/>
  <c r="C12" i="32"/>
  <c r="B12" i="32"/>
  <c r="B15" i="28"/>
  <c r="B13" i="28"/>
  <c r="B12" i="28"/>
  <c r="B11" i="28"/>
  <c r="B14" i="28" s="1"/>
  <c r="B8" i="28"/>
  <c r="B9" i="28" s="1"/>
  <c r="B10" i="28" s="1"/>
  <c r="B8" i="26"/>
  <c r="A18" i="26"/>
  <c r="L2" i="26" a="1"/>
  <c r="M2" i="26" s="1"/>
  <c r="B17" i="26" s="1"/>
  <c r="G16" i="26"/>
  <c r="I16" i="26" s="1"/>
  <c r="F16" i="26"/>
  <c r="H16" i="26" s="1"/>
  <c r="B15" i="25"/>
  <c r="B13" i="25"/>
  <c r="B12" i="25"/>
  <c r="B11" i="25"/>
  <c r="B14" i="25" s="1"/>
  <c r="B8" i="25"/>
  <c r="B9" i="25" s="1"/>
  <c r="B10" i="25" s="1"/>
  <c r="B8" i="23"/>
  <c r="A18" i="23"/>
  <c r="L2" i="23" a="1"/>
  <c r="L2" i="23" s="1"/>
  <c r="B18" i="23" s="1"/>
  <c r="G16" i="23"/>
  <c r="I16" i="23" s="1"/>
  <c r="F16" i="23"/>
  <c r="H16" i="23" s="1"/>
  <c r="J3" i="37" l="1"/>
  <c r="C15" i="37" s="1"/>
  <c r="G12" i="37"/>
  <c r="D13" i="37"/>
  <c r="D12" i="37"/>
  <c r="G6" i="36"/>
  <c r="H6" i="36" s="1"/>
  <c r="I6" i="36" s="1"/>
  <c r="I7" i="36"/>
  <c r="I5" i="36"/>
  <c r="J3" i="34"/>
  <c r="C15" i="34" s="1"/>
  <c r="D13" i="34"/>
  <c r="D12" i="34"/>
  <c r="G12" i="34"/>
  <c r="D14" i="32"/>
  <c r="I7" i="32" s="1"/>
  <c r="I14" i="32" s="1"/>
  <c r="H6" i="32"/>
  <c r="H13" i="32" s="1"/>
  <c r="B13" i="32"/>
  <c r="D13" i="32"/>
  <c r="B14" i="32"/>
  <c r="G7" i="32" s="1"/>
  <c r="G14" i="32" s="1"/>
  <c r="C14" i="32"/>
  <c r="H7" i="32" s="1"/>
  <c r="H14" i="32" s="1"/>
  <c r="B18" i="28"/>
  <c r="B23" i="28"/>
  <c r="B25" i="28"/>
  <c r="B20" i="28"/>
  <c r="B19" i="28"/>
  <c r="B24" i="28"/>
  <c r="L2" i="26"/>
  <c r="B18" i="26" s="1"/>
  <c r="L5" i="26"/>
  <c r="E12" i="26" s="1"/>
  <c r="M6" i="26"/>
  <c r="C13" i="26" s="1"/>
  <c r="M4" i="26"/>
  <c r="B7" i="26" s="1"/>
  <c r="L4" i="26"/>
  <c r="B5" i="26" s="1"/>
  <c r="M3" i="26"/>
  <c r="C17" i="26" s="1"/>
  <c r="D17" i="26" s="1"/>
  <c r="E17" i="26" s="1"/>
  <c r="L6" i="26"/>
  <c r="M5" i="26"/>
  <c r="B13" i="26" s="1"/>
  <c r="B14" i="26" s="1"/>
  <c r="L3" i="26"/>
  <c r="C18" i="26" s="1"/>
  <c r="L9" i="26"/>
  <c r="D18" i="26"/>
  <c r="E18" i="26" s="1"/>
  <c r="B18" i="25"/>
  <c r="B23" i="25"/>
  <c r="B25" i="25"/>
  <c r="B19" i="25"/>
  <c r="B20" i="25"/>
  <c r="B24" i="25"/>
  <c r="M5" i="23"/>
  <c r="B13" i="23" s="1"/>
  <c r="L6" i="23"/>
  <c r="M6" i="23"/>
  <c r="C13" i="23" s="1"/>
  <c r="L5" i="23"/>
  <c r="E12" i="23" s="1"/>
  <c r="F12" i="23" s="1"/>
  <c r="M4" i="23"/>
  <c r="B7" i="23" s="1"/>
  <c r="L4" i="23"/>
  <c r="B5" i="23" s="1"/>
  <c r="M3" i="23"/>
  <c r="C17" i="23" s="1"/>
  <c r="L3" i="23"/>
  <c r="C18" i="23" s="1"/>
  <c r="D18" i="23" s="1"/>
  <c r="E18" i="23" s="1"/>
  <c r="M2" i="23"/>
  <c r="B17" i="23" s="1"/>
  <c r="D17" i="23" s="1"/>
  <c r="E17" i="23" s="1"/>
  <c r="E12" i="37" l="1"/>
  <c r="F12" i="37" s="1"/>
  <c r="E12" i="34"/>
  <c r="F12" i="34" s="1"/>
  <c r="E14" i="32"/>
  <c r="C15" i="32"/>
  <c r="G6" i="32"/>
  <c r="G13" i="32" s="1"/>
  <c r="B15" i="32"/>
  <c r="E13" i="32"/>
  <c r="A30" i="32"/>
  <c r="I6" i="32"/>
  <c r="I13" i="32" s="1"/>
  <c r="D15" i="32"/>
  <c r="D12" i="26"/>
  <c r="C12" i="26"/>
  <c r="C14" i="26"/>
  <c r="B4" i="26" s="1"/>
  <c r="F12" i="26"/>
  <c r="D13" i="26"/>
  <c r="L11" i="26"/>
  <c r="L10" i="26"/>
  <c r="C12" i="23"/>
  <c r="D12" i="23"/>
  <c r="B14" i="23"/>
  <c r="L9" i="23"/>
  <c r="D13" i="23"/>
  <c r="B25" i="32" l="1"/>
  <c r="B26" i="32" s="1"/>
  <c r="A27" i="32" s="1"/>
  <c r="E15" i="32"/>
  <c r="B6" i="26"/>
  <c r="F18" i="26"/>
  <c r="H18" i="26" s="1"/>
  <c r="G18" i="26"/>
  <c r="I18" i="26" s="1"/>
  <c r="G17" i="26"/>
  <c r="I17" i="26" s="1"/>
  <c r="F17" i="26"/>
  <c r="H17" i="26" s="1"/>
  <c r="L11" i="23"/>
  <c r="L10" i="23"/>
  <c r="C14" i="23"/>
  <c r="B4" i="23" s="1"/>
  <c r="G18" i="23" l="1"/>
  <c r="I18" i="23" s="1"/>
  <c r="F18" i="23"/>
  <c r="H18" i="23" s="1"/>
  <c r="B6" i="23"/>
  <c r="G17" i="23"/>
  <c r="I17" i="23" s="1"/>
  <c r="F17" i="23"/>
  <c r="H17" i="23" s="1"/>
</calcChain>
</file>

<file path=xl/sharedStrings.xml><?xml version="1.0" encoding="utf-8"?>
<sst xmlns="http://schemas.openxmlformats.org/spreadsheetml/2006/main" count="503" uniqueCount="140">
  <si>
    <t>albev</t>
  </si>
  <si>
    <t>educ</t>
  </si>
  <si>
    <t>wages</t>
  </si>
  <si>
    <t>rcrtn</t>
  </si>
  <si>
    <t>majsr</t>
  </si>
  <si>
    <t>Enterpreneurial Activities</t>
  </si>
  <si>
    <t>Other sources of Income</t>
  </si>
  <si>
    <t>Wage/Salaries</t>
  </si>
  <si>
    <t>condo</t>
  </si>
  <si>
    <t>cloth</t>
  </si>
  <si>
    <t>Calculations</t>
  </si>
  <si>
    <t>b1, b0 Coefficients</t>
  </si>
  <si>
    <t>Regression Statistics</t>
  </si>
  <si>
    <t>b1, b0 Standard Error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</si>
  <si>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</si>
  <si>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</si>
  <si>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</si>
  <si>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</si>
  <si>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</si>
  <si>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</si>
  <si>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</si>
  <si>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</si>
  <si>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</si>
  <si>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</si>
  <si>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</si>
  <si>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</si>
  <si>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</si>
  <si>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</si>
  <si>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</si>
  <si>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</si>
  <si>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</si>
  <si>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</si>
  <si>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</si>
  <si>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t>Residual</t>
  </si>
  <si>
    <t>Total</t>
  </si>
  <si>
    <t>Coefficients</t>
  </si>
  <si>
    <t>t Stat</t>
  </si>
  <si>
    <t>P-value</t>
  </si>
  <si>
    <t>Intercept</t>
  </si>
  <si>
    <t>Simple Linear Regression Analysis</t>
  </si>
  <si>
    <t>Intermediate Calculations</t>
  </si>
  <si>
    <t>Sample Size</t>
  </si>
  <si>
    <t>Degrees of Freedom</t>
  </si>
  <si>
    <t>t Value</t>
  </si>
  <si>
    <t>XBar, Sample Mean of X</t>
  </si>
  <si>
    <t>Sum of Squared Differences from XBar</t>
  </si>
  <si>
    <t>Standard Error of the Estimate</t>
  </si>
  <si>
    <t>h Statistic</t>
  </si>
  <si>
    <t>Predicted Y (YHat)</t>
  </si>
  <si>
    <t>For Average Y</t>
  </si>
  <si>
    <t>Interval Half Width</t>
  </si>
  <si>
    <t>Confidence Interval Lower Limit</t>
  </si>
  <si>
    <t>Confidence Interval Upper Limit</t>
  </si>
  <si>
    <t>For Individual Response Y</t>
  </si>
  <si>
    <t>Prediction Interval Lower Limit</t>
  </si>
  <si>
    <t>Prediction Interval Upper Limit</t>
  </si>
  <si>
    <t>Data</t>
  </si>
  <si>
    <t>X Value</t>
  </si>
  <si>
    <t>Confidence Level</t>
  </si>
  <si>
    <t>Confidence Interval Estimate</t>
  </si>
  <si>
    <t>Q9</t>
  </si>
  <si>
    <t>\</t>
  </si>
  <si>
    <t>c</t>
  </si>
  <si>
    <t>SUMMARY</t>
  </si>
  <si>
    <t>n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</si>
  <si>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</si>
  <si>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</si>
  <si>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</si>
  <si>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</si>
  <si>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</si>
  <si>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</si>
  <si>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</si>
  <si>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</si>
  <si>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</si>
  <si>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Level of significance</t>
  </si>
  <si>
    <t>ANOVA: Single Factor</t>
  </si>
  <si>
    <t>Tukey-Kramer Multiple Comparisons</t>
  </si>
  <si>
    <t>Sample</t>
  </si>
  <si>
    <t>Absolute</t>
  </si>
  <si>
    <t>Std. Error</t>
  </si>
  <si>
    <t>Critical</t>
  </si>
  <si>
    <t>Group</t>
  </si>
  <si>
    <t>Mean</t>
  </si>
  <si>
    <t>Size</t>
  </si>
  <si>
    <t>Comparison</t>
  </si>
  <si>
    <t>Difference</t>
  </si>
  <si>
    <t>of Difference</t>
  </si>
  <si>
    <t>Range</t>
  </si>
  <si>
    <t>Results</t>
  </si>
  <si>
    <t>Other Data</t>
  </si>
  <si>
    <t>Numerator d.f.</t>
  </si>
  <si>
    <t>Denominator d.f.</t>
  </si>
  <si>
    <t>MSW</t>
  </si>
  <si>
    <t>Q Statistic</t>
  </si>
  <si>
    <t>Group 1 to Group 2</t>
  </si>
  <si>
    <t>3&amp; 4</t>
  </si>
  <si>
    <t>Chi-Square Test</t>
  </si>
  <si>
    <t>Observed Frequencies</t>
  </si>
  <si>
    <t>Expected Frequencies</t>
  </si>
  <si>
    <t>fo-fe</t>
  </si>
  <si>
    <t>(fo-fe)^2/fe</t>
  </si>
  <si>
    <t>C1</t>
  </si>
  <si>
    <t>C2</t>
  </si>
  <si>
    <t>C3</t>
  </si>
  <si>
    <t>Row variable</t>
  </si>
  <si>
    <t>Column variable</t>
  </si>
  <si>
    <t>R1</t>
  </si>
  <si>
    <t>R2</t>
  </si>
  <si>
    <t>Level of Significance</t>
  </si>
  <si>
    <t>Number of Rows</t>
  </si>
  <si>
    <t>Number of Columns</t>
  </si>
  <si>
    <t>Critical Value</t>
  </si>
  <si>
    <t>Chi-Square Test Statistic</t>
  </si>
  <si>
    <r>
      <t>p</t>
    </r>
    <r>
      <rPr>
        <b/>
        <sz val="11"/>
        <color theme="1"/>
        <rFont val="Calibri"/>
        <family val="2"/>
        <scheme val="minor"/>
      </rPr>
      <t>-Value</t>
    </r>
  </si>
  <si>
    <t>Expected frequency assumption</t>
  </si>
  <si>
    <t>Count of majsr</t>
  </si>
  <si>
    <t>Row Labels</t>
  </si>
  <si>
    <t>(blank)</t>
  </si>
  <si>
    <t>Grand Total</t>
  </si>
  <si>
    <t>Obesrved</t>
  </si>
  <si>
    <t>Expected</t>
  </si>
  <si>
    <t>OBS-EXP</t>
  </si>
  <si>
    <t>(OBS-EXP)^2</t>
  </si>
  <si>
    <t>(OBS -EXP)^2 /EXP</t>
  </si>
  <si>
    <t>t-Stat</t>
  </si>
  <si>
    <t>Crit val</t>
  </si>
  <si>
    <t>p-val</t>
  </si>
  <si>
    <t>Reject Null</t>
  </si>
  <si>
    <t>E</t>
  </si>
  <si>
    <t>O</t>
  </si>
  <si>
    <t>W</t>
  </si>
  <si>
    <t>1: E</t>
  </si>
  <si>
    <t>Group 1 to Group 3</t>
  </si>
  <si>
    <t>2: O</t>
  </si>
  <si>
    <t>Group 2 to Group 3</t>
  </si>
  <si>
    <t>3: W</t>
  </si>
  <si>
    <t>Reject</t>
  </si>
  <si>
    <t>Post hoc is necessary</t>
  </si>
  <si>
    <t>Don't Reject</t>
  </si>
  <si>
    <t>No need Post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</si>
</sst>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00000"/>
    <numFmt numFmtId="166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1">
    <xf numFmtId="0" fontId="0" fillId="0" borderId="0" xfId="0"/>
    <xf numFmtId="0" fontId="3" fillId="0" borderId="0" xfId="1" applyFont="1"/>
    <xf numFmtId="0" fontId="4" fillId="0" borderId="1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/>
    <xf numFmtId="0" fontId="5" fillId="0" borderId="0" xfId="1" applyFont="1" applyFill="1"/>
    <xf numFmtId="0" fontId="5" fillId="0" borderId="0" xfId="1" applyFont="1"/>
    <xf numFmtId="0" fontId="4" fillId="0" borderId="0" xfId="2" applyFont="1"/>
    <xf numFmtId="164" fontId="5" fillId="0" borderId="2" xfId="1" applyNumberFormat="1" applyFont="1" applyFill="1" applyBorder="1"/>
    <xf numFmtId="164" fontId="5" fillId="0" borderId="3" xfId="1" applyNumberFormat="1" applyFont="1" applyFill="1" applyBorder="1"/>
    <xf numFmtId="0" fontId="3" fillId="0" borderId="0" xfId="1" applyFont="1" applyFill="1"/>
    <xf numFmtId="0" fontId="4" fillId="0" borderId="4" xfId="1" applyFont="1" applyFill="1" applyBorder="1" applyAlignment="1">
      <alignment horizontal="centerContinuous"/>
    </xf>
    <xf numFmtId="164" fontId="5" fillId="0" borderId="5" xfId="1" applyNumberFormat="1" applyFont="1" applyFill="1" applyBorder="1"/>
    <xf numFmtId="164" fontId="5" fillId="0" borderId="6" xfId="1" applyNumberFormat="1" applyFont="1" applyFill="1" applyBorder="1"/>
    <xf numFmtId="0" fontId="5" fillId="0" borderId="0" xfId="1" applyFont="1" applyFill="1" applyBorder="1" applyAlignment="1"/>
    <xf numFmtId="164" fontId="5" fillId="0" borderId="0" xfId="1" applyNumberFormat="1" applyFont="1" applyFill="1" applyBorder="1" applyAlignment="1"/>
    <xf numFmtId="165" fontId="3" fillId="0" borderId="0" xfId="1" applyNumberFormat="1" applyFont="1"/>
    <xf numFmtId="0" fontId="5" fillId="0" borderId="0" xfId="2" applyFont="1"/>
    <xf numFmtId="164" fontId="5" fillId="0" borderId="7" xfId="1" applyNumberFormat="1" applyFont="1" applyFill="1" applyBorder="1"/>
    <xf numFmtId="164" fontId="5" fillId="0" borderId="8" xfId="1" applyNumberFormat="1" applyFont="1" applyFill="1" applyBorder="1"/>
    <xf numFmtId="0" fontId="5" fillId="0" borderId="9" xfId="1" applyFont="1" applyFill="1" applyBorder="1" applyAlignment="1"/>
    <xf numFmtId="0" fontId="5" fillId="0" borderId="0" xfId="2" applyFont="1" applyFill="1"/>
    <xf numFmtId="9" fontId="5" fillId="0" borderId="0" xfId="2" applyNumberFormat="1" applyFont="1" applyFill="1"/>
    <xf numFmtId="0" fontId="4" fillId="0" borderId="0" xfId="2" applyFont="1" applyFill="1"/>
    <xf numFmtId="164" fontId="5" fillId="0" borderId="0" xfId="2" applyNumberFormat="1" applyFont="1" applyFill="1"/>
    <xf numFmtId="0" fontId="4" fillId="0" borderId="4" xfId="1" applyFont="1" applyFill="1" applyBorder="1" applyAlignment="1">
      <alignment horizontal="center"/>
    </xf>
    <xf numFmtId="1" fontId="5" fillId="0" borderId="9" xfId="1" applyNumberFormat="1" applyFont="1" applyFill="1" applyBorder="1" applyAlignment="1"/>
    <xf numFmtId="164" fontId="5" fillId="0" borderId="9" xfId="1" applyNumberFormat="1" applyFont="1" applyFill="1" applyBorder="1" applyAlignment="1"/>
    <xf numFmtId="0" fontId="4" fillId="0" borderId="4" xfId="2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5" fillId="0" borderId="0" xfId="2" applyFont="1" applyFill="1" applyBorder="1" applyAlignment="1"/>
    <xf numFmtId="164" fontId="5" fillId="0" borderId="0" xfId="2" applyNumberFormat="1" applyFont="1" applyFill="1" applyBorder="1" applyAlignment="1"/>
    <xf numFmtId="166" fontId="5" fillId="0" borderId="0" xfId="2" applyNumberFormat="1" applyFont="1" applyFill="1" applyBorder="1" applyAlignment="1"/>
    <xf numFmtId="166" fontId="3" fillId="0" borderId="0" xfId="1" applyNumberFormat="1" applyFont="1" applyFill="1" applyBorder="1" applyAlignment="1"/>
    <xf numFmtId="2" fontId="5" fillId="0" borderId="9" xfId="2" applyNumberFormat="1" applyFont="1" applyFill="1" applyBorder="1" applyAlignment="1"/>
    <xf numFmtId="164" fontId="5" fillId="0" borderId="9" xfId="2" applyNumberFormat="1" applyFont="1" applyFill="1" applyBorder="1" applyAlignment="1"/>
    <xf numFmtId="166" fontId="5" fillId="0" borderId="9" xfId="2" applyNumberFormat="1" applyFont="1" applyFill="1" applyBorder="1" applyAlignment="1"/>
    <xf numFmtId="164" fontId="5" fillId="0" borderId="0" xfId="1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4" xfId="0" applyFont="1" applyFill="1" applyBorder="1"/>
    <xf numFmtId="0" fontId="1" fillId="3" borderId="14" xfId="0" applyFont="1" applyFill="1" applyBorder="1" applyProtection="1">
      <protection locked="0"/>
    </xf>
    <xf numFmtId="9" fontId="1" fillId="3" borderId="14" xfId="0" applyNumberFormat="1" applyFont="1" applyFill="1" applyBorder="1" applyProtection="1">
      <protection locked="0"/>
    </xf>
    <xf numFmtId="0" fontId="0" fillId="0" borderId="14" xfId="0" applyBorder="1" applyAlignment="1">
      <alignment horizontal="center"/>
    </xf>
    <xf numFmtId="0" fontId="0" fillId="0" borderId="14" xfId="0" applyBorder="1"/>
    <xf numFmtId="0" fontId="1" fillId="2" borderId="14" xfId="0" applyFont="1" applyFill="1" applyBorder="1" applyAlignment="1">
      <alignment horizontal="center"/>
    </xf>
    <xf numFmtId="0" fontId="0" fillId="2" borderId="14" xfId="0" applyFill="1" applyBorder="1"/>
    <xf numFmtId="0" fontId="1" fillId="2" borderId="14" xfId="0" applyFont="1" applyFill="1" applyBorder="1"/>
    <xf numFmtId="164" fontId="0" fillId="2" borderId="14" xfId="0" applyNumberFormat="1" applyFill="1" applyBorder="1"/>
    <xf numFmtId="164" fontId="1" fillId="2" borderId="14" xfId="0" applyNumberFormat="1" applyFont="1" applyFill="1" applyBorder="1"/>
    <xf numFmtId="164" fontId="1" fillId="2" borderId="14" xfId="0" applyNumberFormat="1" applyFont="1" applyFill="1" applyBorder="1" applyAlignment="1">
      <alignment horizontal="center"/>
    </xf>
    <xf numFmtId="0" fontId="3" fillId="0" borderId="0" xfId="2" applyFont="1"/>
    <xf numFmtId="0" fontId="5" fillId="0" borderId="11" xfId="2" applyFont="1" applyFill="1" applyBorder="1" applyAlignment="1">
      <alignment horizontal="center"/>
    </xf>
    <xf numFmtId="0" fontId="5" fillId="0" borderId="15" xfId="2" applyFont="1" applyFill="1" applyBorder="1" applyAlignment="1">
      <alignment horizontal="center"/>
    </xf>
    <xf numFmtId="0" fontId="4" fillId="0" borderId="10" xfId="2" applyFont="1" applyFill="1" applyBorder="1"/>
    <xf numFmtId="0" fontId="5" fillId="0" borderId="16" xfId="2" applyFont="1" applyFill="1" applyBorder="1"/>
    <xf numFmtId="0" fontId="7" fillId="0" borderId="0" xfId="2" applyFont="1" applyFill="1"/>
    <xf numFmtId="0" fontId="4" fillId="0" borderId="13" xfId="2" applyFont="1" applyFill="1" applyBorder="1"/>
    <xf numFmtId="0" fontId="5" fillId="0" borderId="17" xfId="2" applyFont="1" applyFill="1" applyBorder="1"/>
    <xf numFmtId="0" fontId="6" fillId="0" borderId="4" xfId="2" applyFont="1" applyFill="1" applyBorder="1" applyAlignment="1">
      <alignment horizontal="center"/>
    </xf>
    <xf numFmtId="0" fontId="3" fillId="0" borderId="0" xfId="2" applyFont="1" applyFill="1" applyBorder="1" applyAlignment="1"/>
    <xf numFmtId="164" fontId="3" fillId="0" borderId="0" xfId="2" applyNumberFormat="1" applyFont="1" applyFill="1" applyBorder="1" applyAlignment="1"/>
    <xf numFmtId="0" fontId="3" fillId="0" borderId="9" xfId="2" applyFont="1" applyFill="1" applyBorder="1" applyAlignment="1"/>
    <xf numFmtId="164" fontId="3" fillId="0" borderId="9" xfId="2" applyNumberFormat="1" applyFont="1" applyFill="1" applyBorder="1" applyAlignment="1"/>
    <xf numFmtId="0" fontId="6" fillId="0" borderId="18" xfId="2" applyFont="1" applyBorder="1" applyAlignment="1">
      <alignment horizontal="right"/>
    </xf>
    <xf numFmtId="0" fontId="6" fillId="0" borderId="19" xfId="2" applyFont="1" applyBorder="1" applyAlignment="1">
      <alignment horizontal="right"/>
    </xf>
    <xf numFmtId="0" fontId="6" fillId="0" borderId="20" xfId="2" applyFont="1" applyBorder="1" applyAlignment="1">
      <alignment horizontal="right"/>
    </xf>
    <xf numFmtId="0" fontId="3" fillId="0" borderId="21" xfId="2" applyFont="1" applyBorder="1"/>
    <xf numFmtId="0" fontId="0" fillId="3" borderId="14" xfId="0" applyFill="1" applyBorder="1" applyProtection="1">
      <protection locked="0"/>
    </xf>
    <xf numFmtId="0" fontId="1" fillId="0" borderId="0" xfId="0" applyFont="1" applyAlignment="1">
      <alignment horizontal="center"/>
    </xf>
    <xf numFmtId="0" fontId="5" fillId="4" borderId="0" xfId="1" applyFont="1" applyFill="1"/>
    <xf numFmtId="0" fontId="3" fillId="4" borderId="0" xfId="1" applyFont="1" applyFill="1"/>
    <xf numFmtId="0" fontId="0" fillId="4" borderId="0" xfId="0" applyFill="1"/>
    <xf numFmtId="0" fontId="1" fillId="5" borderId="14" xfId="0" applyFont="1" applyFill="1" applyBorder="1" applyAlignment="1" applyProtection="1">
      <alignment horizontal="center"/>
      <protection locked="0"/>
    </xf>
    <xf numFmtId="0" fontId="1" fillId="5" borderId="14" xfId="0" applyFont="1" applyFill="1" applyBorder="1" applyProtection="1">
      <protection locked="0"/>
    </xf>
    <xf numFmtId="0" fontId="0" fillId="5" borderId="14" xfId="0" applyFont="1" applyFill="1" applyBorder="1" applyAlignment="1" applyProtection="1">
      <alignment horizontal="center"/>
      <protection locked="0"/>
    </xf>
    <xf numFmtId="0" fontId="0" fillId="5" borderId="14" xfId="0" applyFont="1" applyFill="1" applyBorder="1" applyProtection="1">
      <protection locked="0"/>
    </xf>
    <xf numFmtId="0" fontId="0" fillId="0" borderId="1" xfId="0" applyBorder="1" applyAlignment="1">
      <alignment horizontal="center"/>
    </xf>
    <xf numFmtId="0" fontId="1" fillId="5" borderId="14" xfId="0" applyFont="1" applyFill="1" applyBorder="1" applyAlignment="1" applyProtection="1">
      <alignment horizontal="center"/>
      <protection locked="0"/>
    </xf>
    <xf numFmtId="0" fontId="1" fillId="3" borderId="14" xfId="0" applyFont="1" applyFill="1" applyBorder="1" applyAlignment="1" applyProtection="1">
      <alignment horizontal="center"/>
      <protection locked="0"/>
    </xf>
    <xf numFmtId="0" fontId="0" fillId="5" borderId="14" xfId="0" applyFont="1" applyFill="1" applyBorder="1" applyAlignment="1" applyProtection="1">
      <alignment horizontal="center"/>
      <protection locked="0"/>
    </xf>
    <xf numFmtId="0" fontId="1" fillId="3" borderId="12" xfId="0" applyFont="1" applyFill="1" applyBorder="1" applyAlignment="1" applyProtection="1">
      <alignment horizontal="center"/>
      <protection locked="0"/>
    </xf>
    <xf numFmtId="0" fontId="1" fillId="3" borderId="22" xfId="0" applyFont="1" applyFill="1" applyBorder="1" applyAlignment="1" applyProtection="1">
      <alignment horizontal="center"/>
      <protection locked="0"/>
    </xf>
    <xf numFmtId="0" fontId="1" fillId="3" borderId="21" xfId="0" applyFont="1" applyFill="1" applyBorder="1" applyAlignment="1" applyProtection="1">
      <alignment horizontal="center"/>
      <protection locked="0"/>
    </xf>
    <xf numFmtId="0" fontId="0" fillId="5" borderId="12" xfId="0" applyFont="1" applyFill="1" applyBorder="1" applyAlignment="1" applyProtection="1">
      <alignment horizontal="center"/>
      <protection locked="0"/>
    </xf>
    <xf numFmtId="0" fontId="0" fillId="5" borderId="22" xfId="0" applyFont="1" applyFill="1" applyBorder="1" applyAlignment="1" applyProtection="1">
      <alignment horizontal="center"/>
      <protection locked="0"/>
    </xf>
    <xf numFmtId="0" fontId="0" fillId="5" borderId="21" xfId="0" applyFont="1" applyFill="1" applyBorder="1" applyAlignment="1" applyProtection="1">
      <alignment horizontal="center"/>
      <protection locked="0"/>
    </xf>
    <xf numFmtId="0" fontId="1" fillId="5" borderId="14" xfId="0" applyFont="1" applyFill="1" applyBorder="1" applyAlignment="1" applyProtection="1">
      <alignment horizontal="right"/>
      <protection locked="0"/>
    </xf>
    <xf numFmtId="0" fontId="1" fillId="3" borderId="14" xfId="0" applyFont="1" applyFill="1" applyBorder="1" applyAlignment="1" applyProtection="1">
      <alignment horizontal="right"/>
      <protection locked="0"/>
    </xf>
    <xf numFmtId="0" fontId="0" fillId="5" borderId="14" xfId="0" applyFont="1" applyFill="1" applyBorder="1" applyAlignment="1" applyProtection="1">
      <alignment horizontal="right"/>
      <protection locked="0"/>
    </xf>
    <xf numFmtId="0" fontId="8" fillId="0" borderId="0" xfId="0" applyFont="1"/>
    <xf numFmtId="0" fontId="1" fillId="2" borderId="12" xfId="0" applyFont="1" applyFill="1" applyBorder="1" applyAlignment="1">
      <alignment horizontal="center"/>
    </xf>
    <xf numFmtId="0" fontId="8" fillId="2" borderId="14" xfId="0" applyFont="1" applyFill="1" applyBorder="1"/>
    <xf numFmtId="0" fontId="1" fillId="2" borderId="21" xfId="0" applyFont="1" applyFill="1" applyBorder="1" applyAlignment="1">
      <alignment horizontal="center"/>
    </xf>
    <xf numFmtId="0" fontId="0" fillId="4" borderId="0" xfId="0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5" fillId="4" borderId="0" xfId="2" applyFont="1" applyFill="1"/>
    <xf numFmtId="0" fontId="3" fillId="4" borderId="0" xfId="2" applyFont="1" applyFill="1" applyBorder="1" applyAlignment="1"/>
  </cellXfs>
  <cellStyles count="3">
    <cellStyle name="Normal" xfId="0" builtinId="0"/>
    <cellStyle name="Normal 2" xfId="2"/>
    <cellStyle name="Normal_ToolPakFree Simple Linear Regress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</xdr:colOff>
      <xdr:row>3</xdr:row>
      <xdr:rowOff>165735</xdr:rowOff>
    </xdr:from>
    <xdr:to>
      <xdr:col>16</xdr:col>
      <xdr:colOff>449199</xdr:colOff>
      <xdr:row>19</xdr:row>
      <xdr:rowOff>33655</xdr:rowOff>
    </xdr:to>
    <xdr:sp macro="" textlink="">
      <xdr:nvSpPr>
        <xdr:cNvPr id="2" name="TextBox 1"/>
        <xdr:cNvSpPr txBox="1"/>
      </xdr:nvSpPr>
      <xdr:spPr>
        <a:xfrm>
          <a:off x="8543925" y="714375"/>
          <a:ext cx="2237994" cy="279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PH" sz="1100"/>
            <a:t>
PHStat User Note:
Enter replacement labels for the row and column variables as well as the observed frequency counts in the table that starts in row 3.
Note: The #DIV/0! error messages will disappear after you enter the observed frequency counts.
(Before continuing, press the Delete key to delete this note.)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494.765423726851" createdVersion="5" refreshedVersion="5" minRefreshableVersion="3" recordCount="84">
  <cacheSource type="worksheet">
    <worksheetSource ref="A1:A1048576" sheet="Q34-36"/>
  </cacheSource>
  <cacheFields count="1">
    <cacheField name="majsr" numFmtId="0">
      <sharedItems containsBlank="1" count="4">
        <s v="Enterpreneurial Activities"/>
        <s v="Other sources of Income"/>
        <s v="Wage/Salari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x v="0"/>
  </r>
  <r>
    <x v="0"/>
  </r>
  <r>
    <x v="1"/>
  </r>
  <r>
    <x v="0"/>
  </r>
  <r>
    <x v="0"/>
  </r>
  <r>
    <x v="0"/>
  </r>
  <r>
    <x v="2"/>
  </r>
  <r>
    <x v="2"/>
  </r>
  <r>
    <x v="2"/>
  </r>
  <r>
    <x v="1"/>
  </r>
  <r>
    <x v="2"/>
  </r>
  <r>
    <x v="0"/>
  </r>
  <r>
    <x v="2"/>
  </r>
  <r>
    <x v="0"/>
  </r>
  <r>
    <x v="0"/>
  </r>
  <r>
    <x v="1"/>
  </r>
  <r>
    <x v="0"/>
  </r>
  <r>
    <x v="2"/>
  </r>
  <r>
    <x v="2"/>
  </r>
  <r>
    <x v="1"/>
  </r>
  <r>
    <x v="2"/>
  </r>
  <r>
    <x v="0"/>
  </r>
  <r>
    <x v="0"/>
  </r>
  <r>
    <x v="0"/>
  </r>
  <r>
    <x v="2"/>
  </r>
  <r>
    <x v="2"/>
  </r>
  <r>
    <x v="0"/>
  </r>
  <r>
    <x v="0"/>
  </r>
  <r>
    <x v="2"/>
  </r>
  <r>
    <x v="1"/>
  </r>
  <r>
    <x v="2"/>
  </r>
  <r>
    <x v="1"/>
  </r>
  <r>
    <x v="0"/>
  </r>
  <r>
    <x v="1"/>
  </r>
  <r>
    <x v="2"/>
  </r>
  <r>
    <x v="2"/>
  </r>
  <r>
    <x v="2"/>
  </r>
  <r>
    <x v="2"/>
  </r>
  <r>
    <x v="1"/>
  </r>
  <r>
    <x v="2"/>
  </r>
  <r>
    <x v="1"/>
  </r>
  <r>
    <x v="2"/>
  </r>
  <r>
    <x v="0"/>
  </r>
  <r>
    <x v="2"/>
  </r>
  <r>
    <x v="2"/>
  </r>
  <r>
    <x v="2"/>
  </r>
  <r>
    <x v="0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1"/>
  </r>
  <r>
    <x v="0"/>
  </r>
  <r>
    <x v="2"/>
  </r>
  <r>
    <x v="0"/>
  </r>
  <r>
    <x v="0"/>
  </r>
  <r>
    <x v="1"/>
  </r>
  <r>
    <x v="2"/>
  </r>
  <r>
    <x v="1"/>
  </r>
  <r>
    <x v="2"/>
  </r>
  <r>
    <x v="0"/>
  </r>
  <r>
    <x v="2"/>
  </r>
  <r>
    <x v="1"/>
  </r>
  <r>
    <x v="0"/>
  </r>
  <r>
    <x v="2"/>
  </r>
  <r>
    <x v="2"/>
  </r>
  <r>
    <x v="2"/>
  </r>
  <r>
    <x v="0"/>
  </r>
  <r>
    <x v="2"/>
  </r>
  <r>
    <x v="0"/>
  </r>
  <r>
    <x v="0"/>
  </r>
  <r>
    <x v="0"/>
  </r>
  <r>
    <x v="0"/>
  </r>
  <r>
    <x v="2"/>
  </r>
  <r>
    <x v="1"/>
  </r>
  <r>
    <x v="1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5:E10" firstHeaderRow="1" firstDataRow="1" firstDataCol="1"/>
  <pivotFields count="1">
    <pivotField axis="axisRow"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ajs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4" x14ac:dyDescent="0.3"/>
  <sheetData>
    <row r="1" spans="1:3" x14ac:dyDescent="0.3">
      <c r="A1" t="s">
        <v>128</v>
      </c>
      <c r="B1" t="s">
        <v>129</v>
      </c>
      <c r="C1" t="s">
        <v>130</v>
      </c>
    </row>
    <row r="2" spans="1:3" x14ac:dyDescent="0.3">
      <c r="A2">
        <v>850</v>
      </c>
      <c r="B2">
        <v>2438</v>
      </c>
      <c r="C2">
        <v>1615</v>
      </c>
    </row>
    <row r="3" spans="1:3" x14ac:dyDescent="0.3">
      <c r="A3">
        <v>560</v>
      </c>
      <c r="B3">
        <v>4825</v>
      </c>
      <c r="C3">
        <v>1070</v>
      </c>
    </row>
    <row r="4" spans="1:3" x14ac:dyDescent="0.3">
      <c r="A4">
        <v>292</v>
      </c>
      <c r="B4">
        <v>4458</v>
      </c>
      <c r="C4">
        <v>40</v>
      </c>
    </row>
    <row r="5" spans="1:3" x14ac:dyDescent="0.3">
      <c r="A5">
        <v>645</v>
      </c>
      <c r="B5">
        <v>6041</v>
      </c>
      <c r="C5">
        <v>3230</v>
      </c>
    </row>
    <row r="6" spans="1:3" x14ac:dyDescent="0.3">
      <c r="A6">
        <v>17218</v>
      </c>
      <c r="B6">
        <v>510</v>
      </c>
      <c r="C6">
        <v>9855</v>
      </c>
    </row>
    <row r="7" spans="1:3" x14ac:dyDescent="0.3">
      <c r="A7">
        <v>5260</v>
      </c>
      <c r="B7">
        <v>7200</v>
      </c>
      <c r="C7">
        <v>7650</v>
      </c>
    </row>
    <row r="8" spans="1:3" x14ac:dyDescent="0.3">
      <c r="A8">
        <v>875</v>
      </c>
      <c r="B8">
        <v>350</v>
      </c>
      <c r="C8">
        <v>1210</v>
      </c>
    </row>
    <row r="9" spans="1:3" x14ac:dyDescent="0.3">
      <c r="A9">
        <v>500</v>
      </c>
      <c r="B9">
        <v>475</v>
      </c>
      <c r="C9">
        <v>1715</v>
      </c>
    </row>
    <row r="10" spans="1:3" x14ac:dyDescent="0.3">
      <c r="A10">
        <v>890</v>
      </c>
      <c r="B10">
        <v>1116</v>
      </c>
      <c r="C10">
        <v>1840</v>
      </c>
    </row>
    <row r="11" spans="1:3" x14ac:dyDescent="0.3">
      <c r="A11">
        <v>600</v>
      </c>
      <c r="B11">
        <v>2129</v>
      </c>
      <c r="C11">
        <v>657</v>
      </c>
    </row>
    <row r="12" spans="1:3" x14ac:dyDescent="0.3">
      <c r="A12">
        <v>1630</v>
      </c>
      <c r="B12">
        <v>11803</v>
      </c>
      <c r="C12">
        <v>6550</v>
      </c>
    </row>
    <row r="13" spans="1:3" x14ac:dyDescent="0.3">
      <c r="A13">
        <v>750</v>
      </c>
      <c r="B13">
        <v>500</v>
      </c>
      <c r="C13">
        <v>345</v>
      </c>
    </row>
    <row r="14" spans="1:3" x14ac:dyDescent="0.3">
      <c r="A14">
        <v>0</v>
      </c>
      <c r="B14">
        <v>1600</v>
      </c>
      <c r="C14">
        <v>17625</v>
      </c>
    </row>
    <row r="15" spans="1:3" x14ac:dyDescent="0.3">
      <c r="A15">
        <v>5930</v>
      </c>
      <c r="B15">
        <v>1812</v>
      </c>
      <c r="C15">
        <v>2530</v>
      </c>
    </row>
    <row r="16" spans="1:3" x14ac:dyDescent="0.3">
      <c r="A16">
        <v>3140</v>
      </c>
      <c r="B16">
        <v>2675</v>
      </c>
      <c r="C16">
        <v>1250</v>
      </c>
    </row>
    <row r="17" spans="1:3" x14ac:dyDescent="0.3">
      <c r="A17">
        <v>455</v>
      </c>
      <c r="B17">
        <v>375</v>
      </c>
      <c r="C17">
        <v>0</v>
      </c>
    </row>
    <row r="18" spans="1:3" x14ac:dyDescent="0.3">
      <c r="A18">
        <v>4848</v>
      </c>
      <c r="B18">
        <v>30</v>
      </c>
      <c r="C18">
        <v>3682</v>
      </c>
    </row>
    <row r="19" spans="1:3" x14ac:dyDescent="0.3">
      <c r="A19">
        <v>465</v>
      </c>
      <c r="B19">
        <v>1450</v>
      </c>
      <c r="C19">
        <v>865</v>
      </c>
    </row>
    <row r="20" spans="1:3" x14ac:dyDescent="0.3">
      <c r="A20">
        <v>644</v>
      </c>
      <c r="C20">
        <v>318</v>
      </c>
    </row>
    <row r="21" spans="1:3" x14ac:dyDescent="0.3">
      <c r="A21">
        <v>1640</v>
      </c>
      <c r="C21">
        <v>704</v>
      </c>
    </row>
    <row r="22" spans="1:3" x14ac:dyDescent="0.3">
      <c r="A22">
        <v>4884</v>
      </c>
      <c r="C22">
        <v>1497</v>
      </c>
    </row>
    <row r="23" spans="1:3" x14ac:dyDescent="0.3">
      <c r="A23">
        <v>1720</v>
      </c>
      <c r="C23">
        <v>17000</v>
      </c>
    </row>
    <row r="24" spans="1:3" x14ac:dyDescent="0.3">
      <c r="A24">
        <v>1643</v>
      </c>
      <c r="C24">
        <v>790</v>
      </c>
    </row>
    <row r="25" spans="1:3" x14ac:dyDescent="0.3">
      <c r="A25">
        <v>5517</v>
      </c>
      <c r="C25">
        <v>3514</v>
      </c>
    </row>
    <row r="26" spans="1:3" x14ac:dyDescent="0.3">
      <c r="A26">
        <v>0</v>
      </c>
      <c r="C26">
        <v>3185</v>
      </c>
    </row>
    <row r="27" spans="1:3" x14ac:dyDescent="0.3">
      <c r="A27">
        <v>7094</v>
      </c>
      <c r="C27">
        <v>445</v>
      </c>
    </row>
    <row r="28" spans="1:3" x14ac:dyDescent="0.3">
      <c r="A28">
        <v>325</v>
      </c>
      <c r="C28">
        <v>3796</v>
      </c>
    </row>
    <row r="29" spans="1:3" x14ac:dyDescent="0.3">
      <c r="A29">
        <v>2641</v>
      </c>
      <c r="C29">
        <v>3291</v>
      </c>
    </row>
    <row r="30" spans="1:3" x14ac:dyDescent="0.3">
      <c r="C30">
        <v>805</v>
      </c>
    </row>
    <row r="31" spans="1:3" x14ac:dyDescent="0.3">
      <c r="C31">
        <v>9000</v>
      </c>
    </row>
    <row r="32" spans="1:3" x14ac:dyDescent="0.3">
      <c r="C32">
        <v>3195</v>
      </c>
    </row>
    <row r="33" spans="3:3" x14ac:dyDescent="0.3">
      <c r="C33">
        <v>5920</v>
      </c>
    </row>
    <row r="34" spans="3:3" x14ac:dyDescent="0.3">
      <c r="C34">
        <v>804</v>
      </c>
    </row>
    <row r="35" spans="3:3" x14ac:dyDescent="0.3">
      <c r="C35">
        <v>145</v>
      </c>
    </row>
    <row r="36" spans="3:3" x14ac:dyDescent="0.3">
      <c r="C36">
        <v>264</v>
      </c>
    </row>
    <row r="37" spans="3:3" x14ac:dyDescent="0.3">
      <c r="C37">
        <v>60</v>
      </c>
    </row>
    <row r="38" spans="3:3" x14ac:dyDescent="0.3">
      <c r="C38">
        <v>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4" x14ac:dyDescent="0.3"/>
  <sheetData>
    <row r="1" spans="1:3" x14ac:dyDescent="0.3">
      <c r="A1" t="s">
        <v>128</v>
      </c>
      <c r="B1" t="s">
        <v>129</v>
      </c>
      <c r="C1" t="s">
        <v>130</v>
      </c>
    </row>
    <row r="2" spans="1:3" x14ac:dyDescent="0.3">
      <c r="A2">
        <v>0</v>
      </c>
      <c r="B2">
        <v>0</v>
      </c>
      <c r="C2">
        <v>18000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5000</v>
      </c>
      <c r="B5">
        <v>0</v>
      </c>
      <c r="C5">
        <v>0</v>
      </c>
    </row>
    <row r="6" spans="1:3" x14ac:dyDescent="0.3">
      <c r="A6">
        <v>0</v>
      </c>
      <c r="B6">
        <v>45000</v>
      </c>
      <c r="C6">
        <v>0</v>
      </c>
    </row>
    <row r="7" spans="1:3" x14ac:dyDescent="0.3">
      <c r="A7">
        <v>0</v>
      </c>
      <c r="B7">
        <v>0</v>
      </c>
      <c r="C7">
        <v>4500</v>
      </c>
    </row>
    <row r="8" spans="1:3" x14ac:dyDescent="0.3">
      <c r="A8">
        <v>0</v>
      </c>
      <c r="B8">
        <v>8482</v>
      </c>
      <c r="C8">
        <v>0</v>
      </c>
    </row>
    <row r="9" spans="1:3" x14ac:dyDescent="0.3">
      <c r="A9">
        <v>0</v>
      </c>
      <c r="B9">
        <v>1520</v>
      </c>
      <c r="C9">
        <v>0</v>
      </c>
    </row>
    <row r="10" spans="1:3" x14ac:dyDescent="0.3">
      <c r="A10">
        <v>0</v>
      </c>
      <c r="B10">
        <v>1000</v>
      </c>
      <c r="C10">
        <v>0</v>
      </c>
    </row>
    <row r="11" spans="1:3" x14ac:dyDescent="0.3">
      <c r="A11">
        <v>6000</v>
      </c>
      <c r="B11">
        <v>33000</v>
      </c>
      <c r="C11">
        <v>10000</v>
      </c>
    </row>
    <row r="12" spans="1:3" x14ac:dyDescent="0.3">
      <c r="A12">
        <v>30000</v>
      </c>
      <c r="B12">
        <v>0</v>
      </c>
      <c r="C12">
        <v>14000</v>
      </c>
    </row>
    <row r="13" spans="1:3" x14ac:dyDescent="0.3">
      <c r="A13">
        <v>5000</v>
      </c>
      <c r="B13">
        <v>0</v>
      </c>
      <c r="C13">
        <v>4000</v>
      </c>
    </row>
    <row r="14" spans="1:3" x14ac:dyDescent="0.3">
      <c r="A14">
        <v>0</v>
      </c>
      <c r="B14">
        <v>63000</v>
      </c>
      <c r="C14">
        <v>0</v>
      </c>
    </row>
    <row r="15" spans="1:3" x14ac:dyDescent="0.3">
      <c r="A15">
        <v>0</v>
      </c>
      <c r="B15">
        <v>7500</v>
      </c>
      <c r="C15">
        <v>0</v>
      </c>
    </row>
    <row r="16" spans="1:3" x14ac:dyDescent="0.3">
      <c r="A16">
        <v>0</v>
      </c>
      <c r="B16">
        <v>6000</v>
      </c>
      <c r="C16">
        <v>4000</v>
      </c>
    </row>
    <row r="17" spans="1:3" x14ac:dyDescent="0.3">
      <c r="A17">
        <v>7000</v>
      </c>
      <c r="B17">
        <v>5000</v>
      </c>
      <c r="C17">
        <v>5000</v>
      </c>
    </row>
    <row r="18" spans="1:3" x14ac:dyDescent="0.3">
      <c r="A18">
        <v>0</v>
      </c>
      <c r="B18">
        <v>3200</v>
      </c>
      <c r="C18">
        <v>24000</v>
      </c>
    </row>
    <row r="19" spans="1:3" x14ac:dyDescent="0.3">
      <c r="A19">
        <v>6400</v>
      </c>
      <c r="B19">
        <v>15000</v>
      </c>
      <c r="C19">
        <v>6500</v>
      </c>
    </row>
    <row r="20" spans="1:3" x14ac:dyDescent="0.3">
      <c r="A20">
        <v>0</v>
      </c>
      <c r="C20">
        <v>7000</v>
      </c>
    </row>
    <row r="21" spans="1:3" x14ac:dyDescent="0.3">
      <c r="A21">
        <v>0</v>
      </c>
      <c r="C21">
        <v>0</v>
      </c>
    </row>
    <row r="22" spans="1:3" x14ac:dyDescent="0.3">
      <c r="A22">
        <v>1200</v>
      </c>
      <c r="C22">
        <v>0</v>
      </c>
    </row>
    <row r="23" spans="1:3" x14ac:dyDescent="0.3">
      <c r="A23">
        <v>0</v>
      </c>
      <c r="C23">
        <v>0</v>
      </c>
    </row>
    <row r="24" spans="1:3" x14ac:dyDescent="0.3">
      <c r="A24">
        <v>0</v>
      </c>
      <c r="C24">
        <v>0</v>
      </c>
    </row>
    <row r="25" spans="1:3" x14ac:dyDescent="0.3">
      <c r="A25">
        <v>0</v>
      </c>
      <c r="C25">
        <v>0</v>
      </c>
    </row>
    <row r="26" spans="1:3" x14ac:dyDescent="0.3">
      <c r="A26">
        <v>0</v>
      </c>
      <c r="C26">
        <v>0</v>
      </c>
    </row>
    <row r="27" spans="1:3" x14ac:dyDescent="0.3">
      <c r="A27">
        <v>0</v>
      </c>
      <c r="C27">
        <v>6000</v>
      </c>
    </row>
    <row r="28" spans="1:3" x14ac:dyDescent="0.3">
      <c r="A28">
        <v>0</v>
      </c>
      <c r="C28">
        <v>0</v>
      </c>
    </row>
    <row r="29" spans="1:3" x14ac:dyDescent="0.3">
      <c r="A29">
        <v>0</v>
      </c>
      <c r="C29">
        <v>6000</v>
      </c>
    </row>
    <row r="30" spans="1:3" x14ac:dyDescent="0.3">
      <c r="C30">
        <v>0</v>
      </c>
    </row>
    <row r="31" spans="1:3" x14ac:dyDescent="0.3">
      <c r="C31">
        <v>0</v>
      </c>
    </row>
    <row r="32" spans="1:3" x14ac:dyDescent="0.3">
      <c r="C32">
        <v>1100</v>
      </c>
    </row>
    <row r="33" spans="3:3" x14ac:dyDescent="0.3">
      <c r="C33">
        <v>0</v>
      </c>
    </row>
    <row r="34" spans="3:3" x14ac:dyDescent="0.3">
      <c r="C34">
        <v>0</v>
      </c>
    </row>
    <row r="35" spans="3:3" x14ac:dyDescent="0.3">
      <c r="C35">
        <v>0</v>
      </c>
    </row>
    <row r="36" spans="3:3" x14ac:dyDescent="0.3">
      <c r="C36">
        <v>0</v>
      </c>
    </row>
    <row r="37" spans="3:3" x14ac:dyDescent="0.3">
      <c r="C37">
        <v>0</v>
      </c>
    </row>
    <row r="38" spans="3:3" x14ac:dyDescent="0.3"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>
        <v>0</v>
      </c>
    </row>
    <row r="3" spans="1:2" x14ac:dyDescent="0.3">
      <c r="A3">
        <v>22500</v>
      </c>
      <c r="B3">
        <v>0</v>
      </c>
    </row>
    <row r="4" spans="1:2" x14ac:dyDescent="0.3">
      <c r="A4">
        <v>150</v>
      </c>
      <c r="B4">
        <v>1750</v>
      </c>
    </row>
    <row r="5" spans="1:2" x14ac:dyDescent="0.3">
      <c r="A5">
        <v>15640</v>
      </c>
      <c r="B5">
        <v>0</v>
      </c>
    </row>
    <row r="6" spans="1:2" x14ac:dyDescent="0.3">
      <c r="A6">
        <v>20725</v>
      </c>
      <c r="B6">
        <v>0</v>
      </c>
    </row>
    <row r="7" spans="1:2" x14ac:dyDescent="0.3">
      <c r="A7">
        <v>0</v>
      </c>
      <c r="B7">
        <v>3600</v>
      </c>
    </row>
    <row r="8" spans="1:2" x14ac:dyDescent="0.3">
      <c r="A8">
        <v>51350</v>
      </c>
      <c r="B8">
        <v>2610</v>
      </c>
    </row>
    <row r="9" spans="1:2" x14ac:dyDescent="0.3">
      <c r="A9">
        <v>101105</v>
      </c>
      <c r="B9">
        <v>0</v>
      </c>
    </row>
    <row r="10" spans="1:2" x14ac:dyDescent="0.3">
      <c r="A10">
        <v>16275</v>
      </c>
      <c r="B10">
        <v>0</v>
      </c>
    </row>
    <row r="11" spans="1:2" x14ac:dyDescent="0.3">
      <c r="A11">
        <v>0</v>
      </c>
      <c r="B11">
        <v>1500</v>
      </c>
    </row>
    <row r="12" spans="1:2" x14ac:dyDescent="0.3">
      <c r="A12">
        <v>50100</v>
      </c>
      <c r="B12">
        <v>0</v>
      </c>
    </row>
    <row r="13" spans="1:2" x14ac:dyDescent="0.3">
      <c r="A13">
        <v>162296</v>
      </c>
      <c r="B13">
        <v>1560</v>
      </c>
    </row>
    <row r="14" spans="1:2" x14ac:dyDescent="0.3">
      <c r="A14">
        <v>239222</v>
      </c>
      <c r="B14">
        <v>200</v>
      </c>
    </row>
    <row r="15" spans="1:2" x14ac:dyDescent="0.3">
      <c r="A15">
        <v>0</v>
      </c>
      <c r="B15">
        <v>120</v>
      </c>
    </row>
    <row r="16" spans="1:2" x14ac:dyDescent="0.3">
      <c r="A16">
        <v>0</v>
      </c>
      <c r="B16">
        <v>0</v>
      </c>
    </row>
    <row r="17" spans="1:2" x14ac:dyDescent="0.3">
      <c r="A17">
        <v>66380</v>
      </c>
      <c r="B17">
        <v>970</v>
      </c>
    </row>
    <row r="18" spans="1:2" x14ac:dyDescent="0.3">
      <c r="A18">
        <v>17020</v>
      </c>
      <c r="B18">
        <v>0</v>
      </c>
    </row>
    <row r="19" spans="1:2" x14ac:dyDescent="0.3">
      <c r="A19">
        <v>251400</v>
      </c>
      <c r="B19">
        <v>1945</v>
      </c>
    </row>
    <row r="20" spans="1:2" x14ac:dyDescent="0.3">
      <c r="A20">
        <v>33400</v>
      </c>
      <c r="B20">
        <v>0</v>
      </c>
    </row>
    <row r="21" spans="1:2" x14ac:dyDescent="0.3">
      <c r="A21">
        <v>13000</v>
      </c>
      <c r="B21">
        <v>520</v>
      </c>
    </row>
    <row r="22" spans="1:2" x14ac:dyDescent="0.3">
      <c r="A22">
        <v>61595</v>
      </c>
      <c r="B22">
        <v>1170</v>
      </c>
    </row>
    <row r="23" spans="1:2" x14ac:dyDescent="0.3">
      <c r="A23">
        <v>3400</v>
      </c>
      <c r="B23">
        <v>0</v>
      </c>
    </row>
    <row r="24" spans="1:2" x14ac:dyDescent="0.3">
      <c r="A24">
        <v>0</v>
      </c>
      <c r="B24">
        <v>100</v>
      </c>
    </row>
    <row r="25" spans="1:2" x14ac:dyDescent="0.3">
      <c r="A25">
        <v>13800</v>
      </c>
      <c r="B25">
        <v>0</v>
      </c>
    </row>
    <row r="26" spans="1:2" x14ac:dyDescent="0.3">
      <c r="A26">
        <v>73800</v>
      </c>
      <c r="B26">
        <v>3030</v>
      </c>
    </row>
    <row r="27" spans="1:2" x14ac:dyDescent="0.3">
      <c r="A27">
        <v>60030</v>
      </c>
      <c r="B27">
        <v>55</v>
      </c>
    </row>
    <row r="28" spans="1:2" x14ac:dyDescent="0.3">
      <c r="A28">
        <v>0</v>
      </c>
      <c r="B28">
        <v>0</v>
      </c>
    </row>
    <row r="29" spans="1:2" x14ac:dyDescent="0.3">
      <c r="A29">
        <v>5400</v>
      </c>
      <c r="B29">
        <v>200</v>
      </c>
    </row>
    <row r="30" spans="1:2" x14ac:dyDescent="0.3">
      <c r="A30">
        <v>277600</v>
      </c>
      <c r="B30">
        <v>0</v>
      </c>
    </row>
    <row r="31" spans="1:2" x14ac:dyDescent="0.3">
      <c r="A31">
        <v>15000</v>
      </c>
      <c r="B31">
        <v>0</v>
      </c>
    </row>
    <row r="32" spans="1:2" x14ac:dyDescent="0.3">
      <c r="A32">
        <v>41820</v>
      </c>
      <c r="B32">
        <v>0</v>
      </c>
    </row>
    <row r="33" spans="1:2" x14ac:dyDescent="0.3">
      <c r="A33">
        <v>160540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15098</v>
      </c>
      <c r="B35">
        <v>0</v>
      </c>
    </row>
    <row r="36" spans="1:2" x14ac:dyDescent="0.3">
      <c r="A36">
        <v>482273</v>
      </c>
      <c r="B36">
        <v>4016</v>
      </c>
    </row>
    <row r="37" spans="1:2" x14ac:dyDescent="0.3">
      <c r="A37">
        <v>39000</v>
      </c>
      <c r="B37">
        <v>0</v>
      </c>
    </row>
    <row r="38" spans="1:2" x14ac:dyDescent="0.3">
      <c r="A38">
        <v>72000</v>
      </c>
      <c r="B38">
        <v>35</v>
      </c>
    </row>
    <row r="39" spans="1:2" x14ac:dyDescent="0.3">
      <c r="A39">
        <v>25950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245980</v>
      </c>
      <c r="B41">
        <v>100</v>
      </c>
    </row>
    <row r="42" spans="1:2" x14ac:dyDescent="0.3">
      <c r="A42">
        <v>5200</v>
      </c>
      <c r="B42">
        <v>0</v>
      </c>
    </row>
    <row r="43" spans="1:2" x14ac:dyDescent="0.3">
      <c r="A43">
        <v>40064</v>
      </c>
      <c r="B43">
        <v>200</v>
      </c>
    </row>
    <row r="44" spans="1:2" x14ac:dyDescent="0.3">
      <c r="A44">
        <v>21280</v>
      </c>
      <c r="B44">
        <v>0</v>
      </c>
    </row>
    <row r="45" spans="1:2" x14ac:dyDescent="0.3">
      <c r="A45">
        <v>25440</v>
      </c>
      <c r="B45">
        <v>220</v>
      </c>
    </row>
    <row r="46" spans="1:2" x14ac:dyDescent="0.3">
      <c r="A46">
        <v>79856</v>
      </c>
      <c r="B46">
        <v>105</v>
      </c>
    </row>
    <row r="47" spans="1:2" x14ac:dyDescent="0.3">
      <c r="A47">
        <v>43500</v>
      </c>
      <c r="B47">
        <v>327</v>
      </c>
    </row>
    <row r="48" spans="1:2" x14ac:dyDescent="0.3">
      <c r="A48">
        <v>46800</v>
      </c>
      <c r="B48">
        <v>276</v>
      </c>
    </row>
    <row r="49" spans="1:2" x14ac:dyDescent="0.3">
      <c r="A49">
        <v>325500</v>
      </c>
      <c r="B49">
        <v>4375</v>
      </c>
    </row>
    <row r="50" spans="1:2" x14ac:dyDescent="0.3">
      <c r="A50">
        <v>7680</v>
      </c>
      <c r="B50">
        <v>45</v>
      </c>
    </row>
    <row r="51" spans="1:2" x14ac:dyDescent="0.3">
      <c r="A51">
        <v>138072</v>
      </c>
      <c r="B51">
        <v>0</v>
      </c>
    </row>
    <row r="52" spans="1:2" x14ac:dyDescent="0.3">
      <c r="A52">
        <v>18000</v>
      </c>
      <c r="B52">
        <v>6245</v>
      </c>
    </row>
    <row r="53" spans="1:2" x14ac:dyDescent="0.3">
      <c r="A53">
        <v>92580</v>
      </c>
      <c r="B53">
        <v>0</v>
      </c>
    </row>
    <row r="54" spans="1:2" x14ac:dyDescent="0.3">
      <c r="A54">
        <v>10100</v>
      </c>
      <c r="B54">
        <v>0</v>
      </c>
    </row>
    <row r="55" spans="1:2" x14ac:dyDescent="0.3">
      <c r="A55">
        <v>262462</v>
      </c>
      <c r="B55">
        <v>500</v>
      </c>
    </row>
    <row r="56" spans="1:2" x14ac:dyDescent="0.3">
      <c r="A56">
        <v>42032</v>
      </c>
      <c r="B56">
        <v>0</v>
      </c>
    </row>
    <row r="57" spans="1:2" x14ac:dyDescent="0.3">
      <c r="A57">
        <v>151680</v>
      </c>
      <c r="B57">
        <v>1249</v>
      </c>
    </row>
    <row r="58" spans="1:2" x14ac:dyDescent="0.3">
      <c r="A58">
        <v>43700</v>
      </c>
      <c r="B58">
        <v>70</v>
      </c>
    </row>
    <row r="59" spans="1:2" x14ac:dyDescent="0.3">
      <c r="A59">
        <v>0</v>
      </c>
      <c r="B59">
        <v>0</v>
      </c>
    </row>
    <row r="60" spans="1:2" x14ac:dyDescent="0.3">
      <c r="A60">
        <v>18192</v>
      </c>
      <c r="B60">
        <v>0</v>
      </c>
    </row>
    <row r="61" spans="1:2" x14ac:dyDescent="0.3">
      <c r="A61">
        <v>54600</v>
      </c>
      <c r="B61">
        <v>0</v>
      </c>
    </row>
    <row r="62" spans="1:2" x14ac:dyDescent="0.3">
      <c r="A62">
        <v>14520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286200</v>
      </c>
      <c r="B65">
        <v>5920</v>
      </c>
    </row>
    <row r="66" spans="1:2" x14ac:dyDescent="0.3">
      <c r="A66">
        <v>24600</v>
      </c>
      <c r="B66">
        <v>0</v>
      </c>
    </row>
    <row r="67" spans="1:2" x14ac:dyDescent="0.3">
      <c r="A67">
        <v>45201</v>
      </c>
      <c r="B67">
        <v>0</v>
      </c>
    </row>
    <row r="68" spans="1:2" x14ac:dyDescent="0.3">
      <c r="A68">
        <v>6975</v>
      </c>
      <c r="B68">
        <v>0</v>
      </c>
    </row>
    <row r="69" spans="1:2" x14ac:dyDescent="0.3">
      <c r="A69">
        <v>157624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37200</v>
      </c>
      <c r="B72">
        <v>0</v>
      </c>
    </row>
    <row r="73" spans="1:2" x14ac:dyDescent="0.3">
      <c r="A73">
        <v>22100</v>
      </c>
      <c r="B73">
        <v>0</v>
      </c>
    </row>
    <row r="74" spans="1:2" x14ac:dyDescent="0.3">
      <c r="A74">
        <v>44200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12740</v>
      </c>
      <c r="B76">
        <v>0</v>
      </c>
    </row>
    <row r="77" spans="1:2" x14ac:dyDescent="0.3">
      <c r="A77">
        <v>7500</v>
      </c>
      <c r="B77">
        <v>18</v>
      </c>
    </row>
    <row r="78" spans="1:2" x14ac:dyDescent="0.3">
      <c r="A78">
        <v>13075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18850</v>
      </c>
      <c r="B80">
        <v>0</v>
      </c>
    </row>
    <row r="81" spans="1:2" x14ac:dyDescent="0.3">
      <c r="A81">
        <v>19800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31200</v>
      </c>
      <c r="B83">
        <v>620</v>
      </c>
    </row>
    <row r="84" spans="1:2" x14ac:dyDescent="0.3">
      <c r="A84">
        <v>0</v>
      </c>
      <c r="B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168</v>
      </c>
      <c r="B2">
        <v>0</v>
      </c>
    </row>
    <row r="3" spans="1:2" x14ac:dyDescent="0.3">
      <c r="A3">
        <v>0</v>
      </c>
      <c r="B3">
        <v>26118</v>
      </c>
    </row>
    <row r="4" spans="1:2" x14ac:dyDescent="0.3">
      <c r="A4">
        <v>0</v>
      </c>
      <c r="B4">
        <v>460</v>
      </c>
    </row>
    <row r="5" spans="1:2" x14ac:dyDescent="0.3">
      <c r="A5">
        <v>2756</v>
      </c>
      <c r="B5">
        <v>0</v>
      </c>
    </row>
    <row r="6" spans="1:2" x14ac:dyDescent="0.3">
      <c r="A6">
        <v>0</v>
      </c>
      <c r="B6">
        <v>8553</v>
      </c>
    </row>
    <row r="7" spans="1:2" x14ac:dyDescent="0.3">
      <c r="A7">
        <v>0</v>
      </c>
      <c r="B7">
        <v>38906</v>
      </c>
    </row>
    <row r="8" spans="1:2" x14ac:dyDescent="0.3">
      <c r="A8">
        <v>3490</v>
      </c>
      <c r="B8">
        <v>0</v>
      </c>
    </row>
    <row r="9" spans="1:2" x14ac:dyDescent="0.3">
      <c r="A9">
        <v>4368</v>
      </c>
      <c r="B9">
        <v>577</v>
      </c>
    </row>
    <row r="10" spans="1:2" x14ac:dyDescent="0.3">
      <c r="A10">
        <v>780</v>
      </c>
      <c r="B10">
        <v>0</v>
      </c>
    </row>
    <row r="11" spans="1:2" x14ac:dyDescent="0.3">
      <c r="A11">
        <v>104</v>
      </c>
      <c r="B11">
        <v>42981</v>
      </c>
    </row>
    <row r="12" spans="1:2" x14ac:dyDescent="0.3">
      <c r="A12">
        <v>0</v>
      </c>
      <c r="B12">
        <v>5628</v>
      </c>
    </row>
    <row r="13" spans="1:2" x14ac:dyDescent="0.3">
      <c r="A13">
        <v>9100</v>
      </c>
      <c r="B13">
        <v>154500</v>
      </c>
    </row>
    <row r="14" spans="1:2" x14ac:dyDescent="0.3">
      <c r="A14">
        <v>0</v>
      </c>
      <c r="B14">
        <v>0</v>
      </c>
    </row>
    <row r="15" spans="1:2" x14ac:dyDescent="0.3">
      <c r="A15">
        <v>1456</v>
      </c>
      <c r="B15">
        <v>427</v>
      </c>
    </row>
    <row r="16" spans="1:2" x14ac:dyDescent="0.3">
      <c r="A16">
        <v>0</v>
      </c>
      <c r="B16">
        <v>35750</v>
      </c>
    </row>
    <row r="17" spans="1:2" x14ac:dyDescent="0.3">
      <c r="A17">
        <v>5408</v>
      </c>
      <c r="B17">
        <v>0</v>
      </c>
    </row>
    <row r="18" spans="1:2" x14ac:dyDescent="0.3">
      <c r="A18">
        <v>0</v>
      </c>
      <c r="B18">
        <v>1044</v>
      </c>
    </row>
    <row r="19" spans="1:2" x14ac:dyDescent="0.3">
      <c r="A19">
        <v>9360</v>
      </c>
      <c r="B19">
        <v>3135</v>
      </c>
    </row>
    <row r="20" spans="1:2" x14ac:dyDescent="0.3">
      <c r="A20">
        <v>1755</v>
      </c>
      <c r="B20">
        <v>645</v>
      </c>
    </row>
    <row r="21" spans="1:2" x14ac:dyDescent="0.3">
      <c r="A21">
        <v>3946</v>
      </c>
      <c r="B21">
        <v>0</v>
      </c>
    </row>
    <row r="22" spans="1:2" x14ac:dyDescent="0.3">
      <c r="A22">
        <v>0</v>
      </c>
      <c r="B22">
        <v>834</v>
      </c>
    </row>
    <row r="23" spans="1:2" x14ac:dyDescent="0.3">
      <c r="A23">
        <v>676</v>
      </c>
      <c r="B23">
        <v>351</v>
      </c>
    </row>
    <row r="24" spans="1:2" x14ac:dyDescent="0.3">
      <c r="A24">
        <v>0</v>
      </c>
      <c r="B24">
        <v>340</v>
      </c>
    </row>
    <row r="25" spans="1:2" x14ac:dyDescent="0.3">
      <c r="A25">
        <v>1214</v>
      </c>
      <c r="B25">
        <v>1265</v>
      </c>
    </row>
    <row r="26" spans="1:2" x14ac:dyDescent="0.3">
      <c r="A26">
        <v>1040</v>
      </c>
      <c r="B26">
        <v>2430</v>
      </c>
    </row>
    <row r="27" spans="1:2" x14ac:dyDescent="0.3">
      <c r="A27">
        <v>156</v>
      </c>
      <c r="B27">
        <v>2908</v>
      </c>
    </row>
    <row r="28" spans="1:2" x14ac:dyDescent="0.3">
      <c r="A28">
        <v>2340</v>
      </c>
      <c r="B28">
        <v>8210</v>
      </c>
    </row>
    <row r="29" spans="1:2" x14ac:dyDescent="0.3">
      <c r="A29">
        <v>3900</v>
      </c>
      <c r="B29">
        <v>694</v>
      </c>
    </row>
    <row r="30" spans="1:2" x14ac:dyDescent="0.3">
      <c r="A30">
        <v>520</v>
      </c>
      <c r="B30">
        <v>21040</v>
      </c>
    </row>
    <row r="31" spans="1:2" x14ac:dyDescent="0.3">
      <c r="A31">
        <v>0</v>
      </c>
      <c r="B31">
        <v>494</v>
      </c>
    </row>
    <row r="32" spans="1:2" x14ac:dyDescent="0.3">
      <c r="A32">
        <v>1651</v>
      </c>
      <c r="B32">
        <v>1885</v>
      </c>
    </row>
    <row r="33" spans="1:2" x14ac:dyDescent="0.3">
      <c r="A33">
        <v>0</v>
      </c>
      <c r="B33">
        <v>136042</v>
      </c>
    </row>
    <row r="34" spans="1:2" x14ac:dyDescent="0.3">
      <c r="A34">
        <v>2496</v>
      </c>
      <c r="B34">
        <v>4025</v>
      </c>
    </row>
    <row r="35" spans="1:2" x14ac:dyDescent="0.3">
      <c r="A35">
        <v>520</v>
      </c>
      <c r="B35">
        <v>1070</v>
      </c>
    </row>
    <row r="36" spans="1:2" x14ac:dyDescent="0.3">
      <c r="A36">
        <v>2210</v>
      </c>
      <c r="B36">
        <v>44105</v>
      </c>
    </row>
    <row r="37" spans="1:2" x14ac:dyDescent="0.3">
      <c r="A37">
        <v>191</v>
      </c>
      <c r="B37">
        <v>475</v>
      </c>
    </row>
    <row r="38" spans="1:2" x14ac:dyDescent="0.3">
      <c r="A38">
        <v>1378</v>
      </c>
      <c r="B38">
        <v>0</v>
      </c>
    </row>
    <row r="39" spans="1:2" x14ac:dyDescent="0.3">
      <c r="A39">
        <v>0</v>
      </c>
      <c r="B39">
        <v>580</v>
      </c>
    </row>
    <row r="40" spans="1:2" x14ac:dyDescent="0.3">
      <c r="A40">
        <v>249</v>
      </c>
      <c r="B40">
        <v>0</v>
      </c>
    </row>
    <row r="41" spans="1:2" x14ac:dyDescent="0.3">
      <c r="A41">
        <v>0</v>
      </c>
      <c r="B41">
        <v>72600</v>
      </c>
    </row>
    <row r="42" spans="1:2" x14ac:dyDescent="0.3">
      <c r="A42">
        <v>0</v>
      </c>
      <c r="B42">
        <v>30782</v>
      </c>
    </row>
    <row r="43" spans="1:2" x14ac:dyDescent="0.3">
      <c r="A43">
        <v>728</v>
      </c>
      <c r="B43">
        <v>0</v>
      </c>
    </row>
    <row r="44" spans="1:2" x14ac:dyDescent="0.3">
      <c r="A44">
        <v>1514</v>
      </c>
      <c r="B44">
        <v>603</v>
      </c>
    </row>
    <row r="45" spans="1:2" x14ac:dyDescent="0.3">
      <c r="A45">
        <v>1608</v>
      </c>
      <c r="B45">
        <v>76</v>
      </c>
    </row>
    <row r="46" spans="1:2" x14ac:dyDescent="0.3">
      <c r="A46">
        <v>5249</v>
      </c>
      <c r="B46">
        <v>2014</v>
      </c>
    </row>
    <row r="47" spans="1:2" x14ac:dyDescent="0.3">
      <c r="A47">
        <v>2184</v>
      </c>
      <c r="B47">
        <v>767</v>
      </c>
    </row>
    <row r="48" spans="1:2" x14ac:dyDescent="0.3">
      <c r="A48">
        <v>4680</v>
      </c>
      <c r="B48">
        <v>560</v>
      </c>
    </row>
    <row r="49" spans="1:2" x14ac:dyDescent="0.3">
      <c r="A49">
        <v>0</v>
      </c>
      <c r="B49">
        <v>33981</v>
      </c>
    </row>
    <row r="50" spans="1:2" x14ac:dyDescent="0.3">
      <c r="A50">
        <v>125</v>
      </c>
      <c r="B50">
        <v>928</v>
      </c>
    </row>
    <row r="51" spans="1:2" x14ac:dyDescent="0.3">
      <c r="A51">
        <v>988</v>
      </c>
      <c r="B51">
        <v>4834</v>
      </c>
    </row>
    <row r="52" spans="1:2" x14ac:dyDescent="0.3">
      <c r="A52">
        <v>3539</v>
      </c>
      <c r="B52">
        <v>971</v>
      </c>
    </row>
    <row r="53" spans="1:2" x14ac:dyDescent="0.3">
      <c r="A53">
        <v>4282</v>
      </c>
      <c r="B53">
        <v>4839</v>
      </c>
    </row>
    <row r="54" spans="1:2" x14ac:dyDescent="0.3">
      <c r="A54">
        <v>0</v>
      </c>
      <c r="B54">
        <v>0</v>
      </c>
    </row>
    <row r="55" spans="1:2" x14ac:dyDescent="0.3">
      <c r="A55">
        <v>1478</v>
      </c>
      <c r="B55">
        <v>629</v>
      </c>
    </row>
    <row r="56" spans="1:2" x14ac:dyDescent="0.3">
      <c r="A56">
        <v>1560</v>
      </c>
      <c r="B56">
        <v>1657</v>
      </c>
    </row>
    <row r="57" spans="1:2" x14ac:dyDescent="0.3">
      <c r="A57">
        <v>1676</v>
      </c>
      <c r="B57">
        <v>2117</v>
      </c>
    </row>
    <row r="58" spans="1:2" x14ac:dyDescent="0.3">
      <c r="A58">
        <v>1170</v>
      </c>
      <c r="B58">
        <v>802</v>
      </c>
    </row>
    <row r="59" spans="1:2" x14ac:dyDescent="0.3">
      <c r="A59">
        <v>13</v>
      </c>
      <c r="B59">
        <v>0</v>
      </c>
    </row>
    <row r="60" spans="1:2" x14ac:dyDescent="0.3">
      <c r="A60">
        <v>0</v>
      </c>
      <c r="B60">
        <v>575</v>
      </c>
    </row>
    <row r="61" spans="1:2" x14ac:dyDescent="0.3">
      <c r="A61">
        <v>2794</v>
      </c>
      <c r="B61">
        <v>496</v>
      </c>
    </row>
    <row r="62" spans="1:2" x14ac:dyDescent="0.3">
      <c r="A62">
        <v>53</v>
      </c>
      <c r="B62">
        <v>736</v>
      </c>
    </row>
    <row r="63" spans="1:2" x14ac:dyDescent="0.3">
      <c r="A63">
        <v>0</v>
      </c>
      <c r="B63">
        <v>612</v>
      </c>
    </row>
    <row r="64" spans="1:2" x14ac:dyDescent="0.3">
      <c r="A64">
        <v>442</v>
      </c>
      <c r="B64">
        <v>0</v>
      </c>
    </row>
    <row r="65" spans="1:2" x14ac:dyDescent="0.3">
      <c r="A65">
        <v>4802</v>
      </c>
      <c r="B65">
        <v>10121</v>
      </c>
    </row>
    <row r="66" spans="1:2" x14ac:dyDescent="0.3">
      <c r="A66">
        <v>52</v>
      </c>
      <c r="B66">
        <v>330</v>
      </c>
    </row>
    <row r="67" spans="1:2" x14ac:dyDescent="0.3">
      <c r="A67">
        <v>800</v>
      </c>
      <c r="B67">
        <v>2080</v>
      </c>
    </row>
    <row r="68" spans="1:2" x14ac:dyDescent="0.3">
      <c r="A68">
        <v>3120</v>
      </c>
      <c r="B68">
        <v>948</v>
      </c>
    </row>
    <row r="69" spans="1:2" x14ac:dyDescent="0.3">
      <c r="A69">
        <v>4400</v>
      </c>
      <c r="B69">
        <v>37905</v>
      </c>
    </row>
    <row r="70" spans="1:2" x14ac:dyDescent="0.3">
      <c r="A70">
        <v>0</v>
      </c>
      <c r="B70">
        <v>0</v>
      </c>
    </row>
    <row r="71" spans="1:2" x14ac:dyDescent="0.3">
      <c r="A71">
        <v>1248</v>
      </c>
      <c r="B71">
        <v>15</v>
      </c>
    </row>
    <row r="72" spans="1:2" x14ac:dyDescent="0.3">
      <c r="A72">
        <v>1402</v>
      </c>
      <c r="B72">
        <v>1287</v>
      </c>
    </row>
    <row r="73" spans="1:2" x14ac:dyDescent="0.3">
      <c r="A73">
        <v>541</v>
      </c>
      <c r="B73">
        <v>370</v>
      </c>
    </row>
    <row r="74" spans="1:2" x14ac:dyDescent="0.3">
      <c r="A74">
        <v>828</v>
      </c>
      <c r="B74">
        <v>4999</v>
      </c>
    </row>
    <row r="75" spans="1:2" x14ac:dyDescent="0.3">
      <c r="A75">
        <v>28</v>
      </c>
      <c r="B75">
        <v>0</v>
      </c>
    </row>
    <row r="76" spans="1:2" x14ac:dyDescent="0.3">
      <c r="A76">
        <v>15</v>
      </c>
      <c r="B76">
        <v>154</v>
      </c>
    </row>
    <row r="77" spans="1:2" x14ac:dyDescent="0.3">
      <c r="A77">
        <v>180</v>
      </c>
      <c r="B77">
        <v>27653</v>
      </c>
    </row>
    <row r="78" spans="1:2" x14ac:dyDescent="0.3">
      <c r="A78">
        <v>0</v>
      </c>
      <c r="B78">
        <v>814</v>
      </c>
    </row>
    <row r="79" spans="1:2" x14ac:dyDescent="0.3">
      <c r="A79">
        <v>0</v>
      </c>
      <c r="B79">
        <v>4228</v>
      </c>
    </row>
    <row r="80" spans="1:2" x14ac:dyDescent="0.3">
      <c r="A80">
        <v>0</v>
      </c>
      <c r="B80">
        <v>774</v>
      </c>
    </row>
    <row r="81" spans="1:2" x14ac:dyDescent="0.3">
      <c r="A81">
        <v>377</v>
      </c>
      <c r="B81">
        <v>0</v>
      </c>
    </row>
    <row r="82" spans="1:2" x14ac:dyDescent="0.3">
      <c r="A82">
        <v>150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360</v>
      </c>
      <c r="B84">
        <v>8956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P38"/>
  <sheetViews>
    <sheetView zoomScale="85" zoomScaleNormal="85" workbookViewId="0">
      <selection activeCell="C44" sqref="C44"/>
    </sheetView>
  </sheetViews>
  <sheetFormatPr defaultColWidth="9.109375" defaultRowHeight="14.4" x14ac:dyDescent="0.3"/>
  <cols>
    <col min="1" max="1" width="15.6640625" style="6" customWidth="1"/>
    <col min="2" max="2" width="11.109375" style="6" bestFit="1" customWidth="1"/>
    <col min="3" max="3" width="16.6640625" style="6" bestFit="1" customWidth="1"/>
    <col min="4" max="4" width="16.21875" style="6" bestFit="1" customWidth="1"/>
    <col min="5" max="5" width="7.6640625" style="6" bestFit="1" customWidth="1"/>
    <col min="6" max="6" width="13.33203125" style="6" bestFit="1" customWidth="1"/>
    <col min="7" max="7" width="10.5546875" style="6" bestFit="1" customWidth="1"/>
    <col min="8" max="8" width="12.6640625" style="6" bestFit="1" customWidth="1"/>
    <col min="9" max="9" width="12.5546875" style="6" bestFit="1" customWidth="1"/>
    <col min="10" max="10" width="2.88671875" style="6" customWidth="1"/>
    <col min="11" max="11" width="25.44140625" style="6" customWidth="1"/>
    <col min="12" max="12" width="15.6640625" style="6" bestFit="1" customWidth="1"/>
    <col min="13" max="13" width="16.6640625" style="6" bestFit="1" customWidth="1"/>
    <col min="14" max="14" width="9.109375" style="6"/>
    <col min="15" max="15" width="22.6640625" style="6" customWidth="1"/>
    <col min="16" max="16384" width="9.109375" style="6"/>
  </cols>
  <sheetData>
    <row r="1" spans="1:16" ht="15" customHeight="1" thickBot="1" x14ac:dyDescent="0.3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2" t="s">
        <v>10</v>
      </c>
      <c r="L1" s="3"/>
      <c r="M1" s="3"/>
      <c r="N1" s="4"/>
      <c r="O1" s="5"/>
    </row>
    <row r="2" spans="1:16" ht="15" customHeight="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7" t="s">
        <v>11</v>
      </c>
      <c r="L2" s="8">
        <f t="array" ref="L2:M6">LINEST(SLRData!$B$2:$B$84, SLRData!$A$2:$A$84,TRUE,TRUE)</f>
        <v>2.5044513043406322</v>
      </c>
      <c r="M2" s="9">
        <v>6290.7741169087476</v>
      </c>
      <c r="N2" s="72">
        <v>8</v>
      </c>
      <c r="O2" s="71">
        <v>7</v>
      </c>
      <c r="P2" s="5"/>
    </row>
    <row r="3" spans="1:16" ht="15" customHeight="1" x14ac:dyDescent="0.3">
      <c r="A3" s="11" t="s">
        <v>12</v>
      </c>
      <c r="B3" s="11"/>
      <c r="C3" s="1"/>
      <c r="D3" s="1"/>
      <c r="E3" s="1"/>
      <c r="F3" s="1"/>
      <c r="G3" s="1"/>
      <c r="H3" s="1"/>
      <c r="I3" s="1"/>
      <c r="J3" s="1"/>
      <c r="K3" s="7" t="s">
        <v>13</v>
      </c>
      <c r="L3" s="12">
        <v>1.4157192711087032</v>
      </c>
      <c r="M3" s="13">
        <v>3354.3445044932041</v>
      </c>
      <c r="N3" s="10"/>
      <c r="O3" s="5"/>
      <c r="P3" s="5"/>
    </row>
    <row r="4" spans="1:16" ht="15" customHeight="1" x14ac:dyDescent="0.3">
      <c r="A4" s="14" t="s">
        <v>14</v>
      </c>
      <c r="B4" s="15">
        <f>SQRT(C12/C14)</f>
        <v>0.19286852965323606</v>
      </c>
      <c r="C4" s="72">
        <v>5</v>
      </c>
      <c r="D4" s="1"/>
      <c r="E4" s="1"/>
      <c r="F4" s="16"/>
      <c r="G4" s="1"/>
      <c r="H4" s="1"/>
      <c r="I4" s="1"/>
      <c r="J4" s="1"/>
      <c r="K4" s="17" t="s">
        <v>15</v>
      </c>
      <c r="L4" s="12">
        <v>3.7198269730601197E-2</v>
      </c>
      <c r="M4" s="13">
        <v>24943.152902189962</v>
      </c>
      <c r="N4" s="10"/>
      <c r="O4" s="4"/>
      <c r="P4" s="5"/>
    </row>
    <row r="5" spans="1:16" ht="15" customHeight="1" x14ac:dyDescent="0.3">
      <c r="A5" s="14" t="s">
        <v>16</v>
      </c>
      <c r="B5" s="15">
        <f>L4</f>
        <v>3.7198269730601197E-2</v>
      </c>
      <c r="C5" s="72">
        <v>6</v>
      </c>
      <c r="D5" s="1"/>
      <c r="E5" s="1"/>
      <c r="F5" s="16"/>
      <c r="G5" s="1"/>
      <c r="H5" s="1"/>
      <c r="I5" s="1"/>
      <c r="J5" s="1"/>
      <c r="K5" s="7" t="s">
        <v>17</v>
      </c>
      <c r="L5" s="12">
        <v>3.1294707450677524</v>
      </c>
      <c r="M5" s="13">
        <v>81</v>
      </c>
      <c r="N5" s="10"/>
      <c r="O5" s="5"/>
      <c r="P5" s="5"/>
    </row>
    <row r="6" spans="1:16" ht="15" customHeight="1" thickBot="1" x14ac:dyDescent="0.35">
      <c r="A6" s="14" t="s">
        <v>18</v>
      </c>
      <c r="B6" s="15">
        <f>1-(B14/B13)*(C13/C14)</f>
        <v>2.53118286161641E-2</v>
      </c>
      <c r="C6" s="1"/>
      <c r="D6" s="1"/>
      <c r="E6" s="1"/>
      <c r="F6" s="1"/>
      <c r="G6" s="1"/>
      <c r="H6" s="1"/>
      <c r="I6" s="1"/>
      <c r="J6" s="1"/>
      <c r="K6" s="17" t="s">
        <v>19</v>
      </c>
      <c r="L6" s="18">
        <v>1947034262.3647003</v>
      </c>
      <c r="M6" s="19">
        <v>50395031012.864235</v>
      </c>
      <c r="N6" s="10"/>
      <c r="O6" s="5"/>
      <c r="P6" s="5"/>
    </row>
    <row r="7" spans="1:16" ht="15" customHeight="1" x14ac:dyDescent="0.3">
      <c r="A7" s="14" t="s">
        <v>20</v>
      </c>
      <c r="B7" s="15">
        <f>M4</f>
        <v>24943.152902189962</v>
      </c>
      <c r="C7" s="1"/>
      <c r="D7" s="1"/>
      <c r="E7" s="1"/>
      <c r="F7" s="1"/>
      <c r="G7" s="1"/>
      <c r="H7" s="1"/>
      <c r="I7" s="1"/>
      <c r="J7" s="1"/>
      <c r="K7" s="5"/>
      <c r="L7" s="5"/>
      <c r="M7" s="5"/>
      <c r="N7" s="5"/>
      <c r="O7" s="5"/>
    </row>
    <row r="8" spans="1:16" ht="15" customHeight="1" thickBot="1" x14ac:dyDescent="0.35">
      <c r="A8" s="20" t="s">
        <v>21</v>
      </c>
      <c r="B8" s="20">
        <f>COUNT(SLRData!$A:$A)</f>
        <v>83</v>
      </c>
      <c r="C8" s="1"/>
      <c r="D8" s="1"/>
      <c r="E8" s="1"/>
      <c r="F8" s="1"/>
      <c r="G8" s="1"/>
      <c r="H8" s="1"/>
      <c r="I8" s="1"/>
      <c r="J8" s="1"/>
      <c r="K8" s="21" t="s">
        <v>22</v>
      </c>
      <c r="L8" s="22">
        <v>0.95</v>
      </c>
      <c r="M8" s="5"/>
      <c r="N8" s="5"/>
      <c r="O8" s="5"/>
    </row>
    <row r="9" spans="1:16" ht="1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23" t="s">
        <v>23</v>
      </c>
      <c r="L9" s="24">
        <f>_xlfn.T.INV.2T(1-L8,B13)</f>
        <v>1.9896863234569038</v>
      </c>
      <c r="M9" s="71">
        <v>2</v>
      </c>
      <c r="N9" s="5"/>
      <c r="O9" s="5"/>
    </row>
    <row r="10" spans="1:16" ht="15" customHeight="1" thickBot="1" x14ac:dyDescent="0.3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21" t="s">
        <v>25</v>
      </c>
      <c r="L10" s="24">
        <f>L9*C17</f>
        <v>6674.0933847529532</v>
      </c>
      <c r="M10" s="5"/>
      <c r="N10" s="5"/>
      <c r="O10" s="5"/>
    </row>
    <row r="11" spans="1:16" ht="15" customHeight="1" x14ac:dyDescent="0.3">
      <c r="A11" s="25"/>
      <c r="B11" s="25" t="s">
        <v>26</v>
      </c>
      <c r="C11" s="25" t="s">
        <v>27</v>
      </c>
      <c r="D11" s="25" t="s">
        <v>28</v>
      </c>
      <c r="E11" s="25" t="s">
        <v>29</v>
      </c>
      <c r="F11" s="25" t="s">
        <v>30</v>
      </c>
      <c r="K11" s="21" t="s">
        <v>31</v>
      </c>
      <c r="L11" s="24">
        <f>L9*C18</f>
        <v>2.8168372715793635</v>
      </c>
    </row>
    <row r="12" spans="1:16" ht="15" customHeight="1" x14ac:dyDescent="0.3">
      <c r="A12" s="14" t="s">
        <v>32</v>
      </c>
      <c r="B12" s="14">
        <v>1</v>
      </c>
      <c r="C12" s="15">
        <f>L6</f>
        <v>1947034262.3647003</v>
      </c>
      <c r="D12" s="15">
        <f>L6</f>
        <v>1947034262.3647003</v>
      </c>
      <c r="E12" s="15">
        <f>L5</f>
        <v>3.1294707450677524</v>
      </c>
      <c r="F12" s="15">
        <f>_xlfn.F.DIST.RT(E12,B12,B13)</f>
        <v>8.0652943852416115E-2</v>
      </c>
    </row>
    <row r="13" spans="1:16" ht="15" customHeight="1" x14ac:dyDescent="0.3">
      <c r="A13" s="14" t="s">
        <v>33</v>
      </c>
      <c r="B13" s="14">
        <f>M5</f>
        <v>81</v>
      </c>
      <c r="C13" s="15">
        <f>M6</f>
        <v>50395031012.864235</v>
      </c>
      <c r="D13" s="15">
        <f>C13/B13</f>
        <v>622160876.70202756</v>
      </c>
      <c r="E13" s="15"/>
      <c r="F13" s="15"/>
    </row>
    <row r="14" spans="1:16" ht="15" customHeight="1" thickBot="1" x14ac:dyDescent="0.35">
      <c r="A14" s="20" t="s">
        <v>34</v>
      </c>
      <c r="B14" s="26">
        <f>B12+B13</f>
        <v>82</v>
      </c>
      <c r="C14" s="27">
        <f>C12+C13</f>
        <v>52342065275.228935</v>
      </c>
      <c r="D14" s="20"/>
      <c r="E14" s="20"/>
      <c r="F14" s="20"/>
    </row>
    <row r="15" spans="1:16" ht="15" customHeight="1" thickBot="1" x14ac:dyDescent="0.35">
      <c r="A15" s="1"/>
      <c r="B15" s="1"/>
      <c r="C15" s="1"/>
      <c r="D15" s="10"/>
      <c r="F15" s="1"/>
      <c r="G15" s="1"/>
      <c r="H15" s="1"/>
      <c r="I15" s="1"/>
      <c r="J15" s="1"/>
    </row>
    <row r="16" spans="1:16" ht="15" customHeight="1" x14ac:dyDescent="0.3">
      <c r="A16" s="28"/>
      <c r="B16" s="28" t="s">
        <v>35</v>
      </c>
      <c r="C16" s="28" t="s">
        <v>20</v>
      </c>
      <c r="D16" s="28" t="s">
        <v>36</v>
      </c>
      <c r="E16" s="28" t="s">
        <v>37</v>
      </c>
      <c r="F16" s="28" t="str">
        <f>"Lower " &amp; L8*100 &amp; "%"</f>
        <v>Lower 95%</v>
      </c>
      <c r="G16" s="28" t="str">
        <f>"Upper " &amp; L8*100 &amp; "%"</f>
        <v>Upper 95%</v>
      </c>
      <c r="H16" s="28" t="str">
        <f t="shared" ref="H16:I18" si="0">F16</f>
        <v>Lower 95%</v>
      </c>
      <c r="I16" s="28" t="str">
        <f t="shared" si="0"/>
        <v>Upper 95%</v>
      </c>
      <c r="J16" s="29"/>
    </row>
    <row r="17" spans="1:10" ht="15" customHeight="1" x14ac:dyDescent="0.3">
      <c r="A17" s="30" t="s">
        <v>38</v>
      </c>
      <c r="B17" s="31">
        <f>M2</f>
        <v>6290.7741169087476</v>
      </c>
      <c r="C17" s="31">
        <f>M3</f>
        <v>3354.3445044932041</v>
      </c>
      <c r="D17" s="31">
        <f>B17/C17</f>
        <v>1.8754108614908647</v>
      </c>
      <c r="E17" s="31">
        <f>_xlfn.T.DIST.2T(ABS(D17), B13)</f>
        <v>6.4339479639191455E-2</v>
      </c>
      <c r="F17" s="31">
        <f>B17-L10</f>
        <v>-383.31926784420557</v>
      </c>
      <c r="G17" s="31">
        <f>B17+L10</f>
        <v>12964.867501661702</v>
      </c>
      <c r="H17" s="31">
        <f t="shared" si="0"/>
        <v>-383.31926784420557</v>
      </c>
      <c r="I17" s="32">
        <f t="shared" si="0"/>
        <v>12964.867501661702</v>
      </c>
      <c r="J17" s="33"/>
    </row>
    <row r="18" spans="1:10" ht="15" customHeight="1" thickBot="1" x14ac:dyDescent="0.35">
      <c r="A18" s="34" t="str">
        <f>SLRData!$A$1</f>
        <v>albev</v>
      </c>
      <c r="B18" s="35">
        <f>L2</f>
        <v>2.5044513043406322</v>
      </c>
      <c r="C18" s="35">
        <f>L3</f>
        <v>1.4157192711087032</v>
      </c>
      <c r="D18" s="35">
        <f>B18/C18</f>
        <v>1.7690310186844471</v>
      </c>
      <c r="E18" s="35">
        <f>_xlfn.T.DIST.2T(ABS(D18), B13)</f>
        <v>8.0652943852416559E-2</v>
      </c>
      <c r="F18" s="35">
        <f>B18-L11</f>
        <v>-0.31238596723873124</v>
      </c>
      <c r="G18" s="35">
        <f>B18+L11</f>
        <v>5.3212885759199953</v>
      </c>
      <c r="H18" s="35">
        <f t="shared" si="0"/>
        <v>-0.31238596723873124</v>
      </c>
      <c r="I18" s="36">
        <f t="shared" si="0"/>
        <v>5.3212885759199953</v>
      </c>
      <c r="J18" s="33"/>
    </row>
    <row r="19" spans="1:10" x14ac:dyDescent="0.3">
      <c r="D19" s="71">
        <v>1</v>
      </c>
      <c r="E19" s="72" t="s">
        <v>95</v>
      </c>
      <c r="J19" s="1"/>
    </row>
    <row r="20" spans="1:10" x14ac:dyDescent="0.3">
      <c r="J20" s="1"/>
    </row>
    <row r="21" spans="1:10" x14ac:dyDescent="0.3">
      <c r="J21" s="1"/>
    </row>
    <row r="22" spans="1:10" x14ac:dyDescent="0.3">
      <c r="J22" s="1"/>
    </row>
    <row r="23" spans="1:10" x14ac:dyDescent="0.3">
      <c r="F23" s="37"/>
      <c r="G23" s="37"/>
      <c r="J23" s="1"/>
    </row>
    <row r="24" spans="1:10" x14ac:dyDescent="0.3">
      <c r="J24" s="1"/>
    </row>
    <row r="25" spans="1:10" x14ac:dyDescent="0.3">
      <c r="J25" s="1"/>
    </row>
    <row r="26" spans="1:10" x14ac:dyDescent="0.3">
      <c r="J26" s="1"/>
    </row>
    <row r="27" spans="1:10" x14ac:dyDescent="0.3">
      <c r="J27" s="1"/>
    </row>
    <row r="28" spans="1:10" x14ac:dyDescent="0.3">
      <c r="J28" s="1"/>
    </row>
    <row r="29" spans="1:10" x14ac:dyDescent="0.3">
      <c r="J29" s="1"/>
    </row>
    <row r="30" spans="1:10" x14ac:dyDescent="0.3">
      <c r="J30" s="1"/>
    </row>
    <row r="31" spans="1:10" x14ac:dyDescent="0.3">
      <c r="J31" s="1"/>
    </row>
    <row r="32" spans="1:10" x14ac:dyDescent="0.3">
      <c r="J32" s="1"/>
    </row>
    <row r="33" spans="10:10" x14ac:dyDescent="0.3">
      <c r="J33" s="1"/>
    </row>
    <row r="34" spans="10:10" x14ac:dyDescent="0.3">
      <c r="J34" s="1"/>
    </row>
    <row r="35" spans="10:10" x14ac:dyDescent="0.3">
      <c r="J35" s="1"/>
    </row>
    <row r="36" spans="10:10" x14ac:dyDescent="0.3">
      <c r="J36" s="29"/>
    </row>
    <row r="37" spans="10:10" x14ac:dyDescent="0.3">
      <c r="J37" s="33"/>
    </row>
    <row r="38" spans="10:10" x14ac:dyDescent="0.3">
      <c r="J38" s="33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H23" sqref="H23"/>
    </sheetView>
  </sheetViews>
  <sheetFormatPr defaultRowHeight="14.4" x14ac:dyDescent="0.3"/>
  <cols>
    <col min="1" max="1" width="32.6640625" bestFit="1" customWidth="1"/>
    <col min="2" max="2" width="11.21875" bestFit="1" customWidth="1"/>
  </cols>
  <sheetData>
    <row r="1" spans="1:3" x14ac:dyDescent="0.3">
      <c r="A1" s="38" t="s">
        <v>59</v>
      </c>
    </row>
    <row r="3" spans="1:3" x14ac:dyDescent="0.3">
      <c r="A3" s="40" t="s">
        <v>56</v>
      </c>
      <c r="B3" s="40"/>
    </row>
    <row r="4" spans="1:3" x14ac:dyDescent="0.3">
      <c r="A4" s="41" t="s">
        <v>57</v>
      </c>
      <c r="B4" s="42">
        <v>1000</v>
      </c>
    </row>
    <row r="5" spans="1:3" x14ac:dyDescent="0.3">
      <c r="A5" s="41" t="s">
        <v>58</v>
      </c>
      <c r="B5" s="43">
        <v>0.95</v>
      </c>
    </row>
    <row r="7" spans="1:3" x14ac:dyDescent="0.3">
      <c r="A7" s="44" t="s">
        <v>40</v>
      </c>
      <c r="B7" s="44"/>
    </row>
    <row r="8" spans="1:3" x14ac:dyDescent="0.3">
      <c r="A8" s="45" t="s">
        <v>41</v>
      </c>
      <c r="B8" s="45">
        <f>COUNT(SLRData!$A$2:$A$84)</f>
        <v>83</v>
      </c>
    </row>
    <row r="9" spans="1:3" x14ac:dyDescent="0.3">
      <c r="A9" s="45" t="s">
        <v>42</v>
      </c>
      <c r="B9" s="45">
        <f>B8 - 2</f>
        <v>81</v>
      </c>
    </row>
    <row r="10" spans="1:3" x14ac:dyDescent="0.3">
      <c r="A10" s="45" t="s">
        <v>43</v>
      </c>
      <c r="B10" s="45">
        <f>_xlfn.T.INV.2T(1 - B5, B9)</f>
        <v>1.9896863234569038</v>
      </c>
    </row>
    <row r="11" spans="1:3" x14ac:dyDescent="0.3">
      <c r="A11" s="45" t="s">
        <v>44</v>
      </c>
      <c r="B11" s="45">
        <f>AVERAGE(SLRData!$A$2:$A$84)</f>
        <v>1368.8915662650602</v>
      </c>
    </row>
    <row r="12" spans="1:3" x14ac:dyDescent="0.3">
      <c r="A12" s="45" t="s">
        <v>45</v>
      </c>
      <c r="B12" s="45">
        <f>DEVSQ(SLRData!$A$2:$A$84)</f>
        <v>310419082.02409631</v>
      </c>
    </row>
    <row r="13" spans="1:3" x14ac:dyDescent="0.3">
      <c r="A13" s="45" t="s">
        <v>46</v>
      </c>
      <c r="B13" s="45">
        <f>'Q1-8'!$B$7</f>
        <v>24943.152902189962</v>
      </c>
    </row>
    <row r="14" spans="1:3" x14ac:dyDescent="0.3">
      <c r="A14" s="45" t="s">
        <v>47</v>
      </c>
      <c r="B14" s="45">
        <f>1/B8+(B4-B11)^2/B12</f>
        <v>1.2486571065273502E-2</v>
      </c>
    </row>
    <row r="15" spans="1:3" x14ac:dyDescent="0.3">
      <c r="A15" s="45" t="s">
        <v>48</v>
      </c>
      <c r="B15" s="45">
        <f>TREND(SLRData!$B$2:$B$84,SLRData!$A$2:$A$84, B4)</f>
        <v>8795.225421249379</v>
      </c>
      <c r="C15" s="73" t="s">
        <v>60</v>
      </c>
    </row>
    <row r="17" spans="1:2" x14ac:dyDescent="0.3">
      <c r="A17" s="46" t="s">
        <v>49</v>
      </c>
      <c r="B17" s="46"/>
    </row>
    <row r="18" spans="1:2" x14ac:dyDescent="0.3">
      <c r="A18" s="47" t="s">
        <v>50</v>
      </c>
      <c r="B18" s="49">
        <f>B10 * B13 * SQRT(B14)</f>
        <v>5545.715170300482</v>
      </c>
    </row>
    <row r="19" spans="1:2" x14ac:dyDescent="0.3">
      <c r="A19" s="48" t="s">
        <v>51</v>
      </c>
      <c r="B19" s="50">
        <f>B15 - B18</f>
        <v>3249.510250948897</v>
      </c>
    </row>
    <row r="20" spans="1:2" x14ac:dyDescent="0.3">
      <c r="A20" s="48" t="s">
        <v>52</v>
      </c>
      <c r="B20" s="48">
        <f>B15 + B18</f>
        <v>14340.940591549861</v>
      </c>
    </row>
    <row r="22" spans="1:2" x14ac:dyDescent="0.3">
      <c r="A22" s="46" t="s">
        <v>53</v>
      </c>
      <c r="B22" s="51"/>
    </row>
    <row r="23" spans="1:2" x14ac:dyDescent="0.3">
      <c r="A23" s="47" t="s">
        <v>50</v>
      </c>
      <c r="B23" s="49">
        <f>B10 * B13 * SQRT(1 + B14)</f>
        <v>49937.937280661732</v>
      </c>
    </row>
    <row r="24" spans="1:2" x14ac:dyDescent="0.3">
      <c r="A24" s="48" t="s">
        <v>54</v>
      </c>
      <c r="B24" s="50">
        <f>B15 - B23</f>
        <v>-41142.711859412353</v>
      </c>
    </row>
    <row r="25" spans="1:2" x14ac:dyDescent="0.3">
      <c r="A25" s="48" t="s">
        <v>55</v>
      </c>
      <c r="B25" s="48">
        <f>B15 + B23</f>
        <v>58733.162701911111</v>
      </c>
    </row>
  </sheetData>
  <mergeCells count="4">
    <mergeCell ref="A3:B3"/>
    <mergeCell ref="A7:B7"/>
    <mergeCell ref="A17:B17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6" sqref="C16"/>
    </sheetView>
  </sheetViews>
  <sheetFormatPr defaultRowHeight="14.4" x14ac:dyDescent="0.3"/>
  <cols>
    <col min="1" max="1" width="32.6640625" bestFit="1" customWidth="1"/>
    <col min="2" max="2" width="10.21875" bestFit="1" customWidth="1"/>
  </cols>
  <sheetData>
    <row r="1" spans="1:3" x14ac:dyDescent="0.3">
      <c r="A1" s="38" t="s">
        <v>59</v>
      </c>
    </row>
    <row r="3" spans="1:3" x14ac:dyDescent="0.3">
      <c r="A3" s="40" t="s">
        <v>56</v>
      </c>
      <c r="B3" s="40"/>
    </row>
    <row r="4" spans="1:3" x14ac:dyDescent="0.3">
      <c r="A4" s="41" t="s">
        <v>57</v>
      </c>
      <c r="B4" s="42">
        <v>100</v>
      </c>
    </row>
    <row r="5" spans="1:3" x14ac:dyDescent="0.3">
      <c r="A5" s="41" t="s">
        <v>58</v>
      </c>
      <c r="B5" s="43">
        <v>0.95</v>
      </c>
    </row>
    <row r="7" spans="1:3" x14ac:dyDescent="0.3">
      <c r="A7" s="44" t="s">
        <v>40</v>
      </c>
      <c r="B7" s="44"/>
    </row>
    <row r="8" spans="1:3" x14ac:dyDescent="0.3">
      <c r="A8" s="45" t="s">
        <v>41</v>
      </c>
      <c r="B8" s="45">
        <f>COUNT(SLRData2!$A$2:$A$84)</f>
        <v>83</v>
      </c>
    </row>
    <row r="9" spans="1:3" x14ac:dyDescent="0.3">
      <c r="A9" s="45" t="s">
        <v>42</v>
      </c>
      <c r="B9" s="45">
        <f>B8 - 2</f>
        <v>81</v>
      </c>
    </row>
    <row r="10" spans="1:3" x14ac:dyDescent="0.3">
      <c r="A10" s="45" t="s">
        <v>43</v>
      </c>
      <c r="B10" s="45">
        <f>_xlfn.T.INV.2T(1 - B5, B9)</f>
        <v>1.9896863234569038</v>
      </c>
    </row>
    <row r="11" spans="1:3" x14ac:dyDescent="0.3">
      <c r="A11" s="45" t="s">
        <v>44</v>
      </c>
      <c r="B11" s="45">
        <f>AVERAGE(SLRData2!$A$2:$A$84)</f>
        <v>58100.867469879515</v>
      </c>
    </row>
    <row r="12" spans="1:3" x14ac:dyDescent="0.3">
      <c r="A12" s="45" t="s">
        <v>45</v>
      </c>
      <c r="B12" s="45">
        <f>DEVSQ(SLRData2!$A$2:$A$84)</f>
        <v>669706867145.54272</v>
      </c>
    </row>
    <row r="13" spans="1:3" x14ac:dyDescent="0.3">
      <c r="A13" s="45" t="s">
        <v>46</v>
      </c>
      <c r="B13" s="45">
        <f>'Q10-14 &amp; 16-17'!$B$7</f>
        <v>1132.0864659077351</v>
      </c>
    </row>
    <row r="14" spans="1:3" x14ac:dyDescent="0.3">
      <c r="A14" s="45" t="s">
        <v>47</v>
      </c>
      <c r="B14" s="45">
        <f>1/B8+(B4-B11)^2/B12</f>
        <v>1.7071436211303432E-2</v>
      </c>
    </row>
    <row r="15" spans="1:3" x14ac:dyDescent="0.3">
      <c r="A15" s="45" t="s">
        <v>48</v>
      </c>
      <c r="B15" s="45">
        <f>TREND(SLRData2!$B$2:$B$84,SLRData2!$A$2:$A$84, B4)</f>
        <v>149.46070835475925</v>
      </c>
      <c r="C15">
        <v>15</v>
      </c>
    </row>
    <row r="17" spans="1:2" x14ac:dyDescent="0.3">
      <c r="A17" s="46" t="s">
        <v>49</v>
      </c>
      <c r="B17" s="46"/>
    </row>
    <row r="18" spans="1:2" x14ac:dyDescent="0.3">
      <c r="A18" s="47" t="s">
        <v>50</v>
      </c>
      <c r="B18" s="49">
        <f>B10 * B13 * SQRT(B14)</f>
        <v>294.30608596763915</v>
      </c>
    </row>
    <row r="19" spans="1:2" x14ac:dyDescent="0.3">
      <c r="A19" s="48" t="s">
        <v>51</v>
      </c>
      <c r="B19" s="50">
        <f>B15 - B18</f>
        <v>-144.8453776128799</v>
      </c>
    </row>
    <row r="20" spans="1:2" x14ac:dyDescent="0.3">
      <c r="A20" s="48" t="s">
        <v>52</v>
      </c>
      <c r="B20" s="48">
        <f>B15 + B18</f>
        <v>443.76679432239837</v>
      </c>
    </row>
    <row r="22" spans="1:2" x14ac:dyDescent="0.3">
      <c r="A22" s="46" t="s">
        <v>53</v>
      </c>
      <c r="B22" s="51"/>
    </row>
    <row r="23" spans="1:2" x14ac:dyDescent="0.3">
      <c r="A23" s="47" t="s">
        <v>50</v>
      </c>
      <c r="B23" s="49">
        <f>B10 * B13 * SQRT(1 + B14)</f>
        <v>2271.6422735282385</v>
      </c>
    </row>
    <row r="24" spans="1:2" x14ac:dyDescent="0.3">
      <c r="A24" s="48" t="s">
        <v>54</v>
      </c>
      <c r="B24" s="50">
        <f>B15 - B23</f>
        <v>-2122.1815651734792</v>
      </c>
    </row>
    <row r="25" spans="1:2" x14ac:dyDescent="0.3">
      <c r="A25" s="48" t="s">
        <v>55</v>
      </c>
      <c r="B25" s="48">
        <f>B15 + B23</f>
        <v>2421.1029818829979</v>
      </c>
    </row>
  </sheetData>
  <mergeCells count="4">
    <mergeCell ref="A3:B3"/>
    <mergeCell ref="A7:B7"/>
    <mergeCell ref="A17:B17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38"/>
  <sheetViews>
    <sheetView workbookViewId="0">
      <selection activeCell="D21" sqref="D21"/>
    </sheetView>
  </sheetViews>
  <sheetFormatPr defaultColWidth="9.109375" defaultRowHeight="14.4" x14ac:dyDescent="0.3"/>
  <cols>
    <col min="1" max="1" width="15.6640625" style="6" customWidth="1"/>
    <col min="2" max="2" width="11.109375" style="6" bestFit="1" customWidth="1"/>
    <col min="3" max="3" width="14.6640625" style="6" bestFit="1" customWidth="1"/>
    <col min="4" max="4" width="13.6640625" style="6" bestFit="1" customWidth="1"/>
    <col min="5" max="5" width="7.6640625" style="6" bestFit="1" customWidth="1"/>
    <col min="6" max="6" width="12.44140625" style="6" bestFit="1" customWidth="1"/>
    <col min="7" max="7" width="10.5546875" style="6" bestFit="1" customWidth="1"/>
    <col min="8" max="8" width="12.6640625" style="6" bestFit="1" customWidth="1"/>
    <col min="9" max="9" width="12.5546875" style="6" bestFit="1" customWidth="1"/>
    <col min="10" max="10" width="2.88671875" style="6" customWidth="1"/>
    <col min="11" max="11" width="25.44140625" style="6" customWidth="1"/>
    <col min="12" max="12" width="12.5546875" style="6" customWidth="1"/>
    <col min="13" max="14" width="9.109375" style="6"/>
    <col min="15" max="15" width="22.6640625" style="6" customWidth="1"/>
    <col min="16" max="16384" width="9.109375" style="6"/>
  </cols>
  <sheetData>
    <row r="1" spans="1:16" ht="15" customHeight="1" thickBot="1" x14ac:dyDescent="0.3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2" t="s">
        <v>10</v>
      </c>
      <c r="L1" s="3"/>
      <c r="M1" s="3"/>
      <c r="N1" s="4"/>
      <c r="O1" s="5"/>
    </row>
    <row r="2" spans="1:16" ht="15" customHeight="1" thickBot="1" x14ac:dyDescent="0.35">
      <c r="A2" s="1" t="s">
        <v>61</v>
      </c>
      <c r="B2" s="1"/>
      <c r="C2" s="1"/>
      <c r="D2" s="1"/>
      <c r="E2" s="1"/>
      <c r="F2" s="1"/>
      <c r="G2" s="1"/>
      <c r="H2" s="1"/>
      <c r="I2" s="1"/>
      <c r="J2" s="1"/>
      <c r="K2" s="7" t="s">
        <v>11</v>
      </c>
      <c r="L2" s="8">
        <f t="array" ref="L2:M6">LINEST(SLRData2!$B$2:$B$84, SLRData2!$A$2:$A$84,TRUE,TRUE)</f>
        <v>6.4905055858231831E-3</v>
      </c>
      <c r="M2" s="9">
        <v>148.81165779617692</v>
      </c>
      <c r="N2" s="10"/>
      <c r="O2" s="5"/>
      <c r="P2" s="5"/>
    </row>
    <row r="3" spans="1:16" ht="15" customHeight="1" x14ac:dyDescent="0.3">
      <c r="A3" s="11" t="s">
        <v>12</v>
      </c>
      <c r="B3" s="11"/>
      <c r="C3" s="1"/>
      <c r="D3" s="1"/>
      <c r="E3" s="1"/>
      <c r="F3" s="1"/>
      <c r="G3" s="1"/>
      <c r="H3" s="1"/>
      <c r="I3" s="1"/>
      <c r="J3" s="1"/>
      <c r="K3" s="7" t="s">
        <v>13</v>
      </c>
      <c r="L3" s="12">
        <v>1.383366397647688E-3</v>
      </c>
      <c r="M3" s="13">
        <v>147.99090683713567</v>
      </c>
      <c r="N3" s="10"/>
      <c r="O3" s="5"/>
      <c r="P3" s="5"/>
    </row>
    <row r="4" spans="1:16" ht="15" customHeight="1" x14ac:dyDescent="0.3">
      <c r="A4" s="14" t="s">
        <v>14</v>
      </c>
      <c r="B4" s="15">
        <f>SQRT(C12/C14)</f>
        <v>0.46226916692041403</v>
      </c>
      <c r="C4" s="1"/>
      <c r="D4" s="1"/>
      <c r="E4" s="1"/>
      <c r="F4" s="16"/>
      <c r="G4" s="1"/>
      <c r="H4" s="1"/>
      <c r="I4" s="1"/>
      <c r="J4" s="1"/>
      <c r="K4" s="17" t="s">
        <v>15</v>
      </c>
      <c r="L4" s="12">
        <v>0.2136927826852936</v>
      </c>
      <c r="M4" s="13">
        <v>1132.0864659077351</v>
      </c>
      <c r="N4" s="10"/>
      <c r="O4" s="4"/>
      <c r="P4" s="5"/>
    </row>
    <row r="5" spans="1:16" ht="15" customHeight="1" x14ac:dyDescent="0.3">
      <c r="A5" s="14" t="s">
        <v>16</v>
      </c>
      <c r="B5" s="15">
        <f>L4</f>
        <v>0.2136927826852936</v>
      </c>
      <c r="C5" s="1"/>
      <c r="D5" s="1"/>
      <c r="E5" s="1"/>
      <c r="F5" s="16"/>
      <c r="G5" s="1"/>
      <c r="H5" s="1"/>
      <c r="I5" s="1"/>
      <c r="J5" s="1"/>
      <c r="K5" s="7" t="s">
        <v>17</v>
      </c>
      <c r="L5" s="12">
        <v>22.013171208857283</v>
      </c>
      <c r="M5" s="13">
        <v>81</v>
      </c>
      <c r="N5" s="10"/>
      <c r="O5" s="5"/>
      <c r="P5" s="5"/>
    </row>
    <row r="6" spans="1:16" ht="15" customHeight="1" thickBot="1" x14ac:dyDescent="0.35">
      <c r="A6" s="14" t="s">
        <v>18</v>
      </c>
      <c r="B6" s="15">
        <f>1-(B14/B13)*(C13/C14)</f>
        <v>0.20398528617523537</v>
      </c>
      <c r="C6" s="1"/>
      <c r="D6" s="1"/>
      <c r="E6" s="1"/>
      <c r="F6" s="1"/>
      <c r="G6" s="1"/>
      <c r="H6" s="1"/>
      <c r="I6" s="1"/>
      <c r="J6" s="1"/>
      <c r="K6" s="17" t="s">
        <v>19</v>
      </c>
      <c r="L6" s="18">
        <v>28212515.340029687</v>
      </c>
      <c r="M6" s="19">
        <v>103811201.0696087</v>
      </c>
      <c r="N6" s="10"/>
      <c r="O6" s="5"/>
      <c r="P6" s="5"/>
    </row>
    <row r="7" spans="1:16" ht="15" customHeight="1" x14ac:dyDescent="0.3">
      <c r="A7" s="14" t="s">
        <v>20</v>
      </c>
      <c r="B7" s="15">
        <f>M4</f>
        <v>1132.0864659077351</v>
      </c>
      <c r="C7" s="1"/>
      <c r="D7" s="1"/>
      <c r="E7" s="1"/>
      <c r="F7" s="1"/>
      <c r="G7" s="1"/>
      <c r="H7" s="1"/>
      <c r="I7" s="1"/>
      <c r="J7" s="1"/>
      <c r="K7" s="5"/>
      <c r="L7" s="5"/>
      <c r="M7" s="5"/>
      <c r="N7" s="5"/>
      <c r="O7" s="5"/>
    </row>
    <row r="8" spans="1:16" ht="15" customHeight="1" thickBot="1" x14ac:dyDescent="0.35">
      <c r="A8" s="20" t="s">
        <v>21</v>
      </c>
      <c r="B8" s="20">
        <f>COUNT(SLRData2!$A:$A)</f>
        <v>83</v>
      </c>
      <c r="C8" s="1"/>
      <c r="D8" s="1"/>
      <c r="E8" s="1"/>
      <c r="F8" s="1"/>
      <c r="G8" s="1"/>
      <c r="H8" s="1"/>
      <c r="I8" s="1"/>
      <c r="J8" s="1"/>
      <c r="K8" s="21" t="s">
        <v>22</v>
      </c>
      <c r="L8" s="22">
        <v>0.95</v>
      </c>
      <c r="M8" s="5"/>
      <c r="N8" s="5"/>
      <c r="O8" s="5"/>
    </row>
    <row r="9" spans="1:16" ht="1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23" t="s">
        <v>23</v>
      </c>
      <c r="L9" s="24">
        <f>_xlfn.T.INV.2T(1-L8,B13)</f>
        <v>1.9896863234569038</v>
      </c>
      <c r="M9" s="5"/>
      <c r="N9" s="5"/>
      <c r="O9" s="5"/>
    </row>
    <row r="10" spans="1:16" ht="15" customHeight="1" thickBot="1" x14ac:dyDescent="0.3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21" t="s">
        <v>25</v>
      </c>
      <c r="L10" s="24">
        <f>L9*C17</f>
        <v>294.45548332983361</v>
      </c>
      <c r="M10" s="5"/>
      <c r="N10" s="5"/>
      <c r="O10" s="5"/>
    </row>
    <row r="11" spans="1:16" ht="15" customHeight="1" x14ac:dyDescent="0.3">
      <c r="A11" s="25"/>
      <c r="B11" s="25" t="s">
        <v>26</v>
      </c>
      <c r="C11" s="25" t="s">
        <v>27</v>
      </c>
      <c r="D11" s="25" t="s">
        <v>28</v>
      </c>
      <c r="E11" s="25" t="s">
        <v>29</v>
      </c>
      <c r="F11" s="25" t="s">
        <v>30</v>
      </c>
      <c r="K11" s="21" t="s">
        <v>31</v>
      </c>
      <c r="L11" s="24">
        <f>L9*C18</f>
        <v>2.7524652017294495E-3</v>
      </c>
    </row>
    <row r="12" spans="1:16" ht="15" customHeight="1" x14ac:dyDescent="0.3">
      <c r="A12" s="14" t="s">
        <v>32</v>
      </c>
      <c r="B12" s="14">
        <v>1</v>
      </c>
      <c r="C12" s="15">
        <f>L6</f>
        <v>28212515.340029687</v>
      </c>
      <c r="D12" s="15">
        <f>L6</f>
        <v>28212515.340029687</v>
      </c>
      <c r="E12" s="15">
        <f>L5</f>
        <v>22.013171208857283</v>
      </c>
      <c r="F12" s="15">
        <f>_xlfn.F.DIST.RT(E12,B12,B13)</f>
        <v>1.0850061213737363E-5</v>
      </c>
    </row>
    <row r="13" spans="1:16" ht="15" customHeight="1" x14ac:dyDescent="0.3">
      <c r="A13" s="14" t="s">
        <v>33</v>
      </c>
      <c r="B13" s="14">
        <f>M5</f>
        <v>81</v>
      </c>
      <c r="C13" s="15">
        <f>M6</f>
        <v>103811201.0696087</v>
      </c>
      <c r="D13" s="15">
        <f>C13/B13</f>
        <v>1281619.7662914654</v>
      </c>
      <c r="E13" s="15"/>
      <c r="F13" s="15"/>
    </row>
    <row r="14" spans="1:16" ht="15" customHeight="1" thickBot="1" x14ac:dyDescent="0.35">
      <c r="A14" s="20" t="s">
        <v>34</v>
      </c>
      <c r="B14" s="26">
        <f>B12+B13</f>
        <v>82</v>
      </c>
      <c r="C14" s="27">
        <f>C12+C13</f>
        <v>132023716.40963839</v>
      </c>
      <c r="D14" s="20"/>
      <c r="E14" s="20"/>
      <c r="F14" s="20"/>
    </row>
    <row r="15" spans="1:16" ht="15" customHeight="1" thickBot="1" x14ac:dyDescent="0.35">
      <c r="A15" s="1"/>
      <c r="B15" s="1"/>
      <c r="C15" s="1"/>
      <c r="D15" s="10"/>
      <c r="E15" s="10"/>
      <c r="F15" s="1"/>
      <c r="G15" s="1"/>
      <c r="H15" s="1"/>
      <c r="I15" s="1"/>
      <c r="J15" s="1"/>
    </row>
    <row r="16" spans="1:16" ht="15" customHeight="1" x14ac:dyDescent="0.3">
      <c r="A16" s="28"/>
      <c r="B16" s="28" t="s">
        <v>35</v>
      </c>
      <c r="C16" s="28" t="s">
        <v>20</v>
      </c>
      <c r="D16" s="28" t="s">
        <v>36</v>
      </c>
      <c r="E16" s="28" t="s">
        <v>37</v>
      </c>
      <c r="F16" s="28" t="str">
        <f>"Lower " &amp; L8*100 &amp; "%"</f>
        <v>Lower 95%</v>
      </c>
      <c r="G16" s="28" t="str">
        <f>"Upper " &amp; L8*100 &amp; "%"</f>
        <v>Upper 95%</v>
      </c>
      <c r="H16" s="28" t="str">
        <f t="shared" ref="H16:I18" si="0">F16</f>
        <v>Lower 95%</v>
      </c>
      <c r="I16" s="28" t="str">
        <f t="shared" si="0"/>
        <v>Upper 95%</v>
      </c>
      <c r="J16" s="29"/>
    </row>
    <row r="17" spans="1:10" ht="15" customHeight="1" x14ac:dyDescent="0.3">
      <c r="A17" s="30" t="s">
        <v>38</v>
      </c>
      <c r="B17" s="31">
        <f>M2</f>
        <v>148.81165779617692</v>
      </c>
      <c r="C17" s="31">
        <f>M3</f>
        <v>147.99090683713567</v>
      </c>
      <c r="D17" s="31">
        <f>B17/C17</f>
        <v>1.0055459553332184</v>
      </c>
      <c r="E17" s="31">
        <f>_xlfn.T.DIST.2T(ABS(D17), B13)</f>
        <v>0.31762852299945293</v>
      </c>
      <c r="F17" s="31">
        <f>B17-L10</f>
        <v>-145.6438255336567</v>
      </c>
      <c r="G17" s="31">
        <f>B17+L10</f>
        <v>443.26714112601053</v>
      </c>
      <c r="H17" s="31">
        <f t="shared" si="0"/>
        <v>-145.6438255336567</v>
      </c>
      <c r="I17" s="32">
        <f t="shared" si="0"/>
        <v>443.26714112601053</v>
      </c>
      <c r="J17" s="33"/>
    </row>
    <row r="18" spans="1:10" ht="15" customHeight="1" thickBot="1" x14ac:dyDescent="0.35">
      <c r="A18" s="34" t="str">
        <f>SLRData2!$A$1</f>
        <v>wages</v>
      </c>
      <c r="B18" s="35">
        <f>L2</f>
        <v>6.4905055858231831E-3</v>
      </c>
      <c r="C18" s="35">
        <f>L3</f>
        <v>1.383366397647688E-3</v>
      </c>
      <c r="D18" s="35">
        <f>B18/C18</f>
        <v>4.6918196053191741</v>
      </c>
      <c r="E18" s="35">
        <f>_xlfn.T.DIST.2T(ABS(D18), B13)</f>
        <v>1.0850061213737039E-5</v>
      </c>
      <c r="F18" s="35">
        <f>B18-L11</f>
        <v>3.7380403840937336E-3</v>
      </c>
      <c r="G18" s="35">
        <f>B18+L11</f>
        <v>9.2429707875526321E-3</v>
      </c>
      <c r="H18" s="35">
        <f t="shared" si="0"/>
        <v>3.7380403840937336E-3</v>
      </c>
      <c r="I18" s="36">
        <f t="shared" si="0"/>
        <v>9.2429707875526321E-3</v>
      </c>
      <c r="J18" s="33"/>
    </row>
    <row r="19" spans="1:10" x14ac:dyDescent="0.3">
      <c r="J19" s="1"/>
    </row>
    <row r="20" spans="1:10" x14ac:dyDescent="0.3">
      <c r="J20" s="1"/>
    </row>
    <row r="21" spans="1:10" x14ac:dyDescent="0.3">
      <c r="J21" s="1"/>
    </row>
    <row r="22" spans="1:10" x14ac:dyDescent="0.3">
      <c r="J22" s="1"/>
    </row>
    <row r="23" spans="1:10" x14ac:dyDescent="0.3">
      <c r="F23" s="37"/>
      <c r="G23" s="37"/>
      <c r="J23" s="1"/>
    </row>
    <row r="24" spans="1:10" x14ac:dyDescent="0.3">
      <c r="J24" s="1"/>
    </row>
    <row r="25" spans="1:10" x14ac:dyDescent="0.3">
      <c r="J25" s="1"/>
    </row>
    <row r="26" spans="1:10" x14ac:dyDescent="0.3">
      <c r="J26" s="1"/>
    </row>
    <row r="27" spans="1:10" x14ac:dyDescent="0.3">
      <c r="J27" s="1"/>
    </row>
    <row r="28" spans="1:10" x14ac:dyDescent="0.3">
      <c r="J28" s="1"/>
    </row>
    <row r="29" spans="1:10" x14ac:dyDescent="0.3">
      <c r="J29" s="1"/>
    </row>
    <row r="30" spans="1:10" x14ac:dyDescent="0.3">
      <c r="J30" s="1"/>
    </row>
    <row r="31" spans="1:10" x14ac:dyDescent="0.3">
      <c r="J31" s="1"/>
    </row>
    <row r="32" spans="1:10" x14ac:dyDescent="0.3">
      <c r="J32" s="1"/>
    </row>
    <row r="33" spans="10:10" x14ac:dyDescent="0.3">
      <c r="J33" s="1"/>
    </row>
    <row r="34" spans="10:10" x14ac:dyDescent="0.3">
      <c r="J34" s="1"/>
    </row>
    <row r="35" spans="10:10" x14ac:dyDescent="0.3">
      <c r="J35" s="1"/>
    </row>
    <row r="36" spans="10:10" x14ac:dyDescent="0.3">
      <c r="J36" s="29"/>
    </row>
    <row r="37" spans="10:10" x14ac:dyDescent="0.3">
      <c r="J37" s="33"/>
    </row>
    <row r="38" spans="10:10" x14ac:dyDescent="0.3">
      <c r="J38" s="33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8"/>
  <sheetViews>
    <sheetView workbookViewId="0">
      <selection activeCell="D33" sqref="D33"/>
    </sheetView>
  </sheetViews>
  <sheetFormatPr defaultColWidth="9.109375" defaultRowHeight="14.4" x14ac:dyDescent="0.3"/>
  <cols>
    <col min="1" max="1" width="20.33203125" style="17" bestFit="1" customWidth="1"/>
    <col min="2" max="2" width="15.6640625" style="17" bestFit="1" customWidth="1"/>
    <col min="3" max="3" width="7" style="17" bestFit="1" customWidth="1"/>
    <col min="4" max="5" width="14.6640625" style="17" bestFit="1" customWidth="1"/>
    <col min="6" max="6" width="8" style="17" bestFit="1" customWidth="1"/>
    <col min="7" max="7" width="18.33203125" style="17" bestFit="1" customWidth="1"/>
    <col min="8" max="8" width="2.33203125" style="17" customWidth="1"/>
    <col min="9" max="9" width="4.109375" style="17" customWidth="1"/>
    <col min="10" max="10" width="7.109375" style="17" customWidth="1"/>
    <col min="11" max="16384" width="9.109375" style="17"/>
  </cols>
  <sheetData>
    <row r="1" spans="1:10" ht="15" customHeight="1" x14ac:dyDescent="0.3">
      <c r="A1" s="52" t="s">
        <v>75</v>
      </c>
      <c r="B1" s="52"/>
      <c r="C1" s="52"/>
      <c r="D1" s="52"/>
      <c r="E1" s="52"/>
      <c r="F1" s="52"/>
      <c r="G1" s="52"/>
      <c r="I1" s="53" t="s">
        <v>10</v>
      </c>
      <c r="J1" s="54"/>
    </row>
    <row r="2" spans="1:10" ht="15" customHeight="1" x14ac:dyDescent="0.3">
      <c r="A2" s="52"/>
      <c r="B2" s="52"/>
      <c r="C2" s="52"/>
      <c r="D2" s="52"/>
      <c r="E2" s="52"/>
      <c r="F2" s="52"/>
      <c r="G2" s="52"/>
      <c r="I2" s="55" t="s">
        <v>62</v>
      </c>
      <c r="J2" s="56">
        <f>COUNTA(ASFData!$1:$1)</f>
        <v>3</v>
      </c>
    </row>
    <row r="3" spans="1:10" ht="15" customHeight="1" thickBot="1" x14ac:dyDescent="0.35">
      <c r="A3" s="52" t="s">
        <v>63</v>
      </c>
      <c r="B3" s="52"/>
      <c r="C3" s="52"/>
      <c r="D3" s="52"/>
      <c r="E3" s="52"/>
      <c r="F3" s="52"/>
      <c r="G3" s="52"/>
      <c r="H3" s="57"/>
      <c r="I3" s="58" t="s">
        <v>64</v>
      </c>
      <c r="J3" s="59">
        <f>SUM(B5:B7)</f>
        <v>83</v>
      </c>
    </row>
    <row r="4" spans="1:10" ht="15" customHeight="1" x14ac:dyDescent="0.3">
      <c r="A4" s="60" t="s">
        <v>65</v>
      </c>
      <c r="B4" s="60" t="s">
        <v>66</v>
      </c>
      <c r="C4" s="60" t="s">
        <v>67</v>
      </c>
      <c r="D4" s="60" t="s">
        <v>68</v>
      </c>
      <c r="E4" s="60" t="s">
        <v>69</v>
      </c>
      <c r="F4" s="52"/>
      <c r="G4" s="52"/>
    </row>
    <row r="5" spans="1:10" ht="15" customHeight="1" x14ac:dyDescent="0.3">
      <c r="A5" s="61" t="s">
        <v>128</v>
      </c>
      <c r="B5" s="61">
        <f>COUNT(ASFData!$A:$A)</f>
        <v>28</v>
      </c>
      <c r="C5" s="61">
        <f>SUM(ASFData!$A:$A)</f>
        <v>60600</v>
      </c>
      <c r="D5" s="61">
        <f>AVERAGE(ASFData!$A:$A)</f>
        <v>2164.2857142857142</v>
      </c>
      <c r="E5" s="62">
        <f>_xlfn.VAR.S(ASFData!$A:$A)</f>
        <v>35046084.656084657</v>
      </c>
      <c r="F5" s="52"/>
      <c r="G5" s="52"/>
    </row>
    <row r="6" spans="1:10" ht="15" customHeight="1" x14ac:dyDescent="0.3">
      <c r="A6" s="61" t="s">
        <v>129</v>
      </c>
      <c r="B6" s="61">
        <f>COUNT(ASFData!$B:$B)</f>
        <v>18</v>
      </c>
      <c r="C6" s="61">
        <f>SUM(ASFData!$B:$B)</f>
        <v>188702</v>
      </c>
      <c r="D6" s="61">
        <f>AVERAGE(ASFData!$B:$B)</f>
        <v>10483.444444444445</v>
      </c>
      <c r="E6" s="62">
        <f>_xlfn.VAR.S(ASFData!$B:$B)</f>
        <v>325441046.49673206</v>
      </c>
      <c r="F6" s="52"/>
      <c r="G6" s="52"/>
    </row>
    <row r="7" spans="1:10" ht="15" customHeight="1" thickBot="1" x14ac:dyDescent="0.35">
      <c r="A7" s="63" t="s">
        <v>130</v>
      </c>
      <c r="B7" s="63">
        <f>COUNT(ASFData!$C:$C)</f>
        <v>37</v>
      </c>
      <c r="C7" s="63">
        <f>SUM(ASFData!$C:$C)</f>
        <v>110100</v>
      </c>
      <c r="D7" s="63">
        <f>AVERAGE(ASFData!$C:$C)</f>
        <v>2975.6756756756758</v>
      </c>
      <c r="E7" s="64">
        <f>_xlfn.VAR.S(ASFData!$C:$C)</f>
        <v>30835780.780780777</v>
      </c>
      <c r="F7" s="52"/>
      <c r="G7" s="52"/>
    </row>
    <row r="8" spans="1:10" ht="15" customHeight="1" x14ac:dyDescent="0.3">
      <c r="A8" s="52"/>
      <c r="B8" s="52"/>
      <c r="C8" s="52"/>
      <c r="D8" s="52"/>
      <c r="E8" s="52"/>
      <c r="F8" s="52"/>
      <c r="G8" s="52"/>
    </row>
    <row r="9" spans="1:10" ht="15" customHeight="1" x14ac:dyDescent="0.3">
      <c r="A9" s="52"/>
      <c r="B9" s="52"/>
      <c r="C9" s="52"/>
      <c r="D9" s="52"/>
      <c r="E9" s="52"/>
      <c r="F9" s="52"/>
      <c r="G9" s="52"/>
    </row>
    <row r="10" spans="1:10" ht="15" customHeight="1" thickBot="1" x14ac:dyDescent="0.35">
      <c r="A10" s="52" t="s">
        <v>24</v>
      </c>
      <c r="B10" s="52"/>
      <c r="C10" s="52"/>
      <c r="D10" s="52"/>
      <c r="E10" s="52"/>
      <c r="F10" s="52"/>
      <c r="G10" s="52"/>
    </row>
    <row r="11" spans="1:10" ht="15" customHeight="1" x14ac:dyDescent="0.3">
      <c r="A11" s="60" t="s">
        <v>70</v>
      </c>
      <c r="B11" s="60" t="s">
        <v>27</v>
      </c>
      <c r="C11" s="60" t="s">
        <v>26</v>
      </c>
      <c r="D11" s="60" t="s">
        <v>28</v>
      </c>
      <c r="E11" s="60" t="s">
        <v>29</v>
      </c>
      <c r="F11" s="60" t="s">
        <v>37</v>
      </c>
      <c r="G11" s="60" t="s">
        <v>71</v>
      </c>
    </row>
    <row r="12" spans="1:10" ht="15" customHeight="1" x14ac:dyDescent="0.3">
      <c r="A12" s="61" t="s">
        <v>72</v>
      </c>
      <c r="B12" s="62">
        <f>B15-DEVSQ(ASFData!$A:$A)-DEVSQ(ASFData!$B:$B)-DEVSQ(ASFData!$C:$C)</f>
        <v>880761917.99821973</v>
      </c>
      <c r="C12" s="61">
        <f>J2-1</f>
        <v>2</v>
      </c>
      <c r="D12" s="62">
        <f>B12/C12</f>
        <v>440380958.99910986</v>
      </c>
      <c r="E12" s="62">
        <f>D12/D13</f>
        <v>4.6424120535690214</v>
      </c>
      <c r="F12" s="62">
        <f>_xlfn.F.DIST.RT(E12,C12,C13)</f>
        <v>1.2373529098760756E-2</v>
      </c>
      <c r="G12" s="62">
        <f>_xlfn.F.INV.RT(G16,C12,C13)</f>
        <v>3.1107661660804542</v>
      </c>
    </row>
    <row r="13" spans="1:10" ht="15" customHeight="1" x14ac:dyDescent="0.3">
      <c r="A13" s="61" t="s">
        <v>73</v>
      </c>
      <c r="B13" s="62">
        <f>B15-B12</f>
        <v>7588830184.2668381</v>
      </c>
      <c r="C13" s="61">
        <f>J3-COUNTA(ASFData!$1:$1)</f>
        <v>80</v>
      </c>
      <c r="D13" s="62">
        <f>B13/C13</f>
        <v>94860377.303335473</v>
      </c>
      <c r="E13" s="100">
        <v>18</v>
      </c>
      <c r="F13" s="100">
        <v>20</v>
      </c>
      <c r="G13" s="100">
        <v>19</v>
      </c>
    </row>
    <row r="14" spans="1:10" ht="15" customHeight="1" x14ac:dyDescent="0.3">
      <c r="A14" s="61"/>
      <c r="B14" s="61"/>
      <c r="C14" s="61"/>
      <c r="D14" s="61"/>
      <c r="E14" s="61"/>
      <c r="F14" s="61"/>
      <c r="G14" s="61"/>
    </row>
    <row r="15" spans="1:10" ht="15" customHeight="1" thickBot="1" x14ac:dyDescent="0.35">
      <c r="A15" s="63" t="s">
        <v>34</v>
      </c>
      <c r="B15" s="64">
        <f>DEVSQ(ASFData!$A$1:$C$38)</f>
        <v>8469592102.2650576</v>
      </c>
      <c r="C15" s="63">
        <f>C12+C13</f>
        <v>82</v>
      </c>
      <c r="D15" s="61"/>
      <c r="E15" s="61"/>
      <c r="F15" s="61"/>
      <c r="G15" s="61"/>
    </row>
    <row r="16" spans="1:10" ht="15" customHeight="1" thickBot="1" x14ac:dyDescent="0.35">
      <c r="D16" s="65" t="s">
        <v>74</v>
      </c>
      <c r="E16" s="66"/>
      <c r="F16" s="67"/>
      <c r="G16" s="68">
        <v>0.05</v>
      </c>
    </row>
    <row r="17" spans="7:7" ht="15" customHeight="1" x14ac:dyDescent="0.3"/>
    <row r="18" spans="7:7" ht="15" customHeight="1" x14ac:dyDescent="0.3">
      <c r="G18" s="99" t="s">
        <v>136</v>
      </c>
    </row>
    <row r="19" spans="7:7" ht="15" customHeight="1" x14ac:dyDescent="0.3">
      <c r="G19" s="99" t="s">
        <v>137</v>
      </c>
    </row>
    <row r="20" spans="7:7" ht="15" customHeight="1" x14ac:dyDescent="0.3"/>
    <row r="21" spans="7:7" ht="15" customHeight="1" x14ac:dyDescent="0.3"/>
    <row r="22" spans="7:7" ht="15" customHeight="1" x14ac:dyDescent="0.3"/>
    <row r="23" spans="7:7" ht="15" customHeight="1" x14ac:dyDescent="0.3"/>
    <row r="24" spans="7:7" ht="15" customHeight="1" x14ac:dyDescent="0.3"/>
    <row r="25" spans="7:7" ht="15" customHeight="1" x14ac:dyDescent="0.3"/>
    <row r="26" spans="7:7" ht="15" customHeight="1" x14ac:dyDescent="0.3"/>
    <row r="27" spans="7:7" ht="15" customHeight="1" x14ac:dyDescent="0.3"/>
    <row r="28" spans="7:7" ht="15" customHeight="1" x14ac:dyDescent="0.3"/>
    <row r="29" spans="7:7" ht="15" customHeight="1" x14ac:dyDescent="0.3"/>
    <row r="30" spans="7:7" ht="15" customHeight="1" x14ac:dyDescent="0.3"/>
    <row r="31" spans="7:7" ht="15" customHeight="1" x14ac:dyDescent="0.3"/>
    <row r="32" spans="7:7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</sheetData>
  <mergeCells count="2">
    <mergeCell ref="I1:J1"/>
    <mergeCell ref="D16:F16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20" sqref="I20"/>
    </sheetView>
  </sheetViews>
  <sheetFormatPr defaultRowHeight="14.4" x14ac:dyDescent="0.3"/>
  <cols>
    <col min="1" max="1" width="17.5546875" bestFit="1" customWidth="1"/>
    <col min="4" max="4" width="4.77734375" customWidth="1"/>
    <col min="5" max="5" width="17.21875" bestFit="1" customWidth="1"/>
    <col min="6" max="6" width="9.5546875" bestFit="1" customWidth="1"/>
    <col min="7" max="7" width="11.77734375" bestFit="1" customWidth="1"/>
    <col min="8" max="8" width="6.6640625" customWidth="1"/>
    <col min="9" max="9" width="6.88671875" customWidth="1"/>
  </cols>
  <sheetData>
    <row r="1" spans="1:9" x14ac:dyDescent="0.3">
      <c r="A1" s="38" t="s">
        <v>76</v>
      </c>
    </row>
    <row r="3" spans="1:9" x14ac:dyDescent="0.3">
      <c r="A3" s="70"/>
      <c r="B3" s="70" t="s">
        <v>77</v>
      </c>
      <c r="C3" s="70" t="s">
        <v>77</v>
      </c>
      <c r="D3" s="70"/>
      <c r="E3" s="39"/>
      <c r="F3" s="39" t="s">
        <v>78</v>
      </c>
      <c r="G3" s="39" t="s">
        <v>79</v>
      </c>
      <c r="H3" s="39" t="s">
        <v>80</v>
      </c>
    </row>
    <row r="4" spans="1:9" x14ac:dyDescent="0.3">
      <c r="A4" s="70" t="s">
        <v>81</v>
      </c>
      <c r="B4" s="70" t="s">
        <v>82</v>
      </c>
      <c r="C4" s="70" t="s">
        <v>83</v>
      </c>
      <c r="D4" s="70"/>
      <c r="E4" s="70" t="s">
        <v>84</v>
      </c>
      <c r="F4" s="39" t="s">
        <v>85</v>
      </c>
      <c r="G4" s="39" t="s">
        <v>86</v>
      </c>
      <c r="H4" s="39" t="s">
        <v>87</v>
      </c>
      <c r="I4" s="38" t="str">
        <f>IF(B14="","Results are NOT valid until Q Statistic is entered into B14","Results")</f>
        <v>Results</v>
      </c>
    </row>
    <row r="5" spans="1:9" x14ac:dyDescent="0.3">
      <c r="A5" s="38" t="s">
        <v>131</v>
      </c>
      <c r="B5" s="45">
        <f>'Q18-22'!D5</f>
        <v>2164.2857142857142</v>
      </c>
      <c r="C5" s="45">
        <f>'Q18-22'!B5</f>
        <v>28</v>
      </c>
      <c r="E5" s="38" t="s">
        <v>94</v>
      </c>
      <c r="F5">
        <f>ABS($B$5-$B$6)</f>
        <v>8319.1587301587315</v>
      </c>
      <c r="G5">
        <f>SQRT(($B$13/2)*((1/$C$5)+(1/$C$6)))</f>
        <v>2080.6118786636639</v>
      </c>
      <c r="H5">
        <f>$B$14*$G$5</f>
        <v>7026.2263142471929</v>
      </c>
      <c r="I5" s="38" t="str">
        <f>IF($F$5&gt;$H$5,"Means are different","Means are not different")</f>
        <v>Means are different</v>
      </c>
    </row>
    <row r="6" spans="1:9" x14ac:dyDescent="0.3">
      <c r="A6" s="38" t="s">
        <v>133</v>
      </c>
      <c r="B6" s="45">
        <f>'Q18-22'!D6</f>
        <v>10483.444444444445</v>
      </c>
      <c r="C6" s="45">
        <f>'Q18-22'!B6</f>
        <v>18</v>
      </c>
      <c r="E6" s="38" t="s">
        <v>132</v>
      </c>
      <c r="F6">
        <f>ABS($B$5-$B$7)</f>
        <v>811.38996138996163</v>
      </c>
      <c r="G6">
        <f>SQRT(($B$13/2)*((1/$C$5)+(1/$C$7)))</f>
        <v>1725.0600857865061</v>
      </c>
      <c r="H6">
        <f>$B$14*$G$6</f>
        <v>5825.5279097010307</v>
      </c>
      <c r="I6" s="38" t="str">
        <f>IF($F$6&gt;$H$6,"Means are different","Means are not different")</f>
        <v>Means are not different</v>
      </c>
    </row>
    <row r="7" spans="1:9" x14ac:dyDescent="0.3">
      <c r="A7" s="38" t="s">
        <v>135</v>
      </c>
      <c r="B7" s="45">
        <f>'Q18-22'!D7</f>
        <v>2975.6756756756758</v>
      </c>
      <c r="C7" s="45">
        <f>'Q18-22'!B7</f>
        <v>37</v>
      </c>
      <c r="E7" s="38" t="s">
        <v>134</v>
      </c>
      <c r="F7">
        <f>ABS($B$6-$B$7)</f>
        <v>7507.7687687687694</v>
      </c>
      <c r="G7">
        <f>SQRT(($B$13/2)*((1/$C$6)+(1/$C$7)))</f>
        <v>1979.1178517798837</v>
      </c>
      <c r="H7">
        <f>$B$14*$G$7</f>
        <v>6683.4809854606665</v>
      </c>
      <c r="I7" s="38" t="str">
        <f>IF($F$7&gt;$H$7,"Means are different","Means are not different")</f>
        <v>Means are different</v>
      </c>
    </row>
    <row r="9" spans="1:9" x14ac:dyDescent="0.3">
      <c r="A9" s="44" t="s">
        <v>89</v>
      </c>
      <c r="B9" s="44"/>
    </row>
    <row r="10" spans="1:9" x14ac:dyDescent="0.3">
      <c r="A10" s="45" t="s">
        <v>74</v>
      </c>
      <c r="B10" s="45">
        <f>'Q18-22'!G16</f>
        <v>0.05</v>
      </c>
    </row>
    <row r="11" spans="1:9" x14ac:dyDescent="0.3">
      <c r="A11" s="45" t="s">
        <v>90</v>
      </c>
      <c r="B11" s="45">
        <v>3</v>
      </c>
    </row>
    <row r="12" spans="1:9" x14ac:dyDescent="0.3">
      <c r="A12" s="45" t="s">
        <v>91</v>
      </c>
      <c r="B12" s="45">
        <f>'Q18-22'!C13</f>
        <v>80</v>
      </c>
    </row>
    <row r="13" spans="1:9" x14ac:dyDescent="0.3">
      <c r="A13" s="45" t="s">
        <v>92</v>
      </c>
      <c r="B13" s="45">
        <f>'Q18-22'!D13</f>
        <v>94860377.303335473</v>
      </c>
    </row>
    <row r="14" spans="1:9" x14ac:dyDescent="0.3">
      <c r="A14" s="69" t="s">
        <v>93</v>
      </c>
      <c r="B14" s="69">
        <v>3.3769999999999998</v>
      </c>
    </row>
  </sheetData>
  <sheetProtection sheet="1"/>
  <mergeCells count="1">
    <mergeCell ref="A9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8"/>
  <sheetViews>
    <sheetView workbookViewId="0">
      <selection activeCell="J22" sqref="J22"/>
    </sheetView>
  </sheetViews>
  <sheetFormatPr defaultColWidth="9.109375" defaultRowHeight="14.4" x14ac:dyDescent="0.3"/>
  <cols>
    <col min="1" max="1" width="20.33203125" style="17" bestFit="1" customWidth="1"/>
    <col min="2" max="2" width="15.6640625" style="17" bestFit="1" customWidth="1"/>
    <col min="3" max="3" width="7" style="17" bestFit="1" customWidth="1"/>
    <col min="4" max="5" width="13.6640625" style="17" bestFit="1" customWidth="1"/>
    <col min="6" max="6" width="8" style="17" bestFit="1" customWidth="1"/>
    <col min="7" max="7" width="6.5546875" style="17" bestFit="1" customWidth="1"/>
    <col min="8" max="8" width="2.33203125" style="17" customWidth="1"/>
    <col min="9" max="9" width="4.109375" style="17" customWidth="1"/>
    <col min="10" max="10" width="7.109375" style="17" customWidth="1"/>
    <col min="11" max="16384" width="9.109375" style="17"/>
  </cols>
  <sheetData>
    <row r="1" spans="1:10" ht="15" customHeight="1" x14ac:dyDescent="0.3">
      <c r="A1" s="52" t="s">
        <v>75</v>
      </c>
      <c r="B1" s="52"/>
      <c r="C1" s="52"/>
      <c r="D1" s="52"/>
      <c r="E1" s="52"/>
      <c r="F1" s="52"/>
      <c r="G1" s="52"/>
      <c r="I1" s="53" t="s">
        <v>10</v>
      </c>
      <c r="J1" s="54"/>
    </row>
    <row r="2" spans="1:10" ht="15" customHeight="1" x14ac:dyDescent="0.3">
      <c r="A2" s="52"/>
      <c r="B2" s="52"/>
      <c r="C2" s="52"/>
      <c r="D2" s="52"/>
      <c r="E2" s="52"/>
      <c r="F2" s="52"/>
      <c r="G2" s="52"/>
      <c r="I2" s="55" t="s">
        <v>62</v>
      </c>
      <c r="J2" s="56">
        <f>COUNTA(ASFData2!$1:$1)</f>
        <v>3</v>
      </c>
    </row>
    <row r="3" spans="1:10" ht="15" customHeight="1" thickBot="1" x14ac:dyDescent="0.35">
      <c r="A3" s="52" t="s">
        <v>63</v>
      </c>
      <c r="B3" s="52"/>
      <c r="C3" s="52"/>
      <c r="D3" s="52"/>
      <c r="E3" s="52"/>
      <c r="F3" s="52"/>
      <c r="G3" s="52"/>
      <c r="H3" s="57"/>
      <c r="I3" s="58" t="s">
        <v>64</v>
      </c>
      <c r="J3" s="59">
        <f>SUM(B5:B7)</f>
        <v>83</v>
      </c>
    </row>
    <row r="4" spans="1:10" ht="15" customHeight="1" x14ac:dyDescent="0.3">
      <c r="A4" s="60" t="s">
        <v>65</v>
      </c>
      <c r="B4" s="60" t="s">
        <v>66</v>
      </c>
      <c r="C4" s="60" t="s">
        <v>67</v>
      </c>
      <c r="D4" s="60" t="s">
        <v>68</v>
      </c>
      <c r="E4" s="60" t="s">
        <v>69</v>
      </c>
      <c r="F4" s="52"/>
      <c r="G4" s="52"/>
    </row>
    <row r="5" spans="1:10" ht="15" customHeight="1" x14ac:dyDescent="0.3">
      <c r="A5" s="61" t="s">
        <v>128</v>
      </c>
      <c r="B5" s="61">
        <f>COUNT(ASFData2!$A:$A)</f>
        <v>28</v>
      </c>
      <c r="C5" s="61">
        <f>SUM(ASFData2!$A:$A)</f>
        <v>71016</v>
      </c>
      <c r="D5" s="61">
        <f>AVERAGE(ASFData2!$A:$A)</f>
        <v>2536.2857142857142</v>
      </c>
      <c r="E5" s="62">
        <f>_xlfn.VAR.S(ASFData2!$A:$A)</f>
        <v>12605329.544973545</v>
      </c>
      <c r="F5" s="52"/>
      <c r="G5" s="52"/>
    </row>
    <row r="6" spans="1:10" ht="15" customHeight="1" x14ac:dyDescent="0.3">
      <c r="A6" s="61" t="s">
        <v>129</v>
      </c>
      <c r="B6" s="61">
        <f>COUNT(ASFData2!$B:$B)</f>
        <v>18</v>
      </c>
      <c r="C6" s="61">
        <f>SUM(ASFData2!$B:$B)</f>
        <v>49787</v>
      </c>
      <c r="D6" s="61">
        <f>AVERAGE(ASFData2!$B:$B)</f>
        <v>2765.9444444444443</v>
      </c>
      <c r="E6" s="62">
        <f>_xlfn.VAR.S(ASFData2!$B:$B)</f>
        <v>9465527.2320261449</v>
      </c>
      <c r="F6" s="52"/>
      <c r="G6" s="52"/>
    </row>
    <row r="7" spans="1:10" ht="15" customHeight="1" thickBot="1" x14ac:dyDescent="0.35">
      <c r="A7" s="63" t="s">
        <v>130</v>
      </c>
      <c r="B7" s="63">
        <f>COUNT(ASFData2!$C:$C)</f>
        <v>37</v>
      </c>
      <c r="C7" s="63">
        <f>SUM(ASFData2!$C:$C)</f>
        <v>119427</v>
      </c>
      <c r="D7" s="63">
        <f>AVERAGE(ASFData2!$C:$C)</f>
        <v>3227.7567567567567</v>
      </c>
      <c r="E7" s="64">
        <f>_xlfn.VAR.S(ASFData2!$C:$C)</f>
        <v>17925842.244744744</v>
      </c>
      <c r="F7" s="52"/>
      <c r="G7" s="52"/>
    </row>
    <row r="8" spans="1:10" ht="15" customHeight="1" x14ac:dyDescent="0.3">
      <c r="A8" s="52"/>
      <c r="B8" s="52"/>
      <c r="C8" s="52"/>
      <c r="D8" s="52"/>
      <c r="E8" s="52"/>
      <c r="F8" s="52"/>
      <c r="G8" s="52"/>
    </row>
    <row r="9" spans="1:10" ht="15" customHeight="1" x14ac:dyDescent="0.3">
      <c r="A9" s="52"/>
      <c r="B9" s="52"/>
      <c r="C9" s="52"/>
      <c r="D9" s="52"/>
      <c r="E9" s="52"/>
      <c r="F9" s="52"/>
      <c r="G9" s="52"/>
    </row>
    <row r="10" spans="1:10" ht="15" customHeight="1" thickBot="1" x14ac:dyDescent="0.35">
      <c r="A10" s="52" t="s">
        <v>24</v>
      </c>
      <c r="B10" s="52"/>
      <c r="C10" s="52"/>
      <c r="D10" s="52"/>
      <c r="E10" s="52"/>
      <c r="F10" s="52"/>
      <c r="G10" s="52"/>
    </row>
    <row r="11" spans="1:10" ht="15" customHeight="1" x14ac:dyDescent="0.3">
      <c r="A11" s="60" t="s">
        <v>70</v>
      </c>
      <c r="B11" s="60" t="s">
        <v>27</v>
      </c>
      <c r="C11" s="60" t="s">
        <v>26</v>
      </c>
      <c r="D11" s="60" t="s">
        <v>28</v>
      </c>
      <c r="E11" s="60" t="s">
        <v>29</v>
      </c>
      <c r="F11" s="60" t="s">
        <v>37</v>
      </c>
      <c r="G11" s="60" t="s">
        <v>71</v>
      </c>
    </row>
    <row r="12" spans="1:10" ht="15" customHeight="1" x14ac:dyDescent="0.3">
      <c r="A12" s="61" t="s">
        <v>72</v>
      </c>
      <c r="B12" s="62">
        <f>B15-DEVSQ(ASFData2!$A:$A)-DEVSQ(ASFData2!$B:$B)-DEVSQ(ASFData2!$C:$C)</f>
        <v>7999587.0846765041</v>
      </c>
      <c r="C12" s="61">
        <f>J2-1</f>
        <v>2</v>
      </c>
      <c r="D12" s="62">
        <f>B12/C12</f>
        <v>3999793.5423382521</v>
      </c>
      <c r="E12" s="62">
        <f>D12/D13</f>
        <v>0.27907446505941552</v>
      </c>
      <c r="F12" s="62">
        <f>_xlfn.F.DIST.RT(E12,C12,C13)</f>
        <v>0.75721697811467248</v>
      </c>
      <c r="G12" s="62">
        <f>_xlfn.F.INV.RT(G16,C12,C13)</f>
        <v>3.1107661660804542</v>
      </c>
    </row>
    <row r="13" spans="1:10" ht="15" customHeight="1" x14ac:dyDescent="0.3">
      <c r="A13" s="61" t="s">
        <v>73</v>
      </c>
      <c r="B13" s="62">
        <f>B15-B12</f>
        <v>1146588181.4695408</v>
      </c>
      <c r="C13" s="61">
        <f>J3-COUNTA(ASFData2!$1:$1)</f>
        <v>80</v>
      </c>
      <c r="D13" s="62">
        <f>B13/C13</f>
        <v>14332352.268369261</v>
      </c>
      <c r="E13" s="61">
        <v>26</v>
      </c>
      <c r="F13" s="61">
        <v>28</v>
      </c>
      <c r="G13" s="61">
        <v>27</v>
      </c>
    </row>
    <row r="14" spans="1:10" ht="15" customHeight="1" x14ac:dyDescent="0.3">
      <c r="A14" s="61"/>
      <c r="B14" s="61"/>
      <c r="C14" s="61"/>
      <c r="D14" s="61"/>
      <c r="E14" s="61"/>
      <c r="F14" s="61"/>
      <c r="G14" s="61"/>
    </row>
    <row r="15" spans="1:10" ht="15" customHeight="1" thickBot="1" x14ac:dyDescent="0.35">
      <c r="A15" s="63" t="s">
        <v>34</v>
      </c>
      <c r="B15" s="64">
        <f>DEVSQ(ASFData2!$A$1:$C$38)</f>
        <v>1154587768.5542173</v>
      </c>
      <c r="C15" s="63">
        <f>C12+C13</f>
        <v>82</v>
      </c>
      <c r="D15" s="61"/>
      <c r="E15" s="61"/>
      <c r="F15" s="61"/>
      <c r="G15" s="61"/>
    </row>
    <row r="16" spans="1:10" ht="15" customHeight="1" thickBot="1" x14ac:dyDescent="0.35">
      <c r="D16" s="65" t="s">
        <v>74</v>
      </c>
      <c r="E16" s="66"/>
      <c r="F16" s="67"/>
      <c r="G16" s="68">
        <v>0.05</v>
      </c>
    </row>
    <row r="17" spans="7:7" ht="15" customHeight="1" x14ac:dyDescent="0.3">
      <c r="G17" s="17" t="s">
        <v>138</v>
      </c>
    </row>
    <row r="18" spans="7:7" ht="15" customHeight="1" x14ac:dyDescent="0.3">
      <c r="G18" s="17" t="s">
        <v>139</v>
      </c>
    </row>
    <row r="19" spans="7:7" ht="15" customHeight="1" x14ac:dyDescent="0.3"/>
    <row r="20" spans="7:7" ht="15" customHeight="1" x14ac:dyDescent="0.3"/>
    <row r="21" spans="7:7" ht="15" customHeight="1" x14ac:dyDescent="0.3"/>
    <row r="22" spans="7:7" ht="15" customHeight="1" x14ac:dyDescent="0.3"/>
    <row r="23" spans="7:7" ht="15" customHeight="1" x14ac:dyDescent="0.3"/>
    <row r="24" spans="7:7" ht="15" customHeight="1" x14ac:dyDescent="0.3"/>
    <row r="25" spans="7:7" ht="15" customHeight="1" x14ac:dyDescent="0.3"/>
    <row r="26" spans="7:7" ht="15" customHeight="1" x14ac:dyDescent="0.3"/>
    <row r="27" spans="7:7" ht="15" customHeight="1" x14ac:dyDescent="0.3"/>
    <row r="28" spans="7:7" ht="15" customHeight="1" x14ac:dyDescent="0.3"/>
    <row r="29" spans="7:7" ht="15" customHeight="1" x14ac:dyDescent="0.3"/>
    <row r="30" spans="7:7" ht="15" customHeight="1" x14ac:dyDescent="0.3"/>
    <row r="31" spans="7:7" ht="15" customHeight="1" x14ac:dyDescent="0.3"/>
    <row r="32" spans="7:7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</sheetData>
  <mergeCells count="2">
    <mergeCell ref="I1:J1"/>
    <mergeCell ref="D16:F16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E28" sqref="E28"/>
    </sheetView>
  </sheetViews>
  <sheetFormatPr defaultRowHeight="14.4" x14ac:dyDescent="0.3"/>
  <cols>
    <col min="1" max="1" width="21.6640625" bestFit="1" customWidth="1"/>
    <col min="4" max="4" width="21.6640625" bestFit="1" customWidth="1"/>
    <col min="5" max="5" width="13.5546875" bestFit="1" customWidth="1"/>
    <col min="7" max="7" width="11.109375" bestFit="1" customWidth="1"/>
    <col min="8" max="8" width="15.88671875" bestFit="1" customWidth="1"/>
  </cols>
  <sheetData>
    <row r="1" spans="1:8" x14ac:dyDescent="0.3">
      <c r="A1" t="s">
        <v>4</v>
      </c>
    </row>
    <row r="2" spans="1:8" x14ac:dyDescent="0.3">
      <c r="A2" t="s">
        <v>5</v>
      </c>
    </row>
    <row r="3" spans="1:8" x14ac:dyDescent="0.3">
      <c r="A3" t="s">
        <v>5</v>
      </c>
    </row>
    <row r="4" spans="1:8" x14ac:dyDescent="0.3">
      <c r="A4" t="s">
        <v>6</v>
      </c>
    </row>
    <row r="5" spans="1:8" x14ac:dyDescent="0.3">
      <c r="A5" t="s">
        <v>5</v>
      </c>
      <c r="D5" s="97" t="s">
        <v>116</v>
      </c>
      <c r="E5" t="s">
        <v>115</v>
      </c>
    </row>
    <row r="6" spans="1:8" x14ac:dyDescent="0.3">
      <c r="A6" t="s">
        <v>5</v>
      </c>
      <c r="D6" s="98" t="s">
        <v>5</v>
      </c>
      <c r="E6" s="96">
        <v>28</v>
      </c>
    </row>
    <row r="7" spans="1:8" x14ac:dyDescent="0.3">
      <c r="A7" t="s">
        <v>5</v>
      </c>
      <c r="D7" s="98" t="s">
        <v>6</v>
      </c>
      <c r="E7" s="96">
        <v>18</v>
      </c>
    </row>
    <row r="8" spans="1:8" x14ac:dyDescent="0.3">
      <c r="A8" t="s">
        <v>7</v>
      </c>
      <c r="D8" s="98" t="s">
        <v>7</v>
      </c>
      <c r="E8" s="96">
        <v>37</v>
      </c>
    </row>
    <row r="9" spans="1:8" x14ac:dyDescent="0.3">
      <c r="A9" t="s">
        <v>7</v>
      </c>
      <c r="D9" s="98" t="s">
        <v>117</v>
      </c>
      <c r="E9" s="96"/>
    </row>
    <row r="10" spans="1:8" x14ac:dyDescent="0.3">
      <c r="A10" t="s">
        <v>7</v>
      </c>
      <c r="D10" s="98" t="s">
        <v>118</v>
      </c>
      <c r="E10" s="96">
        <v>83</v>
      </c>
    </row>
    <row r="11" spans="1:8" x14ac:dyDescent="0.3">
      <c r="A11" t="s">
        <v>6</v>
      </c>
    </row>
    <row r="12" spans="1:8" x14ac:dyDescent="0.3">
      <c r="A12" t="s">
        <v>7</v>
      </c>
    </row>
    <row r="13" spans="1:8" x14ac:dyDescent="0.3">
      <c r="A13" t="s">
        <v>5</v>
      </c>
      <c r="D13" s="98" t="s">
        <v>119</v>
      </c>
      <c r="E13" t="s">
        <v>120</v>
      </c>
      <c r="F13" t="s">
        <v>121</v>
      </c>
      <c r="G13" t="s">
        <v>122</v>
      </c>
      <c r="H13" t="s">
        <v>123</v>
      </c>
    </row>
    <row r="14" spans="1:8" x14ac:dyDescent="0.3">
      <c r="A14" t="s">
        <v>7</v>
      </c>
      <c r="D14" s="96">
        <v>28</v>
      </c>
      <c r="E14">
        <f>D14/3</f>
        <v>9.3333333333333339</v>
      </c>
      <c r="F14">
        <f>D14-E14</f>
        <v>18.666666666666664</v>
      </c>
      <c r="G14">
        <f>F14^2</f>
        <v>348.44444444444434</v>
      </c>
      <c r="H14">
        <f>G14/E14</f>
        <v>37.333333333333321</v>
      </c>
    </row>
    <row r="15" spans="1:8" x14ac:dyDescent="0.3">
      <c r="A15" t="s">
        <v>5</v>
      </c>
      <c r="D15" s="96">
        <v>18</v>
      </c>
      <c r="E15">
        <f>D15/3</f>
        <v>6</v>
      </c>
      <c r="F15">
        <f t="shared" ref="F15:F16" si="0">D15-E15</f>
        <v>12</v>
      </c>
      <c r="G15">
        <f t="shared" ref="G15:G16" si="1">F15^2</f>
        <v>144</v>
      </c>
      <c r="H15">
        <f t="shared" ref="H15:H16" si="2">G15/E15</f>
        <v>24</v>
      </c>
    </row>
    <row r="16" spans="1:8" x14ac:dyDescent="0.3">
      <c r="A16" t="s">
        <v>5</v>
      </c>
      <c r="D16" s="96">
        <v>37</v>
      </c>
      <c r="E16">
        <f>D16/3</f>
        <v>12.333333333333334</v>
      </c>
      <c r="F16">
        <f t="shared" si="0"/>
        <v>24.666666666666664</v>
      </c>
      <c r="G16">
        <f t="shared" si="1"/>
        <v>608.44444444444434</v>
      </c>
      <c r="H16">
        <f t="shared" si="2"/>
        <v>49.333333333333321</v>
      </c>
    </row>
    <row r="17" spans="1:8" x14ac:dyDescent="0.3">
      <c r="A17" t="s">
        <v>6</v>
      </c>
    </row>
    <row r="18" spans="1:8" x14ac:dyDescent="0.3">
      <c r="A18" t="s">
        <v>5</v>
      </c>
      <c r="G18" t="s">
        <v>124</v>
      </c>
      <c r="H18">
        <f>SUM(H14:H16)</f>
        <v>110.66666666666664</v>
      </c>
    </row>
    <row r="19" spans="1:8" x14ac:dyDescent="0.3">
      <c r="A19" t="s">
        <v>7</v>
      </c>
      <c r="G19" t="s">
        <v>125</v>
      </c>
      <c r="H19">
        <f>_xlfn.CHISQ.INV.RT(0.1,2)</f>
        <v>4.6051701859880909</v>
      </c>
    </row>
    <row r="20" spans="1:8" x14ac:dyDescent="0.3">
      <c r="A20" t="s">
        <v>7</v>
      </c>
      <c r="G20" t="s">
        <v>126</v>
      </c>
      <c r="H20">
        <f>_xlfn.CHISQ.DIST.RT(H18,2)</f>
        <v>9.3119078165798975E-25</v>
      </c>
    </row>
    <row r="21" spans="1:8" x14ac:dyDescent="0.3">
      <c r="A21" t="s">
        <v>6</v>
      </c>
      <c r="H21" s="38" t="s">
        <v>127</v>
      </c>
    </row>
    <row r="22" spans="1:8" x14ac:dyDescent="0.3">
      <c r="A22" t="s">
        <v>7</v>
      </c>
    </row>
    <row r="23" spans="1:8" x14ac:dyDescent="0.3">
      <c r="A23" t="s">
        <v>5</v>
      </c>
    </row>
    <row r="24" spans="1:8" x14ac:dyDescent="0.3">
      <c r="A24" t="s">
        <v>5</v>
      </c>
    </row>
    <row r="25" spans="1:8" x14ac:dyDescent="0.3">
      <c r="A25" t="s">
        <v>5</v>
      </c>
    </row>
    <row r="26" spans="1:8" x14ac:dyDescent="0.3">
      <c r="A26" t="s">
        <v>7</v>
      </c>
    </row>
    <row r="27" spans="1:8" x14ac:dyDescent="0.3">
      <c r="A27" t="s">
        <v>7</v>
      </c>
    </row>
    <row r="28" spans="1:8" x14ac:dyDescent="0.3">
      <c r="A28" t="s">
        <v>5</v>
      </c>
    </row>
    <row r="29" spans="1:8" x14ac:dyDescent="0.3">
      <c r="A29" t="s">
        <v>5</v>
      </c>
    </row>
    <row r="30" spans="1:8" x14ac:dyDescent="0.3">
      <c r="A30" t="s">
        <v>7</v>
      </c>
    </row>
    <row r="31" spans="1:8" x14ac:dyDescent="0.3">
      <c r="A31" t="s">
        <v>6</v>
      </c>
    </row>
    <row r="32" spans="1:8" x14ac:dyDescent="0.3">
      <c r="A32" t="s">
        <v>7</v>
      </c>
    </row>
    <row r="33" spans="1:1" x14ac:dyDescent="0.3">
      <c r="A33" t="s">
        <v>6</v>
      </c>
    </row>
    <row r="34" spans="1:1" x14ac:dyDescent="0.3">
      <c r="A34" t="s">
        <v>5</v>
      </c>
    </row>
    <row r="35" spans="1:1" x14ac:dyDescent="0.3">
      <c r="A35" t="s">
        <v>6</v>
      </c>
    </row>
    <row r="36" spans="1:1" x14ac:dyDescent="0.3">
      <c r="A36" t="s">
        <v>7</v>
      </c>
    </row>
    <row r="37" spans="1:1" x14ac:dyDescent="0.3">
      <c r="A37" t="s">
        <v>7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6</v>
      </c>
    </row>
    <row r="41" spans="1:1" x14ac:dyDescent="0.3">
      <c r="A41" t="s">
        <v>7</v>
      </c>
    </row>
    <row r="42" spans="1:1" x14ac:dyDescent="0.3">
      <c r="A42" t="s">
        <v>6</v>
      </c>
    </row>
    <row r="43" spans="1:1" x14ac:dyDescent="0.3">
      <c r="A43" t="s">
        <v>7</v>
      </c>
    </row>
    <row r="44" spans="1:1" x14ac:dyDescent="0.3">
      <c r="A44" t="s">
        <v>5</v>
      </c>
    </row>
    <row r="45" spans="1:1" x14ac:dyDescent="0.3">
      <c r="A45" t="s">
        <v>7</v>
      </c>
    </row>
    <row r="46" spans="1:1" x14ac:dyDescent="0.3">
      <c r="A46" t="s">
        <v>7</v>
      </c>
    </row>
    <row r="47" spans="1:1" x14ac:dyDescent="0.3">
      <c r="A47" t="s">
        <v>7</v>
      </c>
    </row>
    <row r="48" spans="1:1" x14ac:dyDescent="0.3">
      <c r="A48" t="s">
        <v>5</v>
      </c>
    </row>
    <row r="49" spans="1:1" x14ac:dyDescent="0.3">
      <c r="A49" t="s">
        <v>7</v>
      </c>
    </row>
    <row r="50" spans="1:1" x14ac:dyDescent="0.3">
      <c r="A50" t="s">
        <v>6</v>
      </c>
    </row>
    <row r="51" spans="1:1" x14ac:dyDescent="0.3">
      <c r="A51" t="s">
        <v>7</v>
      </c>
    </row>
    <row r="52" spans="1:1" x14ac:dyDescent="0.3">
      <c r="A52" t="s">
        <v>6</v>
      </c>
    </row>
    <row r="53" spans="1:1" x14ac:dyDescent="0.3">
      <c r="A53" t="s">
        <v>7</v>
      </c>
    </row>
    <row r="54" spans="1:1" x14ac:dyDescent="0.3">
      <c r="A54" t="s">
        <v>6</v>
      </c>
    </row>
    <row r="55" spans="1:1" x14ac:dyDescent="0.3">
      <c r="A55" t="s">
        <v>7</v>
      </c>
    </row>
    <row r="56" spans="1:1" x14ac:dyDescent="0.3">
      <c r="A56" t="s">
        <v>7</v>
      </c>
    </row>
    <row r="57" spans="1:1" x14ac:dyDescent="0.3">
      <c r="A57" t="s">
        <v>7</v>
      </c>
    </row>
    <row r="58" spans="1:1" x14ac:dyDescent="0.3">
      <c r="A58" t="s">
        <v>7</v>
      </c>
    </row>
    <row r="59" spans="1:1" x14ac:dyDescent="0.3">
      <c r="A59" t="s">
        <v>6</v>
      </c>
    </row>
    <row r="60" spans="1:1" x14ac:dyDescent="0.3">
      <c r="A60" t="s">
        <v>5</v>
      </c>
    </row>
    <row r="61" spans="1:1" x14ac:dyDescent="0.3">
      <c r="A61" t="s">
        <v>7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6</v>
      </c>
    </row>
    <row r="65" spans="1:1" x14ac:dyDescent="0.3">
      <c r="A65" t="s">
        <v>7</v>
      </c>
    </row>
    <row r="66" spans="1:1" x14ac:dyDescent="0.3">
      <c r="A66" t="s">
        <v>6</v>
      </c>
    </row>
    <row r="67" spans="1:1" x14ac:dyDescent="0.3">
      <c r="A67" t="s">
        <v>7</v>
      </c>
    </row>
    <row r="68" spans="1:1" x14ac:dyDescent="0.3">
      <c r="A68" t="s">
        <v>5</v>
      </c>
    </row>
    <row r="69" spans="1:1" x14ac:dyDescent="0.3">
      <c r="A69" t="s">
        <v>7</v>
      </c>
    </row>
    <row r="70" spans="1:1" x14ac:dyDescent="0.3">
      <c r="A70" t="s">
        <v>6</v>
      </c>
    </row>
    <row r="71" spans="1:1" x14ac:dyDescent="0.3">
      <c r="A71" t="s">
        <v>5</v>
      </c>
    </row>
    <row r="72" spans="1:1" x14ac:dyDescent="0.3">
      <c r="A72" t="s">
        <v>7</v>
      </c>
    </row>
    <row r="73" spans="1:1" x14ac:dyDescent="0.3">
      <c r="A73" t="s">
        <v>7</v>
      </c>
    </row>
    <row r="74" spans="1:1" x14ac:dyDescent="0.3">
      <c r="A74" t="s">
        <v>7</v>
      </c>
    </row>
    <row r="75" spans="1:1" x14ac:dyDescent="0.3">
      <c r="A75" t="s">
        <v>5</v>
      </c>
    </row>
    <row r="76" spans="1:1" x14ac:dyDescent="0.3">
      <c r="A76" t="s">
        <v>7</v>
      </c>
    </row>
    <row r="77" spans="1:1" x14ac:dyDescent="0.3">
      <c r="A77" t="s">
        <v>5</v>
      </c>
    </row>
    <row r="78" spans="1:1" x14ac:dyDescent="0.3">
      <c r="A78" t="s">
        <v>5</v>
      </c>
    </row>
    <row r="79" spans="1:1" x14ac:dyDescent="0.3">
      <c r="A79" t="s">
        <v>5</v>
      </c>
    </row>
    <row r="80" spans="1:1" x14ac:dyDescent="0.3">
      <c r="A80" t="s">
        <v>5</v>
      </c>
    </row>
    <row r="81" spans="1:1" x14ac:dyDescent="0.3">
      <c r="A81" t="s">
        <v>7</v>
      </c>
    </row>
    <row r="82" spans="1:1" x14ac:dyDescent="0.3">
      <c r="A82" t="s">
        <v>6</v>
      </c>
    </row>
    <row r="83" spans="1:1" x14ac:dyDescent="0.3">
      <c r="A83" t="s">
        <v>6</v>
      </c>
    </row>
    <row r="84" spans="1:1" x14ac:dyDescent="0.3">
      <c r="A8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I29" sqref="I29"/>
    </sheetView>
  </sheetViews>
  <sheetFormatPr defaultRowHeight="14.4" x14ac:dyDescent="0.3"/>
  <cols>
    <col min="1" max="1" width="21.44140625" bestFit="1" customWidth="1"/>
    <col min="6" max="6" width="4.77734375" customWidth="1"/>
  </cols>
  <sheetData>
    <row r="1" spans="1:9" x14ac:dyDescent="0.3">
      <c r="A1" s="38" t="s">
        <v>96</v>
      </c>
    </row>
    <row r="3" spans="1:9" x14ac:dyDescent="0.3">
      <c r="A3" s="74" t="s">
        <v>97</v>
      </c>
      <c r="B3" s="74"/>
      <c r="C3" s="74"/>
      <c r="D3" s="74"/>
      <c r="E3" s="74"/>
    </row>
    <row r="4" spans="1:9" x14ac:dyDescent="0.3">
      <c r="A4" s="75"/>
      <c r="B4" s="82" t="s">
        <v>105</v>
      </c>
      <c r="C4" s="83"/>
      <c r="D4" s="84"/>
      <c r="E4" s="75"/>
      <c r="G4" t="s">
        <v>10</v>
      </c>
    </row>
    <row r="5" spans="1:9" x14ac:dyDescent="0.3">
      <c r="A5" s="80" t="s">
        <v>104</v>
      </c>
      <c r="B5" s="80" t="s">
        <v>101</v>
      </c>
      <c r="C5" s="80" t="s">
        <v>102</v>
      </c>
      <c r="D5" s="80" t="s">
        <v>103</v>
      </c>
      <c r="E5" s="79" t="s">
        <v>34</v>
      </c>
      <c r="G5" s="78" t="s">
        <v>99</v>
      </c>
      <c r="H5" s="78"/>
      <c r="I5" s="78"/>
    </row>
    <row r="6" spans="1:9" x14ac:dyDescent="0.3">
      <c r="A6" s="89" t="s">
        <v>106</v>
      </c>
      <c r="B6" s="42">
        <v>78</v>
      </c>
      <c r="C6" s="42">
        <v>79</v>
      </c>
      <c r="D6" s="42">
        <v>12</v>
      </c>
      <c r="E6" s="75">
        <f>SUM(B6:D6)</f>
        <v>169</v>
      </c>
      <c r="G6">
        <f>B6-B13</f>
        <v>8.3835227272727337</v>
      </c>
      <c r="H6">
        <f>C6-C13</f>
        <v>-5.5</v>
      </c>
      <c r="I6">
        <f>D6-D13</f>
        <v>-2.8835227272727266</v>
      </c>
    </row>
    <row r="7" spans="1:9" x14ac:dyDescent="0.3">
      <c r="A7" s="89" t="s">
        <v>107</v>
      </c>
      <c r="B7" s="42">
        <v>67</v>
      </c>
      <c r="C7" s="42">
        <v>97</v>
      </c>
      <c r="D7" s="42">
        <v>19</v>
      </c>
      <c r="E7" s="75">
        <f>SUM(B7:D7)</f>
        <v>183</v>
      </c>
      <c r="G7">
        <f>B7-B14</f>
        <v>-8.3835227272727337</v>
      </c>
      <c r="H7">
        <f>C7-C14</f>
        <v>5.5</v>
      </c>
      <c r="I7">
        <f>D7-D14</f>
        <v>2.8835227272727266</v>
      </c>
    </row>
    <row r="8" spans="1:9" x14ac:dyDescent="0.3">
      <c r="A8" s="88" t="s">
        <v>34</v>
      </c>
      <c r="B8" s="75">
        <f>SUM(B6:B7)</f>
        <v>145</v>
      </c>
      <c r="C8" s="75">
        <f>SUM(C6:C7)</f>
        <v>176</v>
      </c>
      <c r="D8" s="75">
        <f>SUM(D6:D7)</f>
        <v>31</v>
      </c>
      <c r="E8" s="75">
        <f>SUM(B8:D8)</f>
        <v>352</v>
      </c>
    </row>
    <row r="10" spans="1:9" x14ac:dyDescent="0.3">
      <c r="A10" s="76" t="s">
        <v>98</v>
      </c>
      <c r="B10" s="76"/>
      <c r="C10" s="76"/>
      <c r="D10" s="76"/>
      <c r="E10" s="76"/>
    </row>
    <row r="11" spans="1:9" x14ac:dyDescent="0.3">
      <c r="A11" s="77"/>
      <c r="B11" s="85" t="str">
        <f>B4</f>
        <v>Column variable</v>
      </c>
      <c r="C11" s="86"/>
      <c r="D11" s="87"/>
      <c r="E11" s="77"/>
    </row>
    <row r="12" spans="1:9" x14ac:dyDescent="0.3">
      <c r="A12" s="81" t="str">
        <f>A5</f>
        <v>Row variable</v>
      </c>
      <c r="B12" s="81" t="str">
        <f>B5</f>
        <v>C1</v>
      </c>
      <c r="C12" s="81" t="str">
        <f>C5</f>
        <v>C2</v>
      </c>
      <c r="D12" s="81" t="str">
        <f>D5</f>
        <v>C3</v>
      </c>
      <c r="E12" s="81" t="s">
        <v>34</v>
      </c>
      <c r="G12" s="78" t="s">
        <v>100</v>
      </c>
      <c r="H12" s="78"/>
      <c r="I12" s="78"/>
    </row>
    <row r="13" spans="1:9" x14ac:dyDescent="0.3">
      <c r="A13" s="90" t="str">
        <f>A6</f>
        <v>R1</v>
      </c>
      <c r="B13" s="77">
        <f>$E6*B$8/$E$8</f>
        <v>69.616477272727266</v>
      </c>
      <c r="C13" s="77">
        <f>$E6*C$8/$E$8</f>
        <v>84.5</v>
      </c>
      <c r="D13" s="77">
        <f>$E6*D$8/$E$8</f>
        <v>14.883522727272727</v>
      </c>
      <c r="E13" s="77">
        <f>SUM(B13:D13)</f>
        <v>168.99999999999997</v>
      </c>
      <c r="G13">
        <f>G6^2/B13</f>
        <v>1.0095807210031364</v>
      </c>
      <c r="H13">
        <f>H6^2/C13</f>
        <v>0.35798816568047337</v>
      </c>
      <c r="I13">
        <f>I6^2/D13</f>
        <v>0.55865156865467025</v>
      </c>
    </row>
    <row r="14" spans="1:9" x14ac:dyDescent="0.3">
      <c r="A14" s="90" t="str">
        <f>A7</f>
        <v>R2</v>
      </c>
      <c r="B14" s="77">
        <f>$E7*B$8/$E$8</f>
        <v>75.383522727272734</v>
      </c>
      <c r="C14" s="77">
        <f>$E7*C$8/$E$8</f>
        <v>91.5</v>
      </c>
      <c r="D14" s="77">
        <f>$E7*D$8/$E$8</f>
        <v>16.116477272727273</v>
      </c>
      <c r="E14" s="77">
        <f>SUM(B14:D14)</f>
        <v>183.00000000000003</v>
      </c>
      <c r="G14">
        <f>G7^2/B14</f>
        <v>0.93234503742912578</v>
      </c>
      <c r="H14">
        <f>H7^2/C14</f>
        <v>0.33060109289617484</v>
      </c>
      <c r="I14">
        <f>I7^2/D14</f>
        <v>0.51591319728218177</v>
      </c>
    </row>
    <row r="15" spans="1:9" x14ac:dyDescent="0.3">
      <c r="A15" s="90" t="s">
        <v>34</v>
      </c>
      <c r="B15" s="77">
        <f>SUM(B13:B14)</f>
        <v>145</v>
      </c>
      <c r="C15" s="77">
        <f>SUM(C13:C14)</f>
        <v>176</v>
      </c>
      <c r="D15" s="77">
        <f>SUM(D13:D14)</f>
        <v>31</v>
      </c>
      <c r="E15" s="77">
        <f>SUM(B15:D15)</f>
        <v>352</v>
      </c>
    </row>
    <row r="17" spans="1:3" x14ac:dyDescent="0.3">
      <c r="A17" s="40" t="s">
        <v>56</v>
      </c>
      <c r="B17" s="40"/>
    </row>
    <row r="18" spans="1:3" x14ac:dyDescent="0.3">
      <c r="A18" s="41" t="s">
        <v>108</v>
      </c>
      <c r="B18" s="42">
        <v>0.1</v>
      </c>
    </row>
    <row r="19" spans="1:3" x14ac:dyDescent="0.3">
      <c r="A19" s="45" t="s">
        <v>109</v>
      </c>
      <c r="B19" s="45">
        <v>2</v>
      </c>
    </row>
    <row r="20" spans="1:3" x14ac:dyDescent="0.3">
      <c r="A20" s="45" t="s">
        <v>110</v>
      </c>
      <c r="B20" s="45">
        <v>3</v>
      </c>
    </row>
    <row r="21" spans="1:3" x14ac:dyDescent="0.3">
      <c r="A21" s="45" t="s">
        <v>42</v>
      </c>
      <c r="B21" s="45">
        <f>($B$19-1)*($B$20-1)</f>
        <v>2</v>
      </c>
    </row>
    <row r="23" spans="1:3" x14ac:dyDescent="0.3">
      <c r="A23" s="46" t="s">
        <v>88</v>
      </c>
      <c r="B23" s="46"/>
    </row>
    <row r="24" spans="1:3" x14ac:dyDescent="0.3">
      <c r="A24" s="48" t="s">
        <v>111</v>
      </c>
      <c r="B24" s="48">
        <f>_xlfn.CHISQ.INV.RT(B18,B21)</f>
        <v>4.6051701859880909</v>
      </c>
      <c r="C24" s="73">
        <v>38</v>
      </c>
    </row>
    <row r="25" spans="1:3" x14ac:dyDescent="0.3">
      <c r="A25" s="48" t="s">
        <v>112</v>
      </c>
      <c r="B25" s="48">
        <f>SUM($G$13:$I$14)</f>
        <v>3.7050797829457629</v>
      </c>
      <c r="C25" s="73">
        <v>37</v>
      </c>
    </row>
    <row r="26" spans="1:3" x14ac:dyDescent="0.3">
      <c r="A26" s="93" t="s">
        <v>113</v>
      </c>
      <c r="B26" s="48">
        <f>_xlfn.CHISQ.DIST.RT(B25,B21)</f>
        <v>0.15683830771888077</v>
      </c>
      <c r="C26" s="73">
        <v>39</v>
      </c>
    </row>
    <row r="27" spans="1:3" x14ac:dyDescent="0.3">
      <c r="A27" s="92" t="str">
        <f>IF(B26&lt;B18,"Reject the null hypothesis","Do not reject the null hypothesis")</f>
        <v>Do not reject the null hypothesis</v>
      </c>
      <c r="B27" s="94"/>
      <c r="C27" s="95">
        <v>40</v>
      </c>
    </row>
    <row r="29" spans="1:3" x14ac:dyDescent="0.3">
      <c r="A29" s="91" t="s">
        <v>114</v>
      </c>
    </row>
    <row r="30" spans="1:3" x14ac:dyDescent="0.3">
      <c r="A30" s="91" t="str">
        <f>IF(OR(B13&lt;1,C13&lt;1,D13&lt;1,B14&lt;1,C14&lt;1,D14&lt;1),"       is violated.","       is met.")</f>
        <v xml:space="preserve">       is met.</v>
      </c>
    </row>
  </sheetData>
  <mergeCells count="9">
    <mergeCell ref="A17:B17"/>
    <mergeCell ref="A23:B23"/>
    <mergeCell ref="A27:B27"/>
    <mergeCell ref="A3:E3"/>
    <mergeCell ref="A10:E10"/>
    <mergeCell ref="G5:I5"/>
    <mergeCell ref="G12:I12"/>
    <mergeCell ref="B4:D4"/>
    <mergeCell ref="B11:D1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13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168</v>
      </c>
      <c r="B2">
        <v>0</v>
      </c>
    </row>
    <row r="3" spans="1:2" x14ac:dyDescent="0.3">
      <c r="A3">
        <v>0</v>
      </c>
      <c r="B3">
        <v>26118</v>
      </c>
    </row>
    <row r="4" spans="1:2" x14ac:dyDescent="0.3">
      <c r="A4">
        <v>0</v>
      </c>
      <c r="B4">
        <v>460</v>
      </c>
    </row>
    <row r="5" spans="1:2" x14ac:dyDescent="0.3">
      <c r="A5">
        <v>2756</v>
      </c>
      <c r="B5">
        <v>0</v>
      </c>
    </row>
    <row r="6" spans="1:2" x14ac:dyDescent="0.3">
      <c r="A6">
        <v>0</v>
      </c>
      <c r="B6">
        <v>8553</v>
      </c>
    </row>
    <row r="7" spans="1:2" x14ac:dyDescent="0.3">
      <c r="A7">
        <v>0</v>
      </c>
      <c r="B7">
        <v>38906</v>
      </c>
    </row>
    <row r="8" spans="1:2" x14ac:dyDescent="0.3">
      <c r="A8">
        <v>3490</v>
      </c>
      <c r="B8">
        <v>0</v>
      </c>
    </row>
    <row r="9" spans="1:2" x14ac:dyDescent="0.3">
      <c r="A9">
        <v>4368</v>
      </c>
      <c r="B9">
        <v>577</v>
      </c>
    </row>
    <row r="10" spans="1:2" x14ac:dyDescent="0.3">
      <c r="A10">
        <v>780</v>
      </c>
      <c r="B10">
        <v>0</v>
      </c>
    </row>
    <row r="11" spans="1:2" x14ac:dyDescent="0.3">
      <c r="A11">
        <v>104</v>
      </c>
      <c r="B11">
        <v>42981</v>
      </c>
    </row>
    <row r="12" spans="1:2" x14ac:dyDescent="0.3">
      <c r="A12">
        <v>0</v>
      </c>
      <c r="B12">
        <v>5628</v>
      </c>
    </row>
    <row r="13" spans="1:2" x14ac:dyDescent="0.3">
      <c r="A13">
        <v>9100</v>
      </c>
      <c r="B13">
        <v>154500</v>
      </c>
    </row>
    <row r="14" spans="1:2" x14ac:dyDescent="0.3">
      <c r="A14">
        <v>0</v>
      </c>
      <c r="B14">
        <v>0</v>
      </c>
    </row>
    <row r="15" spans="1:2" x14ac:dyDescent="0.3">
      <c r="A15">
        <v>1456</v>
      </c>
      <c r="B15">
        <v>427</v>
      </c>
    </row>
    <row r="16" spans="1:2" x14ac:dyDescent="0.3">
      <c r="A16">
        <v>0</v>
      </c>
      <c r="B16">
        <v>35750</v>
      </c>
    </row>
    <row r="17" spans="1:2" x14ac:dyDescent="0.3">
      <c r="A17">
        <v>5408</v>
      </c>
      <c r="B17">
        <v>0</v>
      </c>
    </row>
    <row r="18" spans="1:2" x14ac:dyDescent="0.3">
      <c r="A18">
        <v>0</v>
      </c>
      <c r="B18">
        <v>1044</v>
      </c>
    </row>
    <row r="19" spans="1:2" x14ac:dyDescent="0.3">
      <c r="A19">
        <v>9360</v>
      </c>
      <c r="B19">
        <v>3135</v>
      </c>
    </row>
    <row r="20" spans="1:2" x14ac:dyDescent="0.3">
      <c r="A20">
        <v>1755</v>
      </c>
      <c r="B20">
        <v>645</v>
      </c>
    </row>
    <row r="21" spans="1:2" x14ac:dyDescent="0.3">
      <c r="A21">
        <v>3946</v>
      </c>
      <c r="B21">
        <v>0</v>
      </c>
    </row>
    <row r="22" spans="1:2" x14ac:dyDescent="0.3">
      <c r="A22">
        <v>0</v>
      </c>
      <c r="B22">
        <v>834</v>
      </c>
    </row>
    <row r="23" spans="1:2" x14ac:dyDescent="0.3">
      <c r="A23">
        <v>676</v>
      </c>
      <c r="B23">
        <v>351</v>
      </c>
    </row>
    <row r="24" spans="1:2" x14ac:dyDescent="0.3">
      <c r="A24">
        <v>0</v>
      </c>
      <c r="B24">
        <v>340</v>
      </c>
    </row>
    <row r="25" spans="1:2" x14ac:dyDescent="0.3">
      <c r="A25">
        <v>1214</v>
      </c>
      <c r="B25">
        <v>1265</v>
      </c>
    </row>
    <row r="26" spans="1:2" x14ac:dyDescent="0.3">
      <c r="A26">
        <v>1040</v>
      </c>
      <c r="B26">
        <v>2430</v>
      </c>
    </row>
    <row r="27" spans="1:2" x14ac:dyDescent="0.3">
      <c r="A27">
        <v>156</v>
      </c>
      <c r="B27">
        <v>2908</v>
      </c>
    </row>
    <row r="28" spans="1:2" x14ac:dyDescent="0.3">
      <c r="A28">
        <v>2340</v>
      </c>
      <c r="B28">
        <v>8210</v>
      </c>
    </row>
    <row r="29" spans="1:2" x14ac:dyDescent="0.3">
      <c r="A29">
        <v>3900</v>
      </c>
      <c r="B29">
        <v>694</v>
      </c>
    </row>
    <row r="30" spans="1:2" x14ac:dyDescent="0.3">
      <c r="A30">
        <v>520</v>
      </c>
      <c r="B30">
        <v>21040</v>
      </c>
    </row>
    <row r="31" spans="1:2" x14ac:dyDescent="0.3">
      <c r="A31">
        <v>0</v>
      </c>
      <c r="B31">
        <v>494</v>
      </c>
    </row>
    <row r="32" spans="1:2" x14ac:dyDescent="0.3">
      <c r="A32">
        <v>1651</v>
      </c>
      <c r="B32">
        <v>1885</v>
      </c>
    </row>
    <row r="33" spans="1:2" x14ac:dyDescent="0.3">
      <c r="A33">
        <v>0</v>
      </c>
      <c r="B33">
        <v>136042</v>
      </c>
    </row>
    <row r="34" spans="1:2" x14ac:dyDescent="0.3">
      <c r="A34">
        <v>2496</v>
      </c>
      <c r="B34">
        <v>4025</v>
      </c>
    </row>
    <row r="35" spans="1:2" x14ac:dyDescent="0.3">
      <c r="A35">
        <v>520</v>
      </c>
      <c r="B35">
        <v>1070</v>
      </c>
    </row>
    <row r="36" spans="1:2" x14ac:dyDescent="0.3">
      <c r="A36">
        <v>2210</v>
      </c>
      <c r="B36">
        <v>44105</v>
      </c>
    </row>
    <row r="37" spans="1:2" x14ac:dyDescent="0.3">
      <c r="A37">
        <v>191</v>
      </c>
      <c r="B37">
        <v>475</v>
      </c>
    </row>
    <row r="38" spans="1:2" x14ac:dyDescent="0.3">
      <c r="A38">
        <v>1378</v>
      </c>
      <c r="B38">
        <v>0</v>
      </c>
    </row>
    <row r="39" spans="1:2" x14ac:dyDescent="0.3">
      <c r="A39">
        <v>0</v>
      </c>
      <c r="B39">
        <v>580</v>
      </c>
    </row>
    <row r="40" spans="1:2" x14ac:dyDescent="0.3">
      <c r="A40">
        <v>249</v>
      </c>
      <c r="B40">
        <v>0</v>
      </c>
    </row>
    <row r="41" spans="1:2" x14ac:dyDescent="0.3">
      <c r="A41">
        <v>0</v>
      </c>
      <c r="B41">
        <v>72600</v>
      </c>
    </row>
    <row r="42" spans="1:2" x14ac:dyDescent="0.3">
      <c r="A42">
        <v>0</v>
      </c>
      <c r="B42">
        <v>30782</v>
      </c>
    </row>
    <row r="43" spans="1:2" x14ac:dyDescent="0.3">
      <c r="A43">
        <v>728</v>
      </c>
      <c r="B43">
        <v>0</v>
      </c>
    </row>
    <row r="44" spans="1:2" x14ac:dyDescent="0.3">
      <c r="A44">
        <v>1514</v>
      </c>
      <c r="B44">
        <v>603</v>
      </c>
    </row>
    <row r="45" spans="1:2" x14ac:dyDescent="0.3">
      <c r="A45">
        <v>1608</v>
      </c>
      <c r="B45">
        <v>76</v>
      </c>
    </row>
    <row r="46" spans="1:2" x14ac:dyDescent="0.3">
      <c r="A46">
        <v>5249</v>
      </c>
      <c r="B46">
        <v>2014</v>
      </c>
    </row>
    <row r="47" spans="1:2" x14ac:dyDescent="0.3">
      <c r="A47">
        <v>2184</v>
      </c>
      <c r="B47">
        <v>767</v>
      </c>
    </row>
    <row r="48" spans="1:2" x14ac:dyDescent="0.3">
      <c r="A48">
        <v>4680</v>
      </c>
      <c r="B48">
        <v>560</v>
      </c>
    </row>
    <row r="49" spans="1:2" x14ac:dyDescent="0.3">
      <c r="A49">
        <v>0</v>
      </c>
      <c r="B49">
        <v>33981</v>
      </c>
    </row>
    <row r="50" spans="1:2" x14ac:dyDescent="0.3">
      <c r="A50">
        <v>125</v>
      </c>
      <c r="B50">
        <v>928</v>
      </c>
    </row>
    <row r="51" spans="1:2" x14ac:dyDescent="0.3">
      <c r="A51">
        <v>988</v>
      </c>
      <c r="B51">
        <v>4834</v>
      </c>
    </row>
    <row r="52" spans="1:2" x14ac:dyDescent="0.3">
      <c r="A52">
        <v>3539</v>
      </c>
      <c r="B52">
        <v>971</v>
      </c>
    </row>
    <row r="53" spans="1:2" x14ac:dyDescent="0.3">
      <c r="A53">
        <v>4282</v>
      </c>
      <c r="B53">
        <v>4839</v>
      </c>
    </row>
    <row r="54" spans="1:2" x14ac:dyDescent="0.3">
      <c r="A54">
        <v>0</v>
      </c>
      <c r="B54">
        <v>0</v>
      </c>
    </row>
    <row r="55" spans="1:2" x14ac:dyDescent="0.3">
      <c r="A55">
        <v>1478</v>
      </c>
      <c r="B55">
        <v>629</v>
      </c>
    </row>
    <row r="56" spans="1:2" x14ac:dyDescent="0.3">
      <c r="A56">
        <v>1560</v>
      </c>
      <c r="B56">
        <v>1657</v>
      </c>
    </row>
    <row r="57" spans="1:2" x14ac:dyDescent="0.3">
      <c r="A57">
        <v>1676</v>
      </c>
      <c r="B57">
        <v>2117</v>
      </c>
    </row>
    <row r="58" spans="1:2" x14ac:dyDescent="0.3">
      <c r="A58">
        <v>1170</v>
      </c>
      <c r="B58">
        <v>802</v>
      </c>
    </row>
    <row r="59" spans="1:2" x14ac:dyDescent="0.3">
      <c r="A59">
        <v>13</v>
      </c>
      <c r="B59">
        <v>0</v>
      </c>
    </row>
    <row r="60" spans="1:2" x14ac:dyDescent="0.3">
      <c r="A60">
        <v>0</v>
      </c>
      <c r="B60">
        <v>575</v>
      </c>
    </row>
    <row r="61" spans="1:2" x14ac:dyDescent="0.3">
      <c r="A61">
        <v>2794</v>
      </c>
      <c r="B61">
        <v>496</v>
      </c>
    </row>
    <row r="62" spans="1:2" x14ac:dyDescent="0.3">
      <c r="A62">
        <v>53</v>
      </c>
      <c r="B62">
        <v>736</v>
      </c>
    </row>
    <row r="63" spans="1:2" x14ac:dyDescent="0.3">
      <c r="A63">
        <v>0</v>
      </c>
      <c r="B63">
        <v>612</v>
      </c>
    </row>
    <row r="64" spans="1:2" x14ac:dyDescent="0.3">
      <c r="A64">
        <v>442</v>
      </c>
      <c r="B64">
        <v>0</v>
      </c>
    </row>
    <row r="65" spans="1:2" x14ac:dyDescent="0.3">
      <c r="A65">
        <v>4802</v>
      </c>
      <c r="B65">
        <v>10121</v>
      </c>
    </row>
    <row r="66" spans="1:2" x14ac:dyDescent="0.3">
      <c r="A66">
        <v>52</v>
      </c>
      <c r="B66">
        <v>330</v>
      </c>
    </row>
    <row r="67" spans="1:2" x14ac:dyDescent="0.3">
      <c r="A67">
        <v>800</v>
      </c>
      <c r="B67">
        <v>2080</v>
      </c>
    </row>
    <row r="68" spans="1:2" x14ac:dyDescent="0.3">
      <c r="A68">
        <v>3120</v>
      </c>
      <c r="B68">
        <v>948</v>
      </c>
    </row>
    <row r="69" spans="1:2" x14ac:dyDescent="0.3">
      <c r="A69">
        <v>4400</v>
      </c>
      <c r="B69">
        <v>37905</v>
      </c>
    </row>
    <row r="70" spans="1:2" x14ac:dyDescent="0.3">
      <c r="A70">
        <v>0</v>
      </c>
      <c r="B70">
        <v>0</v>
      </c>
    </row>
    <row r="71" spans="1:2" x14ac:dyDescent="0.3">
      <c r="A71">
        <v>1248</v>
      </c>
      <c r="B71">
        <v>15</v>
      </c>
    </row>
    <row r="72" spans="1:2" x14ac:dyDescent="0.3">
      <c r="A72">
        <v>1402</v>
      </c>
      <c r="B72">
        <v>1287</v>
      </c>
    </row>
    <row r="73" spans="1:2" x14ac:dyDescent="0.3">
      <c r="A73">
        <v>541</v>
      </c>
      <c r="B73">
        <v>370</v>
      </c>
    </row>
    <row r="74" spans="1:2" x14ac:dyDescent="0.3">
      <c r="A74">
        <v>828</v>
      </c>
      <c r="B74">
        <v>4999</v>
      </c>
    </row>
    <row r="75" spans="1:2" x14ac:dyDescent="0.3">
      <c r="A75">
        <v>28</v>
      </c>
      <c r="B75">
        <v>0</v>
      </c>
    </row>
    <row r="76" spans="1:2" x14ac:dyDescent="0.3">
      <c r="A76">
        <v>15</v>
      </c>
      <c r="B76">
        <v>154</v>
      </c>
    </row>
    <row r="77" spans="1:2" x14ac:dyDescent="0.3">
      <c r="A77">
        <v>180</v>
      </c>
      <c r="B77">
        <v>27653</v>
      </c>
    </row>
    <row r="78" spans="1:2" x14ac:dyDescent="0.3">
      <c r="A78">
        <v>0</v>
      </c>
      <c r="B78">
        <v>814</v>
      </c>
    </row>
    <row r="79" spans="1:2" x14ac:dyDescent="0.3">
      <c r="A79">
        <v>0</v>
      </c>
      <c r="B79">
        <v>4228</v>
      </c>
    </row>
    <row r="80" spans="1:2" x14ac:dyDescent="0.3">
      <c r="A80">
        <v>0</v>
      </c>
      <c r="B80">
        <v>774</v>
      </c>
    </row>
    <row r="81" spans="1:2" x14ac:dyDescent="0.3">
      <c r="A81">
        <v>377</v>
      </c>
      <c r="B81">
        <v>0</v>
      </c>
    </row>
    <row r="82" spans="1:2" x14ac:dyDescent="0.3">
      <c r="A82">
        <v>150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360</v>
      </c>
      <c r="B84">
        <v>8956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49" workbookViewId="0">
      <selection activeCell="D8" sqref="D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>
        <v>0</v>
      </c>
    </row>
    <row r="3" spans="1:2" x14ac:dyDescent="0.3">
      <c r="A3">
        <v>22500</v>
      </c>
      <c r="B3">
        <v>0</v>
      </c>
    </row>
    <row r="4" spans="1:2" x14ac:dyDescent="0.3">
      <c r="A4">
        <v>150</v>
      </c>
      <c r="B4">
        <v>1750</v>
      </c>
    </row>
    <row r="5" spans="1:2" x14ac:dyDescent="0.3">
      <c r="A5">
        <v>15640</v>
      </c>
      <c r="B5">
        <v>0</v>
      </c>
    </row>
    <row r="6" spans="1:2" x14ac:dyDescent="0.3">
      <c r="A6">
        <v>20725</v>
      </c>
      <c r="B6">
        <v>0</v>
      </c>
    </row>
    <row r="7" spans="1:2" x14ac:dyDescent="0.3">
      <c r="A7">
        <v>0</v>
      </c>
      <c r="B7">
        <v>3600</v>
      </c>
    </row>
    <row r="8" spans="1:2" x14ac:dyDescent="0.3">
      <c r="A8">
        <v>51350</v>
      </c>
      <c r="B8">
        <v>2610</v>
      </c>
    </row>
    <row r="9" spans="1:2" x14ac:dyDescent="0.3">
      <c r="A9">
        <v>101105</v>
      </c>
      <c r="B9">
        <v>0</v>
      </c>
    </row>
    <row r="10" spans="1:2" x14ac:dyDescent="0.3">
      <c r="A10">
        <v>16275</v>
      </c>
      <c r="B10">
        <v>0</v>
      </c>
    </row>
    <row r="11" spans="1:2" x14ac:dyDescent="0.3">
      <c r="A11">
        <v>0</v>
      </c>
      <c r="B11">
        <v>1500</v>
      </c>
    </row>
    <row r="12" spans="1:2" x14ac:dyDescent="0.3">
      <c r="A12">
        <v>50100</v>
      </c>
      <c r="B12">
        <v>0</v>
      </c>
    </row>
    <row r="13" spans="1:2" x14ac:dyDescent="0.3">
      <c r="A13">
        <v>162296</v>
      </c>
      <c r="B13">
        <v>1560</v>
      </c>
    </row>
    <row r="14" spans="1:2" x14ac:dyDescent="0.3">
      <c r="A14">
        <v>239222</v>
      </c>
      <c r="B14">
        <v>200</v>
      </c>
    </row>
    <row r="15" spans="1:2" x14ac:dyDescent="0.3">
      <c r="A15">
        <v>0</v>
      </c>
      <c r="B15">
        <v>120</v>
      </c>
    </row>
    <row r="16" spans="1:2" x14ac:dyDescent="0.3">
      <c r="A16">
        <v>0</v>
      </c>
      <c r="B16">
        <v>0</v>
      </c>
    </row>
    <row r="17" spans="1:2" x14ac:dyDescent="0.3">
      <c r="A17">
        <v>66380</v>
      </c>
      <c r="B17">
        <v>970</v>
      </c>
    </row>
    <row r="18" spans="1:2" x14ac:dyDescent="0.3">
      <c r="A18">
        <v>17020</v>
      </c>
      <c r="B18">
        <v>0</v>
      </c>
    </row>
    <row r="19" spans="1:2" x14ac:dyDescent="0.3">
      <c r="A19">
        <v>251400</v>
      </c>
      <c r="B19">
        <v>1945</v>
      </c>
    </row>
    <row r="20" spans="1:2" x14ac:dyDescent="0.3">
      <c r="A20">
        <v>33400</v>
      </c>
      <c r="B20">
        <v>0</v>
      </c>
    </row>
    <row r="21" spans="1:2" x14ac:dyDescent="0.3">
      <c r="A21">
        <v>13000</v>
      </c>
      <c r="B21">
        <v>520</v>
      </c>
    </row>
    <row r="22" spans="1:2" x14ac:dyDescent="0.3">
      <c r="A22">
        <v>61595</v>
      </c>
      <c r="B22">
        <v>1170</v>
      </c>
    </row>
    <row r="23" spans="1:2" x14ac:dyDescent="0.3">
      <c r="A23">
        <v>3400</v>
      </c>
      <c r="B23">
        <v>0</v>
      </c>
    </row>
    <row r="24" spans="1:2" x14ac:dyDescent="0.3">
      <c r="A24">
        <v>0</v>
      </c>
      <c r="B24">
        <v>100</v>
      </c>
    </row>
    <row r="25" spans="1:2" x14ac:dyDescent="0.3">
      <c r="A25">
        <v>13800</v>
      </c>
      <c r="B25">
        <v>0</v>
      </c>
    </row>
    <row r="26" spans="1:2" x14ac:dyDescent="0.3">
      <c r="A26">
        <v>73800</v>
      </c>
      <c r="B26">
        <v>3030</v>
      </c>
    </row>
    <row r="27" spans="1:2" x14ac:dyDescent="0.3">
      <c r="A27">
        <v>60030</v>
      </c>
      <c r="B27">
        <v>55</v>
      </c>
    </row>
    <row r="28" spans="1:2" x14ac:dyDescent="0.3">
      <c r="A28">
        <v>0</v>
      </c>
      <c r="B28">
        <v>0</v>
      </c>
    </row>
    <row r="29" spans="1:2" x14ac:dyDescent="0.3">
      <c r="A29">
        <v>5400</v>
      </c>
      <c r="B29">
        <v>200</v>
      </c>
    </row>
    <row r="30" spans="1:2" x14ac:dyDescent="0.3">
      <c r="A30">
        <v>277600</v>
      </c>
      <c r="B30">
        <v>0</v>
      </c>
    </row>
    <row r="31" spans="1:2" x14ac:dyDescent="0.3">
      <c r="A31">
        <v>15000</v>
      </c>
      <c r="B31">
        <v>0</v>
      </c>
    </row>
    <row r="32" spans="1:2" x14ac:dyDescent="0.3">
      <c r="A32">
        <v>41820</v>
      </c>
      <c r="B32">
        <v>0</v>
      </c>
    </row>
    <row r="33" spans="1:2" x14ac:dyDescent="0.3">
      <c r="A33">
        <v>160540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15098</v>
      </c>
      <c r="B35">
        <v>0</v>
      </c>
    </row>
    <row r="36" spans="1:2" x14ac:dyDescent="0.3">
      <c r="A36">
        <v>482273</v>
      </c>
      <c r="B36">
        <v>4016</v>
      </c>
    </row>
    <row r="37" spans="1:2" x14ac:dyDescent="0.3">
      <c r="A37">
        <v>39000</v>
      </c>
      <c r="B37">
        <v>0</v>
      </c>
    </row>
    <row r="38" spans="1:2" x14ac:dyDescent="0.3">
      <c r="A38">
        <v>72000</v>
      </c>
      <c r="B38">
        <v>35</v>
      </c>
    </row>
    <row r="39" spans="1:2" x14ac:dyDescent="0.3">
      <c r="A39">
        <v>25950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245980</v>
      </c>
      <c r="B41">
        <v>100</v>
      </c>
    </row>
    <row r="42" spans="1:2" x14ac:dyDescent="0.3">
      <c r="A42">
        <v>5200</v>
      </c>
      <c r="B42">
        <v>0</v>
      </c>
    </row>
    <row r="43" spans="1:2" x14ac:dyDescent="0.3">
      <c r="A43">
        <v>40064</v>
      </c>
      <c r="B43">
        <v>200</v>
      </c>
    </row>
    <row r="44" spans="1:2" x14ac:dyDescent="0.3">
      <c r="A44">
        <v>21280</v>
      </c>
      <c r="B44">
        <v>0</v>
      </c>
    </row>
    <row r="45" spans="1:2" x14ac:dyDescent="0.3">
      <c r="A45">
        <v>25440</v>
      </c>
      <c r="B45">
        <v>220</v>
      </c>
    </row>
    <row r="46" spans="1:2" x14ac:dyDescent="0.3">
      <c r="A46">
        <v>79856</v>
      </c>
      <c r="B46">
        <v>105</v>
      </c>
    </row>
    <row r="47" spans="1:2" x14ac:dyDescent="0.3">
      <c r="A47">
        <v>43500</v>
      </c>
      <c r="B47">
        <v>327</v>
      </c>
    </row>
    <row r="48" spans="1:2" x14ac:dyDescent="0.3">
      <c r="A48">
        <v>46800</v>
      </c>
      <c r="B48">
        <v>276</v>
      </c>
    </row>
    <row r="49" spans="1:2" x14ac:dyDescent="0.3">
      <c r="A49">
        <v>325500</v>
      </c>
      <c r="B49">
        <v>4375</v>
      </c>
    </row>
    <row r="50" spans="1:2" x14ac:dyDescent="0.3">
      <c r="A50">
        <v>7680</v>
      </c>
      <c r="B50">
        <v>45</v>
      </c>
    </row>
    <row r="51" spans="1:2" x14ac:dyDescent="0.3">
      <c r="A51">
        <v>138072</v>
      </c>
      <c r="B51">
        <v>0</v>
      </c>
    </row>
    <row r="52" spans="1:2" x14ac:dyDescent="0.3">
      <c r="A52">
        <v>18000</v>
      </c>
      <c r="B52">
        <v>6245</v>
      </c>
    </row>
    <row r="53" spans="1:2" x14ac:dyDescent="0.3">
      <c r="A53">
        <v>92580</v>
      </c>
      <c r="B53">
        <v>0</v>
      </c>
    </row>
    <row r="54" spans="1:2" x14ac:dyDescent="0.3">
      <c r="A54">
        <v>10100</v>
      </c>
      <c r="B54">
        <v>0</v>
      </c>
    </row>
    <row r="55" spans="1:2" x14ac:dyDescent="0.3">
      <c r="A55">
        <v>262462</v>
      </c>
      <c r="B55">
        <v>500</v>
      </c>
    </row>
    <row r="56" spans="1:2" x14ac:dyDescent="0.3">
      <c r="A56">
        <v>42032</v>
      </c>
      <c r="B56">
        <v>0</v>
      </c>
    </row>
    <row r="57" spans="1:2" x14ac:dyDescent="0.3">
      <c r="A57">
        <v>151680</v>
      </c>
      <c r="B57">
        <v>1249</v>
      </c>
    </row>
    <row r="58" spans="1:2" x14ac:dyDescent="0.3">
      <c r="A58">
        <v>43700</v>
      </c>
      <c r="B58">
        <v>70</v>
      </c>
    </row>
    <row r="59" spans="1:2" x14ac:dyDescent="0.3">
      <c r="A59">
        <v>0</v>
      </c>
      <c r="B59">
        <v>0</v>
      </c>
    </row>
    <row r="60" spans="1:2" x14ac:dyDescent="0.3">
      <c r="A60">
        <v>18192</v>
      </c>
      <c r="B60">
        <v>0</v>
      </c>
    </row>
    <row r="61" spans="1:2" x14ac:dyDescent="0.3">
      <c r="A61">
        <v>54600</v>
      </c>
      <c r="B61">
        <v>0</v>
      </c>
    </row>
    <row r="62" spans="1:2" x14ac:dyDescent="0.3">
      <c r="A62">
        <v>14520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286200</v>
      </c>
      <c r="B65">
        <v>5920</v>
      </c>
    </row>
    <row r="66" spans="1:2" x14ac:dyDescent="0.3">
      <c r="A66">
        <v>24600</v>
      </c>
      <c r="B66">
        <v>0</v>
      </c>
    </row>
    <row r="67" spans="1:2" x14ac:dyDescent="0.3">
      <c r="A67">
        <v>45201</v>
      </c>
      <c r="B67">
        <v>0</v>
      </c>
    </row>
    <row r="68" spans="1:2" x14ac:dyDescent="0.3">
      <c r="A68">
        <v>6975</v>
      </c>
      <c r="B68">
        <v>0</v>
      </c>
    </row>
    <row r="69" spans="1:2" x14ac:dyDescent="0.3">
      <c r="A69">
        <v>157624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37200</v>
      </c>
      <c r="B72">
        <v>0</v>
      </c>
    </row>
    <row r="73" spans="1:2" x14ac:dyDescent="0.3">
      <c r="A73">
        <v>22100</v>
      </c>
      <c r="B73">
        <v>0</v>
      </c>
    </row>
    <row r="74" spans="1:2" x14ac:dyDescent="0.3">
      <c r="A74">
        <v>44200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12740</v>
      </c>
      <c r="B76">
        <v>0</v>
      </c>
    </row>
    <row r="77" spans="1:2" x14ac:dyDescent="0.3">
      <c r="A77">
        <v>7500</v>
      </c>
      <c r="B77">
        <v>18</v>
      </c>
    </row>
    <row r="78" spans="1:2" x14ac:dyDescent="0.3">
      <c r="A78">
        <v>13075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18850</v>
      </c>
      <c r="B80">
        <v>0</v>
      </c>
    </row>
    <row r="81" spans="1:2" x14ac:dyDescent="0.3">
      <c r="A81">
        <v>19800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31200</v>
      </c>
      <c r="B83">
        <v>620</v>
      </c>
    </row>
    <row r="84" spans="1:2" x14ac:dyDescent="0.3">
      <c r="A84">
        <v>0</v>
      </c>
      <c r="B8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R27" sqref="R27"/>
    </sheetView>
  </sheetViews>
  <sheetFormatPr defaultRowHeight="14.4" x14ac:dyDescent="0.3"/>
  <cols>
    <col min="1" max="1" width="21.6640625" bestFit="1" customWidth="1"/>
    <col min="2" max="2" width="6.109375" bestFit="1" customWidth="1"/>
  </cols>
  <sheetData>
    <row r="1" spans="1:7" x14ac:dyDescent="0.3">
      <c r="A1" t="s">
        <v>4</v>
      </c>
      <c r="B1" t="s">
        <v>8</v>
      </c>
      <c r="E1" t="s">
        <v>128</v>
      </c>
      <c r="F1" t="s">
        <v>129</v>
      </c>
      <c r="G1" t="s">
        <v>130</v>
      </c>
    </row>
    <row r="2" spans="1:7" x14ac:dyDescent="0.3">
      <c r="A2" t="s">
        <v>5</v>
      </c>
      <c r="B2">
        <v>0</v>
      </c>
      <c r="E2">
        <v>0</v>
      </c>
      <c r="F2">
        <v>0</v>
      </c>
      <c r="G2">
        <v>18000</v>
      </c>
    </row>
    <row r="3" spans="1:7" x14ac:dyDescent="0.3">
      <c r="A3" t="s">
        <v>5</v>
      </c>
      <c r="B3">
        <v>0</v>
      </c>
      <c r="E3">
        <v>0</v>
      </c>
      <c r="F3">
        <v>0</v>
      </c>
      <c r="G3">
        <v>0</v>
      </c>
    </row>
    <row r="4" spans="1:7" x14ac:dyDescent="0.3">
      <c r="A4" t="s">
        <v>6</v>
      </c>
      <c r="B4">
        <v>0</v>
      </c>
      <c r="E4">
        <v>0</v>
      </c>
      <c r="F4">
        <v>0</v>
      </c>
      <c r="G4">
        <v>0</v>
      </c>
    </row>
    <row r="5" spans="1:7" x14ac:dyDescent="0.3">
      <c r="A5" t="s">
        <v>5</v>
      </c>
      <c r="B5">
        <v>0</v>
      </c>
      <c r="E5">
        <v>5000</v>
      </c>
      <c r="F5">
        <v>0</v>
      </c>
      <c r="G5">
        <v>0</v>
      </c>
    </row>
    <row r="6" spans="1:7" x14ac:dyDescent="0.3">
      <c r="A6" t="s">
        <v>5</v>
      </c>
      <c r="B6">
        <v>5000</v>
      </c>
      <c r="E6">
        <v>0</v>
      </c>
      <c r="F6">
        <v>45000</v>
      </c>
      <c r="G6">
        <v>0</v>
      </c>
    </row>
    <row r="7" spans="1:7" x14ac:dyDescent="0.3">
      <c r="A7" t="s">
        <v>5</v>
      </c>
      <c r="B7">
        <v>0</v>
      </c>
      <c r="E7">
        <v>0</v>
      </c>
      <c r="F7">
        <v>0</v>
      </c>
      <c r="G7">
        <v>4500</v>
      </c>
    </row>
    <row r="8" spans="1:7" x14ac:dyDescent="0.3">
      <c r="A8" t="s">
        <v>7</v>
      </c>
      <c r="B8">
        <v>18000</v>
      </c>
      <c r="E8">
        <v>0</v>
      </c>
      <c r="F8">
        <v>8482</v>
      </c>
      <c r="G8">
        <v>0</v>
      </c>
    </row>
    <row r="9" spans="1:7" x14ac:dyDescent="0.3">
      <c r="A9" t="s">
        <v>7</v>
      </c>
      <c r="B9">
        <v>0</v>
      </c>
      <c r="E9">
        <v>0</v>
      </c>
      <c r="F9">
        <v>1520</v>
      </c>
      <c r="G9">
        <v>0</v>
      </c>
    </row>
    <row r="10" spans="1:7" x14ac:dyDescent="0.3">
      <c r="A10" t="s">
        <v>7</v>
      </c>
      <c r="B10">
        <v>0</v>
      </c>
      <c r="E10">
        <v>0</v>
      </c>
      <c r="F10">
        <v>1000</v>
      </c>
      <c r="G10">
        <v>0</v>
      </c>
    </row>
    <row r="11" spans="1:7" x14ac:dyDescent="0.3">
      <c r="A11" t="s">
        <v>6</v>
      </c>
      <c r="B11">
        <v>0</v>
      </c>
      <c r="E11">
        <v>6000</v>
      </c>
      <c r="F11">
        <v>33000</v>
      </c>
      <c r="G11">
        <v>10000</v>
      </c>
    </row>
    <row r="12" spans="1:7" x14ac:dyDescent="0.3">
      <c r="A12" t="s">
        <v>7</v>
      </c>
      <c r="B12">
        <v>0</v>
      </c>
      <c r="E12">
        <v>30000</v>
      </c>
      <c r="F12">
        <v>0</v>
      </c>
      <c r="G12">
        <v>14000</v>
      </c>
    </row>
    <row r="13" spans="1:7" x14ac:dyDescent="0.3">
      <c r="A13" t="s">
        <v>5</v>
      </c>
      <c r="B13">
        <v>0</v>
      </c>
      <c r="E13">
        <v>5000</v>
      </c>
      <c r="F13">
        <v>0</v>
      </c>
      <c r="G13">
        <v>4000</v>
      </c>
    </row>
    <row r="14" spans="1:7" x14ac:dyDescent="0.3">
      <c r="A14" t="s">
        <v>7</v>
      </c>
      <c r="B14">
        <v>0</v>
      </c>
      <c r="E14">
        <v>0</v>
      </c>
      <c r="F14">
        <v>63000</v>
      </c>
      <c r="G14">
        <v>0</v>
      </c>
    </row>
    <row r="15" spans="1:7" x14ac:dyDescent="0.3">
      <c r="A15" t="s">
        <v>5</v>
      </c>
      <c r="B15">
        <v>0</v>
      </c>
      <c r="E15">
        <v>0</v>
      </c>
      <c r="F15">
        <v>7500</v>
      </c>
      <c r="G15">
        <v>0</v>
      </c>
    </row>
    <row r="16" spans="1:7" x14ac:dyDescent="0.3">
      <c r="A16" t="s">
        <v>5</v>
      </c>
      <c r="B16">
        <v>0</v>
      </c>
      <c r="E16">
        <v>0</v>
      </c>
      <c r="F16">
        <v>6000</v>
      </c>
      <c r="G16">
        <v>4000</v>
      </c>
    </row>
    <row r="17" spans="1:7" x14ac:dyDescent="0.3">
      <c r="A17" t="s">
        <v>6</v>
      </c>
      <c r="B17">
        <v>0</v>
      </c>
      <c r="E17">
        <v>7000</v>
      </c>
      <c r="F17">
        <v>5000</v>
      </c>
      <c r="G17">
        <v>5000</v>
      </c>
    </row>
    <row r="18" spans="1:7" x14ac:dyDescent="0.3">
      <c r="A18" t="s">
        <v>5</v>
      </c>
      <c r="B18">
        <v>0</v>
      </c>
      <c r="E18">
        <v>0</v>
      </c>
      <c r="F18">
        <v>3200</v>
      </c>
      <c r="G18">
        <v>24000</v>
      </c>
    </row>
    <row r="19" spans="1:7" x14ac:dyDescent="0.3">
      <c r="A19" t="s">
        <v>7</v>
      </c>
      <c r="B19">
        <v>4500</v>
      </c>
      <c r="E19">
        <v>6400</v>
      </c>
      <c r="F19">
        <v>15000</v>
      </c>
      <c r="G19">
        <v>6500</v>
      </c>
    </row>
    <row r="20" spans="1:7" x14ac:dyDescent="0.3">
      <c r="A20" t="s">
        <v>7</v>
      </c>
      <c r="B20">
        <v>0</v>
      </c>
      <c r="E20">
        <v>0</v>
      </c>
      <c r="G20">
        <v>7000</v>
      </c>
    </row>
    <row r="21" spans="1:7" x14ac:dyDescent="0.3">
      <c r="A21" t="s">
        <v>6</v>
      </c>
      <c r="B21">
        <v>0</v>
      </c>
      <c r="E21">
        <v>0</v>
      </c>
      <c r="G21">
        <v>0</v>
      </c>
    </row>
    <row r="22" spans="1:7" x14ac:dyDescent="0.3">
      <c r="A22" t="s">
        <v>7</v>
      </c>
      <c r="B22">
        <v>0</v>
      </c>
      <c r="E22">
        <v>1200</v>
      </c>
      <c r="G22">
        <v>0</v>
      </c>
    </row>
    <row r="23" spans="1:7" x14ac:dyDescent="0.3">
      <c r="A23" t="s">
        <v>5</v>
      </c>
      <c r="B23">
        <v>6000</v>
      </c>
      <c r="E23">
        <v>0</v>
      </c>
      <c r="G23">
        <v>0</v>
      </c>
    </row>
    <row r="24" spans="1:7" x14ac:dyDescent="0.3">
      <c r="A24" t="s">
        <v>5</v>
      </c>
      <c r="B24">
        <v>30000</v>
      </c>
      <c r="E24">
        <v>0</v>
      </c>
      <c r="G24">
        <v>0</v>
      </c>
    </row>
    <row r="25" spans="1:7" x14ac:dyDescent="0.3">
      <c r="A25" t="s">
        <v>5</v>
      </c>
      <c r="B25">
        <v>5000</v>
      </c>
      <c r="E25">
        <v>0</v>
      </c>
      <c r="G25">
        <v>0</v>
      </c>
    </row>
    <row r="26" spans="1:7" x14ac:dyDescent="0.3">
      <c r="A26" t="s">
        <v>7</v>
      </c>
      <c r="B26">
        <v>0</v>
      </c>
      <c r="E26">
        <v>0</v>
      </c>
      <c r="G26">
        <v>0</v>
      </c>
    </row>
    <row r="27" spans="1:7" x14ac:dyDescent="0.3">
      <c r="A27" t="s">
        <v>7</v>
      </c>
      <c r="B27">
        <v>10000</v>
      </c>
      <c r="E27">
        <v>0</v>
      </c>
      <c r="G27">
        <v>6000</v>
      </c>
    </row>
    <row r="28" spans="1:7" x14ac:dyDescent="0.3">
      <c r="A28" t="s">
        <v>5</v>
      </c>
      <c r="B28">
        <v>0</v>
      </c>
      <c r="E28">
        <v>0</v>
      </c>
      <c r="G28">
        <v>0</v>
      </c>
    </row>
    <row r="29" spans="1:7" x14ac:dyDescent="0.3">
      <c r="A29" t="s">
        <v>5</v>
      </c>
      <c r="B29">
        <v>0</v>
      </c>
      <c r="E29">
        <v>0</v>
      </c>
      <c r="G29">
        <v>6000</v>
      </c>
    </row>
    <row r="30" spans="1:7" x14ac:dyDescent="0.3">
      <c r="A30" t="s">
        <v>7</v>
      </c>
      <c r="B30">
        <v>14000</v>
      </c>
      <c r="G30">
        <v>0</v>
      </c>
    </row>
    <row r="31" spans="1:7" x14ac:dyDescent="0.3">
      <c r="A31" t="s">
        <v>6</v>
      </c>
      <c r="B31">
        <v>45000</v>
      </c>
      <c r="G31">
        <v>0</v>
      </c>
    </row>
    <row r="32" spans="1:7" x14ac:dyDescent="0.3">
      <c r="A32" t="s">
        <v>7</v>
      </c>
      <c r="B32">
        <v>4000</v>
      </c>
      <c r="G32">
        <v>1100</v>
      </c>
    </row>
    <row r="33" spans="1:7" x14ac:dyDescent="0.3">
      <c r="A33" t="s">
        <v>6</v>
      </c>
      <c r="B33">
        <v>0</v>
      </c>
      <c r="G33">
        <v>0</v>
      </c>
    </row>
    <row r="34" spans="1:7" x14ac:dyDescent="0.3">
      <c r="A34" t="s">
        <v>5</v>
      </c>
      <c r="B34">
        <v>0</v>
      </c>
      <c r="G34">
        <v>0</v>
      </c>
    </row>
    <row r="35" spans="1:7" x14ac:dyDescent="0.3">
      <c r="A35" t="s">
        <v>6</v>
      </c>
      <c r="B35">
        <v>8482</v>
      </c>
      <c r="G35">
        <v>0</v>
      </c>
    </row>
    <row r="36" spans="1:7" x14ac:dyDescent="0.3">
      <c r="A36" t="s">
        <v>7</v>
      </c>
      <c r="B36">
        <v>0</v>
      </c>
      <c r="G36">
        <v>0</v>
      </c>
    </row>
    <row r="37" spans="1:7" x14ac:dyDescent="0.3">
      <c r="A37" t="s">
        <v>7</v>
      </c>
      <c r="B37">
        <v>0</v>
      </c>
      <c r="G37">
        <v>0</v>
      </c>
    </row>
    <row r="38" spans="1:7" x14ac:dyDescent="0.3">
      <c r="A38" t="s">
        <v>7</v>
      </c>
      <c r="B38">
        <v>4000</v>
      </c>
      <c r="G38">
        <v>0</v>
      </c>
    </row>
    <row r="39" spans="1:7" x14ac:dyDescent="0.3">
      <c r="A39" t="s">
        <v>7</v>
      </c>
      <c r="B39">
        <v>5000</v>
      </c>
    </row>
    <row r="40" spans="1:7" x14ac:dyDescent="0.3">
      <c r="A40" t="s">
        <v>6</v>
      </c>
      <c r="B40">
        <v>1520</v>
      </c>
    </row>
    <row r="41" spans="1:7" x14ac:dyDescent="0.3">
      <c r="A41" t="s">
        <v>7</v>
      </c>
      <c r="B41">
        <v>24000</v>
      </c>
    </row>
    <row r="42" spans="1:7" x14ac:dyDescent="0.3">
      <c r="A42" t="s">
        <v>6</v>
      </c>
      <c r="B42">
        <v>1000</v>
      </c>
    </row>
    <row r="43" spans="1:7" x14ac:dyDescent="0.3">
      <c r="A43" t="s">
        <v>7</v>
      </c>
      <c r="B43">
        <v>6500</v>
      </c>
    </row>
    <row r="44" spans="1:7" x14ac:dyDescent="0.3">
      <c r="A44" t="s">
        <v>5</v>
      </c>
      <c r="B44">
        <v>7000</v>
      </c>
    </row>
    <row r="45" spans="1:7" x14ac:dyDescent="0.3">
      <c r="A45" t="s">
        <v>7</v>
      </c>
      <c r="B45">
        <v>7000</v>
      </c>
    </row>
    <row r="46" spans="1:7" x14ac:dyDescent="0.3">
      <c r="A46" t="s">
        <v>7</v>
      </c>
      <c r="B46">
        <v>0</v>
      </c>
    </row>
    <row r="47" spans="1:7" x14ac:dyDescent="0.3">
      <c r="A47" t="s">
        <v>7</v>
      </c>
      <c r="B47">
        <v>0</v>
      </c>
    </row>
    <row r="48" spans="1:7" x14ac:dyDescent="0.3">
      <c r="A48" t="s">
        <v>5</v>
      </c>
      <c r="B48">
        <v>0</v>
      </c>
    </row>
    <row r="49" spans="1:2" x14ac:dyDescent="0.3">
      <c r="A49" t="s">
        <v>7</v>
      </c>
      <c r="B49">
        <v>0</v>
      </c>
    </row>
    <row r="50" spans="1:2" x14ac:dyDescent="0.3">
      <c r="A50" t="s">
        <v>6</v>
      </c>
      <c r="B50">
        <v>33000</v>
      </c>
    </row>
    <row r="51" spans="1:2" x14ac:dyDescent="0.3">
      <c r="A51" t="s">
        <v>7</v>
      </c>
      <c r="B51">
        <v>0</v>
      </c>
    </row>
    <row r="52" spans="1:2" x14ac:dyDescent="0.3">
      <c r="A52" t="s">
        <v>6</v>
      </c>
      <c r="B52">
        <v>0</v>
      </c>
    </row>
    <row r="53" spans="1:2" x14ac:dyDescent="0.3">
      <c r="A53" t="s">
        <v>7</v>
      </c>
      <c r="B53">
        <v>0</v>
      </c>
    </row>
    <row r="54" spans="1:2" x14ac:dyDescent="0.3">
      <c r="A54" t="s">
        <v>6</v>
      </c>
      <c r="B54">
        <v>0</v>
      </c>
    </row>
    <row r="55" spans="1:2" x14ac:dyDescent="0.3">
      <c r="A55" t="s">
        <v>7</v>
      </c>
      <c r="B55">
        <v>0</v>
      </c>
    </row>
    <row r="56" spans="1:2" x14ac:dyDescent="0.3">
      <c r="A56" t="s">
        <v>7</v>
      </c>
      <c r="B56">
        <v>6000</v>
      </c>
    </row>
    <row r="57" spans="1:2" x14ac:dyDescent="0.3">
      <c r="A57" t="s">
        <v>7</v>
      </c>
      <c r="B57">
        <v>0</v>
      </c>
    </row>
    <row r="58" spans="1:2" x14ac:dyDescent="0.3">
      <c r="A58" t="s">
        <v>7</v>
      </c>
      <c r="B58">
        <v>6000</v>
      </c>
    </row>
    <row r="59" spans="1:2" x14ac:dyDescent="0.3">
      <c r="A59" t="s">
        <v>6</v>
      </c>
      <c r="B59">
        <v>63000</v>
      </c>
    </row>
    <row r="60" spans="1:2" x14ac:dyDescent="0.3">
      <c r="A60" t="s">
        <v>5</v>
      </c>
      <c r="B60">
        <v>6400</v>
      </c>
    </row>
    <row r="61" spans="1:2" x14ac:dyDescent="0.3">
      <c r="A61" t="s">
        <v>7</v>
      </c>
      <c r="B61">
        <v>0</v>
      </c>
    </row>
    <row r="62" spans="1:2" x14ac:dyDescent="0.3">
      <c r="A62" t="s">
        <v>5</v>
      </c>
      <c r="B62">
        <v>0</v>
      </c>
    </row>
    <row r="63" spans="1:2" x14ac:dyDescent="0.3">
      <c r="A63" t="s">
        <v>5</v>
      </c>
      <c r="B63">
        <v>0</v>
      </c>
    </row>
    <row r="64" spans="1:2" x14ac:dyDescent="0.3">
      <c r="A64" t="s">
        <v>6</v>
      </c>
      <c r="B64">
        <v>7500</v>
      </c>
    </row>
    <row r="65" spans="1:2" x14ac:dyDescent="0.3">
      <c r="A65" t="s">
        <v>7</v>
      </c>
      <c r="B65">
        <v>0</v>
      </c>
    </row>
    <row r="66" spans="1:2" x14ac:dyDescent="0.3">
      <c r="A66" t="s">
        <v>6</v>
      </c>
      <c r="B66">
        <v>6000</v>
      </c>
    </row>
    <row r="67" spans="1:2" x14ac:dyDescent="0.3">
      <c r="A67" t="s">
        <v>7</v>
      </c>
      <c r="B67">
        <v>1100</v>
      </c>
    </row>
    <row r="68" spans="1:2" x14ac:dyDescent="0.3">
      <c r="A68" t="s">
        <v>5</v>
      </c>
      <c r="B68">
        <v>1200</v>
      </c>
    </row>
    <row r="69" spans="1:2" x14ac:dyDescent="0.3">
      <c r="A69" t="s">
        <v>7</v>
      </c>
      <c r="B69">
        <v>0</v>
      </c>
    </row>
    <row r="70" spans="1:2" x14ac:dyDescent="0.3">
      <c r="A70" t="s">
        <v>6</v>
      </c>
      <c r="B70">
        <v>5000</v>
      </c>
    </row>
    <row r="71" spans="1:2" x14ac:dyDescent="0.3">
      <c r="A71" t="s">
        <v>5</v>
      </c>
      <c r="B71">
        <v>0</v>
      </c>
    </row>
    <row r="72" spans="1:2" x14ac:dyDescent="0.3">
      <c r="A72" t="s">
        <v>7</v>
      </c>
      <c r="B72">
        <v>0</v>
      </c>
    </row>
    <row r="73" spans="1:2" x14ac:dyDescent="0.3">
      <c r="A73" t="s">
        <v>7</v>
      </c>
      <c r="B73">
        <v>0</v>
      </c>
    </row>
    <row r="74" spans="1:2" x14ac:dyDescent="0.3">
      <c r="A74" t="s">
        <v>7</v>
      </c>
      <c r="B74">
        <v>0</v>
      </c>
    </row>
    <row r="75" spans="1:2" x14ac:dyDescent="0.3">
      <c r="A75" t="s">
        <v>5</v>
      </c>
      <c r="B75">
        <v>0</v>
      </c>
    </row>
    <row r="76" spans="1:2" x14ac:dyDescent="0.3">
      <c r="A76" t="s">
        <v>7</v>
      </c>
      <c r="B76">
        <v>0</v>
      </c>
    </row>
    <row r="77" spans="1:2" x14ac:dyDescent="0.3">
      <c r="A77" t="s">
        <v>5</v>
      </c>
      <c r="B77">
        <v>0</v>
      </c>
    </row>
    <row r="78" spans="1:2" x14ac:dyDescent="0.3">
      <c r="A78" t="s">
        <v>5</v>
      </c>
      <c r="B78">
        <v>0</v>
      </c>
    </row>
    <row r="79" spans="1:2" x14ac:dyDescent="0.3">
      <c r="A79" t="s">
        <v>5</v>
      </c>
      <c r="B79">
        <v>0</v>
      </c>
    </row>
    <row r="80" spans="1:2" x14ac:dyDescent="0.3">
      <c r="A80" t="s">
        <v>5</v>
      </c>
      <c r="B80">
        <v>0</v>
      </c>
    </row>
    <row r="81" spans="1:2" x14ac:dyDescent="0.3">
      <c r="A81" t="s">
        <v>7</v>
      </c>
      <c r="B81">
        <v>0</v>
      </c>
    </row>
    <row r="82" spans="1:2" x14ac:dyDescent="0.3">
      <c r="A82" t="s">
        <v>6</v>
      </c>
      <c r="B82">
        <v>3200</v>
      </c>
    </row>
    <row r="83" spans="1:2" x14ac:dyDescent="0.3">
      <c r="A83" t="s">
        <v>6</v>
      </c>
      <c r="B83">
        <v>15000</v>
      </c>
    </row>
    <row r="84" spans="1:2" x14ac:dyDescent="0.3">
      <c r="A84" t="s">
        <v>5</v>
      </c>
      <c r="B84">
        <v>0</v>
      </c>
    </row>
  </sheetData>
  <autoFilter ref="A1:B8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3" workbookViewId="0">
      <selection activeCell="K9" sqref="K9"/>
    </sheetView>
  </sheetViews>
  <sheetFormatPr defaultRowHeight="14.4" x14ac:dyDescent="0.3"/>
  <cols>
    <col min="2" max="2" width="21.6640625" bestFit="1" customWidth="1"/>
  </cols>
  <sheetData>
    <row r="1" spans="1:8" x14ac:dyDescent="0.3">
      <c r="A1" t="s">
        <v>9</v>
      </c>
      <c r="B1" t="s">
        <v>4</v>
      </c>
      <c r="F1" t="s">
        <v>128</v>
      </c>
      <c r="G1" t="s">
        <v>129</v>
      </c>
      <c r="H1" t="s">
        <v>130</v>
      </c>
    </row>
    <row r="2" spans="1:8" x14ac:dyDescent="0.3">
      <c r="A2">
        <v>850</v>
      </c>
      <c r="B2" t="s">
        <v>5</v>
      </c>
      <c r="F2">
        <v>850</v>
      </c>
      <c r="G2">
        <v>2438</v>
      </c>
      <c r="H2">
        <v>1615</v>
      </c>
    </row>
    <row r="3" spans="1:8" x14ac:dyDescent="0.3">
      <c r="A3">
        <v>560</v>
      </c>
      <c r="B3" t="s">
        <v>5</v>
      </c>
      <c r="F3">
        <v>560</v>
      </c>
      <c r="G3">
        <v>4825</v>
      </c>
      <c r="H3">
        <v>1070</v>
      </c>
    </row>
    <row r="4" spans="1:8" x14ac:dyDescent="0.3">
      <c r="A4">
        <v>2438</v>
      </c>
      <c r="B4" t="s">
        <v>6</v>
      </c>
      <c r="F4">
        <v>292</v>
      </c>
      <c r="G4">
        <v>4458</v>
      </c>
      <c r="H4">
        <v>40</v>
      </c>
    </row>
    <row r="5" spans="1:8" x14ac:dyDescent="0.3">
      <c r="A5">
        <v>292</v>
      </c>
      <c r="B5" t="s">
        <v>5</v>
      </c>
      <c r="F5">
        <v>645</v>
      </c>
      <c r="G5">
        <v>6041</v>
      </c>
      <c r="H5">
        <v>3230</v>
      </c>
    </row>
    <row r="6" spans="1:8" x14ac:dyDescent="0.3">
      <c r="A6">
        <v>645</v>
      </c>
      <c r="B6" t="s">
        <v>5</v>
      </c>
      <c r="F6">
        <v>17218</v>
      </c>
      <c r="G6">
        <v>510</v>
      </c>
      <c r="H6">
        <v>9855</v>
      </c>
    </row>
    <row r="7" spans="1:8" x14ac:dyDescent="0.3">
      <c r="A7">
        <v>17218</v>
      </c>
      <c r="B7" t="s">
        <v>5</v>
      </c>
      <c r="F7">
        <v>5260</v>
      </c>
      <c r="G7">
        <v>7200</v>
      </c>
      <c r="H7">
        <v>7650</v>
      </c>
    </row>
    <row r="8" spans="1:8" x14ac:dyDescent="0.3">
      <c r="A8">
        <v>1615</v>
      </c>
      <c r="B8" t="s">
        <v>7</v>
      </c>
      <c r="F8">
        <v>875</v>
      </c>
      <c r="G8">
        <v>350</v>
      </c>
      <c r="H8">
        <v>1210</v>
      </c>
    </row>
    <row r="9" spans="1:8" x14ac:dyDescent="0.3">
      <c r="A9">
        <v>1070</v>
      </c>
      <c r="B9" t="s">
        <v>7</v>
      </c>
      <c r="F9">
        <v>500</v>
      </c>
      <c r="G9">
        <v>475</v>
      </c>
      <c r="H9">
        <v>1715</v>
      </c>
    </row>
    <row r="10" spans="1:8" x14ac:dyDescent="0.3">
      <c r="A10">
        <v>40</v>
      </c>
      <c r="B10" t="s">
        <v>7</v>
      </c>
      <c r="F10">
        <v>890</v>
      </c>
      <c r="G10">
        <v>1116</v>
      </c>
      <c r="H10">
        <v>1840</v>
      </c>
    </row>
    <row r="11" spans="1:8" x14ac:dyDescent="0.3">
      <c r="A11">
        <v>4825</v>
      </c>
      <c r="B11" t="s">
        <v>6</v>
      </c>
      <c r="F11">
        <v>600</v>
      </c>
      <c r="G11">
        <v>2129</v>
      </c>
      <c r="H11">
        <v>657</v>
      </c>
    </row>
    <row r="12" spans="1:8" x14ac:dyDescent="0.3">
      <c r="A12">
        <v>3230</v>
      </c>
      <c r="B12" t="s">
        <v>7</v>
      </c>
      <c r="F12">
        <v>1630</v>
      </c>
      <c r="G12">
        <v>11803</v>
      </c>
      <c r="H12">
        <v>6550</v>
      </c>
    </row>
    <row r="13" spans="1:8" x14ac:dyDescent="0.3">
      <c r="A13">
        <v>5260</v>
      </c>
      <c r="B13" t="s">
        <v>5</v>
      </c>
      <c r="F13">
        <v>750</v>
      </c>
      <c r="G13">
        <v>500</v>
      </c>
      <c r="H13">
        <v>345</v>
      </c>
    </row>
    <row r="14" spans="1:8" x14ac:dyDescent="0.3">
      <c r="A14">
        <v>9855</v>
      </c>
      <c r="B14" t="s">
        <v>7</v>
      </c>
      <c r="F14">
        <v>0</v>
      </c>
      <c r="G14">
        <v>1600</v>
      </c>
      <c r="H14">
        <v>17625</v>
      </c>
    </row>
    <row r="15" spans="1:8" x14ac:dyDescent="0.3">
      <c r="A15">
        <v>875</v>
      </c>
      <c r="B15" t="s">
        <v>5</v>
      </c>
      <c r="F15">
        <v>5930</v>
      </c>
      <c r="G15">
        <v>1812</v>
      </c>
      <c r="H15">
        <v>2530</v>
      </c>
    </row>
    <row r="16" spans="1:8" x14ac:dyDescent="0.3">
      <c r="A16">
        <v>500</v>
      </c>
      <c r="B16" t="s">
        <v>5</v>
      </c>
      <c r="F16">
        <v>3140</v>
      </c>
      <c r="G16">
        <v>2675</v>
      </c>
      <c r="H16">
        <v>1250</v>
      </c>
    </row>
    <row r="17" spans="1:8" x14ac:dyDescent="0.3">
      <c r="A17">
        <v>4458</v>
      </c>
      <c r="B17" t="s">
        <v>6</v>
      </c>
      <c r="F17">
        <v>455</v>
      </c>
      <c r="G17">
        <v>375</v>
      </c>
      <c r="H17">
        <v>0</v>
      </c>
    </row>
    <row r="18" spans="1:8" x14ac:dyDescent="0.3">
      <c r="A18">
        <v>890</v>
      </c>
      <c r="B18" t="s">
        <v>5</v>
      </c>
      <c r="F18">
        <v>4848</v>
      </c>
      <c r="G18">
        <v>30</v>
      </c>
      <c r="H18">
        <v>3682</v>
      </c>
    </row>
    <row r="19" spans="1:8" x14ac:dyDescent="0.3">
      <c r="A19">
        <v>7650</v>
      </c>
      <c r="B19" t="s">
        <v>7</v>
      </c>
      <c r="F19">
        <v>465</v>
      </c>
      <c r="G19">
        <v>1450</v>
      </c>
      <c r="H19">
        <v>865</v>
      </c>
    </row>
    <row r="20" spans="1:8" x14ac:dyDescent="0.3">
      <c r="A20">
        <v>1210</v>
      </c>
      <c r="B20" t="s">
        <v>7</v>
      </c>
      <c r="F20">
        <v>644</v>
      </c>
      <c r="H20">
        <v>318</v>
      </c>
    </row>
    <row r="21" spans="1:8" x14ac:dyDescent="0.3">
      <c r="A21">
        <v>6041</v>
      </c>
      <c r="B21" t="s">
        <v>6</v>
      </c>
      <c r="F21">
        <v>1640</v>
      </c>
      <c r="H21">
        <v>704</v>
      </c>
    </row>
    <row r="22" spans="1:8" x14ac:dyDescent="0.3">
      <c r="A22">
        <v>1715</v>
      </c>
      <c r="B22" t="s">
        <v>7</v>
      </c>
      <c r="F22">
        <v>4884</v>
      </c>
      <c r="H22">
        <v>1497</v>
      </c>
    </row>
    <row r="23" spans="1:8" x14ac:dyDescent="0.3">
      <c r="A23">
        <v>600</v>
      </c>
      <c r="B23" t="s">
        <v>5</v>
      </c>
      <c r="F23">
        <v>1720</v>
      </c>
      <c r="H23">
        <v>17000</v>
      </c>
    </row>
    <row r="24" spans="1:8" x14ac:dyDescent="0.3">
      <c r="A24">
        <v>1630</v>
      </c>
      <c r="B24" t="s">
        <v>5</v>
      </c>
      <c r="F24">
        <v>1643</v>
      </c>
      <c r="H24">
        <v>790</v>
      </c>
    </row>
    <row r="25" spans="1:8" x14ac:dyDescent="0.3">
      <c r="A25">
        <v>750</v>
      </c>
      <c r="B25" t="s">
        <v>5</v>
      </c>
      <c r="F25">
        <v>5517</v>
      </c>
      <c r="H25">
        <v>3514</v>
      </c>
    </row>
    <row r="26" spans="1:8" x14ac:dyDescent="0.3">
      <c r="A26">
        <v>1840</v>
      </c>
      <c r="B26" t="s">
        <v>7</v>
      </c>
      <c r="F26">
        <v>0</v>
      </c>
      <c r="H26">
        <v>3185</v>
      </c>
    </row>
    <row r="27" spans="1:8" x14ac:dyDescent="0.3">
      <c r="A27">
        <v>657</v>
      </c>
      <c r="B27" t="s">
        <v>7</v>
      </c>
      <c r="F27">
        <v>7094</v>
      </c>
      <c r="H27">
        <v>445</v>
      </c>
    </row>
    <row r="28" spans="1:8" x14ac:dyDescent="0.3">
      <c r="A28">
        <v>0</v>
      </c>
      <c r="B28" t="s">
        <v>5</v>
      </c>
      <c r="F28">
        <v>325</v>
      </c>
      <c r="H28">
        <v>3796</v>
      </c>
    </row>
    <row r="29" spans="1:8" x14ac:dyDescent="0.3">
      <c r="A29">
        <v>5930</v>
      </c>
      <c r="B29" t="s">
        <v>5</v>
      </c>
      <c r="F29">
        <v>2641</v>
      </c>
      <c r="H29">
        <v>3291</v>
      </c>
    </row>
    <row r="30" spans="1:8" x14ac:dyDescent="0.3">
      <c r="A30">
        <v>6550</v>
      </c>
      <c r="B30" t="s">
        <v>7</v>
      </c>
      <c r="H30">
        <v>805</v>
      </c>
    </row>
    <row r="31" spans="1:8" x14ac:dyDescent="0.3">
      <c r="A31">
        <v>510</v>
      </c>
      <c r="B31" t="s">
        <v>6</v>
      </c>
      <c r="H31">
        <v>9000</v>
      </c>
    </row>
    <row r="32" spans="1:8" x14ac:dyDescent="0.3">
      <c r="A32">
        <v>345</v>
      </c>
      <c r="B32" t="s">
        <v>7</v>
      </c>
      <c r="H32">
        <v>3195</v>
      </c>
    </row>
    <row r="33" spans="1:8" x14ac:dyDescent="0.3">
      <c r="A33">
        <v>7200</v>
      </c>
      <c r="B33" t="s">
        <v>6</v>
      </c>
      <c r="H33">
        <v>5920</v>
      </c>
    </row>
    <row r="34" spans="1:8" x14ac:dyDescent="0.3">
      <c r="A34">
        <v>3140</v>
      </c>
      <c r="B34" t="s">
        <v>5</v>
      </c>
      <c r="H34">
        <v>804</v>
      </c>
    </row>
    <row r="35" spans="1:8" x14ac:dyDescent="0.3">
      <c r="A35">
        <v>350</v>
      </c>
      <c r="B35" t="s">
        <v>6</v>
      </c>
      <c r="H35">
        <v>145</v>
      </c>
    </row>
    <row r="36" spans="1:8" x14ac:dyDescent="0.3">
      <c r="A36">
        <v>17625</v>
      </c>
      <c r="B36" t="s">
        <v>7</v>
      </c>
      <c r="H36">
        <v>264</v>
      </c>
    </row>
    <row r="37" spans="1:8" x14ac:dyDescent="0.3">
      <c r="A37">
        <v>2530</v>
      </c>
      <c r="B37" t="s">
        <v>7</v>
      </c>
      <c r="H37">
        <v>60</v>
      </c>
    </row>
    <row r="38" spans="1:8" x14ac:dyDescent="0.3">
      <c r="A38">
        <v>1250</v>
      </c>
      <c r="B38" t="s">
        <v>7</v>
      </c>
      <c r="H38">
        <v>2965</v>
      </c>
    </row>
    <row r="39" spans="1:8" x14ac:dyDescent="0.3">
      <c r="A39">
        <v>0</v>
      </c>
      <c r="B39" t="s">
        <v>7</v>
      </c>
    </row>
    <row r="40" spans="1:8" x14ac:dyDescent="0.3">
      <c r="A40">
        <v>475</v>
      </c>
      <c r="B40" t="s">
        <v>6</v>
      </c>
    </row>
    <row r="41" spans="1:8" x14ac:dyDescent="0.3">
      <c r="A41">
        <v>3682</v>
      </c>
      <c r="B41" t="s">
        <v>7</v>
      </c>
    </row>
    <row r="42" spans="1:8" x14ac:dyDescent="0.3">
      <c r="A42">
        <v>1116</v>
      </c>
      <c r="B42" t="s">
        <v>6</v>
      </c>
    </row>
    <row r="43" spans="1:8" x14ac:dyDescent="0.3">
      <c r="A43">
        <v>865</v>
      </c>
      <c r="B43" t="s">
        <v>7</v>
      </c>
    </row>
    <row r="44" spans="1:8" x14ac:dyDescent="0.3">
      <c r="A44">
        <v>455</v>
      </c>
      <c r="B44" t="s">
        <v>5</v>
      </c>
    </row>
    <row r="45" spans="1:8" x14ac:dyDescent="0.3">
      <c r="A45">
        <v>318</v>
      </c>
      <c r="B45" t="s">
        <v>7</v>
      </c>
    </row>
    <row r="46" spans="1:8" x14ac:dyDescent="0.3">
      <c r="A46">
        <v>704</v>
      </c>
      <c r="B46" t="s">
        <v>7</v>
      </c>
    </row>
    <row r="47" spans="1:8" x14ac:dyDescent="0.3">
      <c r="A47">
        <v>1497</v>
      </c>
      <c r="B47" t="s">
        <v>7</v>
      </c>
    </row>
    <row r="48" spans="1:8" x14ac:dyDescent="0.3">
      <c r="A48">
        <v>4848</v>
      </c>
      <c r="B48" t="s">
        <v>5</v>
      </c>
    </row>
    <row r="49" spans="1:2" x14ac:dyDescent="0.3">
      <c r="A49">
        <v>17000</v>
      </c>
      <c r="B49" t="s">
        <v>7</v>
      </c>
    </row>
    <row r="50" spans="1:2" x14ac:dyDescent="0.3">
      <c r="A50">
        <v>2129</v>
      </c>
      <c r="B50" t="s">
        <v>6</v>
      </c>
    </row>
    <row r="51" spans="1:2" x14ac:dyDescent="0.3">
      <c r="A51">
        <v>790</v>
      </c>
      <c r="B51" t="s">
        <v>7</v>
      </c>
    </row>
    <row r="52" spans="1:2" x14ac:dyDescent="0.3">
      <c r="A52">
        <v>11803</v>
      </c>
      <c r="B52" t="s">
        <v>6</v>
      </c>
    </row>
    <row r="53" spans="1:2" x14ac:dyDescent="0.3">
      <c r="A53">
        <v>3514</v>
      </c>
      <c r="B53" t="s">
        <v>7</v>
      </c>
    </row>
    <row r="54" spans="1:2" x14ac:dyDescent="0.3">
      <c r="A54">
        <v>500</v>
      </c>
      <c r="B54" t="s">
        <v>6</v>
      </c>
    </row>
    <row r="55" spans="1:2" x14ac:dyDescent="0.3">
      <c r="A55">
        <v>3185</v>
      </c>
      <c r="B55" t="s">
        <v>7</v>
      </c>
    </row>
    <row r="56" spans="1:2" x14ac:dyDescent="0.3">
      <c r="A56">
        <v>445</v>
      </c>
      <c r="B56" t="s">
        <v>7</v>
      </c>
    </row>
    <row r="57" spans="1:2" x14ac:dyDescent="0.3">
      <c r="A57">
        <v>3796</v>
      </c>
      <c r="B57" t="s">
        <v>7</v>
      </c>
    </row>
    <row r="58" spans="1:2" x14ac:dyDescent="0.3">
      <c r="A58">
        <v>3291</v>
      </c>
      <c r="B58" t="s">
        <v>7</v>
      </c>
    </row>
    <row r="59" spans="1:2" x14ac:dyDescent="0.3">
      <c r="A59">
        <v>1600</v>
      </c>
      <c r="B59" t="s">
        <v>6</v>
      </c>
    </row>
    <row r="60" spans="1:2" x14ac:dyDescent="0.3">
      <c r="A60">
        <v>465</v>
      </c>
      <c r="B60" t="s">
        <v>5</v>
      </c>
    </row>
    <row r="61" spans="1:2" x14ac:dyDescent="0.3">
      <c r="A61">
        <v>805</v>
      </c>
      <c r="B61" t="s">
        <v>7</v>
      </c>
    </row>
    <row r="62" spans="1:2" x14ac:dyDescent="0.3">
      <c r="A62">
        <v>644</v>
      </c>
      <c r="B62" t="s">
        <v>5</v>
      </c>
    </row>
    <row r="63" spans="1:2" x14ac:dyDescent="0.3">
      <c r="A63">
        <v>1640</v>
      </c>
      <c r="B63" t="s">
        <v>5</v>
      </c>
    </row>
    <row r="64" spans="1:2" x14ac:dyDescent="0.3">
      <c r="A64">
        <v>1812</v>
      </c>
      <c r="B64" t="s">
        <v>6</v>
      </c>
    </row>
    <row r="65" spans="1:2" x14ac:dyDescent="0.3">
      <c r="A65">
        <v>9000</v>
      </c>
      <c r="B65" t="s">
        <v>7</v>
      </c>
    </row>
    <row r="66" spans="1:2" x14ac:dyDescent="0.3">
      <c r="A66">
        <v>2675</v>
      </c>
      <c r="B66" t="s">
        <v>6</v>
      </c>
    </row>
    <row r="67" spans="1:2" x14ac:dyDescent="0.3">
      <c r="A67">
        <v>3195</v>
      </c>
      <c r="B67" t="s">
        <v>7</v>
      </c>
    </row>
    <row r="68" spans="1:2" x14ac:dyDescent="0.3">
      <c r="A68">
        <v>4884</v>
      </c>
      <c r="B68" t="s">
        <v>5</v>
      </c>
    </row>
    <row r="69" spans="1:2" x14ac:dyDescent="0.3">
      <c r="A69">
        <v>5920</v>
      </c>
      <c r="B69" t="s">
        <v>7</v>
      </c>
    </row>
    <row r="70" spans="1:2" x14ac:dyDescent="0.3">
      <c r="A70">
        <v>375</v>
      </c>
      <c r="B70" t="s">
        <v>6</v>
      </c>
    </row>
    <row r="71" spans="1:2" x14ac:dyDescent="0.3">
      <c r="A71">
        <v>1720</v>
      </c>
      <c r="B71" t="s">
        <v>5</v>
      </c>
    </row>
    <row r="72" spans="1:2" x14ac:dyDescent="0.3">
      <c r="A72">
        <v>804</v>
      </c>
      <c r="B72" t="s">
        <v>7</v>
      </c>
    </row>
    <row r="73" spans="1:2" x14ac:dyDescent="0.3">
      <c r="A73">
        <v>145</v>
      </c>
      <c r="B73" t="s">
        <v>7</v>
      </c>
    </row>
    <row r="74" spans="1:2" x14ac:dyDescent="0.3">
      <c r="A74">
        <v>264</v>
      </c>
      <c r="B74" t="s">
        <v>7</v>
      </c>
    </row>
    <row r="75" spans="1:2" x14ac:dyDescent="0.3">
      <c r="A75">
        <v>1643</v>
      </c>
      <c r="B75" t="s">
        <v>5</v>
      </c>
    </row>
    <row r="76" spans="1:2" x14ac:dyDescent="0.3">
      <c r="A76">
        <v>60</v>
      </c>
      <c r="B76" t="s">
        <v>7</v>
      </c>
    </row>
    <row r="77" spans="1:2" x14ac:dyDescent="0.3">
      <c r="A77">
        <v>5517</v>
      </c>
      <c r="B77" t="s">
        <v>5</v>
      </c>
    </row>
    <row r="78" spans="1:2" x14ac:dyDescent="0.3">
      <c r="A78">
        <v>0</v>
      </c>
      <c r="B78" t="s">
        <v>5</v>
      </c>
    </row>
    <row r="79" spans="1:2" x14ac:dyDescent="0.3">
      <c r="A79">
        <v>7094</v>
      </c>
      <c r="B79" t="s">
        <v>5</v>
      </c>
    </row>
    <row r="80" spans="1:2" x14ac:dyDescent="0.3">
      <c r="A80">
        <v>325</v>
      </c>
      <c r="B80" t="s">
        <v>5</v>
      </c>
    </row>
    <row r="81" spans="1:2" x14ac:dyDescent="0.3">
      <c r="A81">
        <v>2965</v>
      </c>
      <c r="B81" t="s">
        <v>7</v>
      </c>
    </row>
    <row r="82" spans="1:2" x14ac:dyDescent="0.3">
      <c r="A82">
        <v>30</v>
      </c>
      <c r="B82" t="s">
        <v>6</v>
      </c>
    </row>
    <row r="83" spans="1:2" x14ac:dyDescent="0.3">
      <c r="A83">
        <v>1450</v>
      </c>
      <c r="B83" t="s">
        <v>6</v>
      </c>
    </row>
    <row r="84" spans="1:2" x14ac:dyDescent="0.3">
      <c r="A84">
        <v>2641</v>
      </c>
      <c r="B84" t="s">
        <v>5</v>
      </c>
    </row>
  </sheetData>
  <autoFilter ref="A1:B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ASFData2</vt:lpstr>
      <vt:lpstr>ASFData</vt:lpstr>
      <vt:lpstr>SLRData2</vt:lpstr>
      <vt:lpstr>SLRData</vt:lpstr>
      <vt:lpstr>Q1-8</vt:lpstr>
      <vt:lpstr>Q9</vt:lpstr>
      <vt:lpstr>Q15</vt:lpstr>
      <vt:lpstr>Q10-14 &amp; 16-17</vt:lpstr>
      <vt:lpstr>Q18-22</vt:lpstr>
      <vt:lpstr>Q23-25</vt:lpstr>
      <vt:lpstr>Q26-33</vt:lpstr>
      <vt:lpstr>Q34-36</vt:lpstr>
      <vt:lpstr>Q37-40</vt:lpstr>
      <vt:lpstr>EDUC data</vt:lpstr>
      <vt:lpstr>REC Data</vt:lpstr>
      <vt:lpstr>CON Data</vt:lpstr>
      <vt:lpstr>CLO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2024-07-21T09:23:50Z</dcterms:created>
  <dcterms:modified xsi:type="dcterms:W3CDTF">2024-07-21T13:55:06Z</dcterms:modified>
</cp:coreProperties>
</file>